
<file path=[Content_Types].xml><?xml version="1.0" encoding="utf-8"?>
<Types xmlns="http://schemas.openxmlformats.org/package/2006/content-types">
  <Override PartName="/xl/charts/chart6.xml" ContentType="application/vnd.openxmlformats-officedocument.drawingml.chart+xml"/>
  <Override PartName="/xl/embeddings/oleObject8.bin" ContentType="application/vnd.openxmlformats-officedocument.oleObject"/>
  <Override PartName="/xl/embeddings/oleObject14.bin" ContentType="application/vnd.openxmlformats-officedocument.oleObject"/>
  <Override PartName="/xl/embeddings/oleObject23.bin" ContentType="application/vnd.openxmlformats-officedocument.oleObject"/>
  <Override PartName="/xl/embeddings/oleObject34.bin" ContentType="application/vnd.openxmlformats-officedocument.oleObject"/>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embeddings/oleObject6.bin" ContentType="application/vnd.openxmlformats-officedocument.oleObject"/>
  <Override PartName="/xl/embeddings/oleObject12.bin" ContentType="application/vnd.openxmlformats-officedocument.oleObject"/>
  <Override PartName="/xl/embeddings/oleObject21.bin" ContentType="application/vnd.openxmlformats-officedocument.oleObject"/>
  <Override PartName="/xl/embeddings/oleObject32.bin" ContentType="application/vnd.openxmlformats-officedocument.oleObject"/>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embeddings/oleObject4.bin" ContentType="application/vnd.openxmlformats-officedocument.oleObject"/>
  <Override PartName="/xl/embeddings/oleObject10.bin" ContentType="application/vnd.openxmlformats-officedocument.oleObject"/>
  <Override PartName="/xl/embeddings/oleObject30.bin" ContentType="application/vnd.openxmlformats-officedocument.oleObject"/>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comments4.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Override PartName="/xl/sharedStrings.xml" ContentType="application/vnd.openxmlformats-officedocument.spreadsheetml.sharedStrings+xml"/>
  <Override PartName="/xl/embeddings/oleObject18.bin" ContentType="application/vnd.openxmlformats-officedocument.oleObject"/>
  <Override PartName="/xl/embeddings/oleObject19.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charts/chart8.xml" ContentType="application/vnd.openxmlformats-officedocument.drawingml.chart+xml"/>
  <Override PartName="/xl/charts/chart9.xml" ContentType="application/vnd.openxmlformats-officedocument.drawingml.chart+xml"/>
  <Override PartName="/xl/embeddings/oleObject9.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embeddings/oleObject7.bin" ContentType="application/vnd.openxmlformats-officedocument.oleObject"/>
  <Override PartName="/xl/embeddings/oleObject15.bin" ContentType="application/vnd.openxmlformats-officedocument.oleObject"/>
  <Override PartName="/xl/embeddings/oleObject24.bin" ContentType="application/vnd.openxmlformats-officedocument.oleObject"/>
  <Override PartName="/xl/embeddings/oleObject33.bin" ContentType="application/vnd.openxmlformats-officedocument.oleObject"/>
  <Override PartName="/xl/charts/chart10.xml" ContentType="application/vnd.openxmlformats-officedocument.drawingml.chart+xml"/>
  <Override PartName="/xl/charts/chart5.xml" ContentType="application/vnd.openxmlformats-officedocument.drawingml.chart+xml"/>
  <Override PartName="/xl/embeddings/oleObject5.bin" ContentType="application/vnd.openxmlformats-officedocument.oleObject"/>
  <Override PartName="/xl/embeddings/oleObject13.bin" ContentType="application/vnd.openxmlformats-officedocument.oleObject"/>
  <Override PartName="/xl/embeddings/oleObject22.bin" ContentType="application/vnd.openxmlformats-officedocument.oleObject"/>
  <Override PartName="/xl/embeddings/oleObject31.bin" ContentType="application/vnd.openxmlformats-officedocument.oleObject"/>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charts/chart3.xml" ContentType="application/vnd.openxmlformats-officedocument.drawingml.chart+xml"/>
  <Default Extension="emf" ContentType="image/x-emf"/>
  <Override PartName="/xl/drawings/drawing5.xml" ContentType="application/vnd.openxmlformats-officedocument.drawing+xml"/>
  <Override PartName="/xl/embeddings/oleObject3.bin" ContentType="application/vnd.openxmlformats-officedocument.oleObject"/>
  <Override PartName="/xl/embeddings/oleObject11.bin" ContentType="application/vnd.openxmlformats-officedocument.oleObject"/>
  <Override PartName="/xl/embeddings/oleObject20.bin" ContentType="application/vnd.openxmlformats-officedocument.oleObject"/>
  <Default Extension="jpeg" ContentType="image/jpeg"/>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embeddings/oleObject1.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ackupFile="1" codeName="ThisWorkbook"/>
  <bookViews>
    <workbookView xWindow="8820" yWindow="-210" windowWidth="6570" windowHeight="738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Abaco!$G$41:$G$67</definedName>
    <definedName name="Acc_max">Trajecto!$L$24</definedName>
    <definedName name="acc_x">Calculs!$D$4:$D$1004</definedName>
    <definedName name="acc_xz">Calculs!$F$4:$F$1004</definedName>
    <definedName name="acc_z">Calculs!$E$4:$E$1004</definedName>
    <definedName name="Alt_para">Trajecto!$I$27</definedName>
    <definedName name="alt_prop">Abaco!$J$41:$J$67</definedName>
    <definedName name="Alt_rampe">Trajecto!$C$20</definedName>
    <definedName name="Alt_sat">Trajecto!$I$25</definedName>
    <definedName name="Altitude_culmi">Trajecto!$I$26</definedName>
    <definedName name="b_bal">Abaco!$I$41:$I$67</definedName>
    <definedName name="b_prop">Abaco!$H$41:$H$67</definedName>
    <definedName name="Beta">Calculs!$M$4:$M$1004</definedName>
    <definedName name="Beta_rampe">Trajecto!$C$19</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Trajecto!$C$15</definedName>
    <definedName name="Cx_para">Trajecto!$C$28</definedName>
    <definedName name="Cx_satellite">Trajecto!$D$28</definedName>
    <definedName name="D_ail">Stabilito!$C$34</definedName>
    <definedName name="D_can" localSheetId="0">Stabilito!$D$34</definedName>
    <definedName name="D_int" localSheetId="0">Stabilito!$E$34</definedName>
    <definedName name="D_og">Stabilito!$C$23</definedName>
    <definedName name="D_ref">Stabilito!$C$14</definedName>
    <definedName name="D_var">Abaco!$B$41:$B$67</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Trajecto!$C$31</definedName>
    <definedName name="Dt_satellite">Trajecto!$D$31</definedName>
    <definedName name="Dx_para">Trajecto!$C$33</definedName>
    <definedName name="Dx_sat">Trajecto!$D$33</definedName>
    <definedName name="E_ail">Stabilito!$C$30</definedName>
    <definedName name="E_can">Stabilito!$D$30</definedName>
    <definedName name="E_int" localSheetId="0">Stabilito!$E$30</definedName>
    <definedName name="ep_ail">Stabilito!$C$31</definedName>
    <definedName name="ep_can">Stabilito!$D$31</definedName>
    <definedName name="ep_int" localSheetId="0">Stabilito!$E$31</definedName>
    <definedName name="Event">Calculs!$Y$4:$Y$1004</definedName>
    <definedName name="Event_para">Calculs!$Z$4:$Z$1004</definedName>
    <definedName name="Event_sat">Calculs!$AA$4:$AA$1004</definedName>
    <definedName name="f_ail" localSheetId="0">Stabilito!$C$35</definedName>
    <definedName name="f_can" localSheetId="0">Stabilito!$D$35</definedName>
    <definedName name="f_int" localSheetId="0">Stabilito!$E$35</definedName>
    <definedName name="Finesse">Stabilito!$H$27</definedName>
    <definedName name="Forme_ogive">Stabilito!$C$21</definedName>
    <definedName name="g">Info!$E$52</definedName>
    <definedName name="i_P">Calculs!$P$4:$P$1004</definedName>
    <definedName name="I_total">Propu!$D$2</definedName>
    <definedName name="ISP">Propu!$F$2</definedName>
    <definedName name="l_j">Stabilito!$M$6</definedName>
    <definedName name="l_r">Stabilito!$O$6</definedName>
    <definedName name="L_rampe">Trajecto!$C$18</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Propu!$A$317:$A$330</definedName>
    <definedName name="Liste_RC">Propu!$I$317:$J$346</definedName>
    <definedName name="Long_ogive">Stabilito!$C$22</definedName>
    <definedName name="Long_propu">Propu!$R$2</definedName>
    <definedName name="Long_tot">Stabilito!$C$13</definedName>
    <definedName name="m">Calculs!$S$4:$S$1004</definedName>
    <definedName name="m_ail">Stabilito!$C$27</definedName>
    <definedName name="m_bal">Abaco!$F$41:$F$67</definedName>
    <definedName name="m_can">Stabilito!$D$27</definedName>
    <definedName name="m_int" localSheetId="0">Stabilito!$E$27</definedName>
    <definedName name="m_poudre">Propu!$J$2</definedName>
    <definedName name="m_prop">Abaco!$E$41:$E$67</definedName>
    <definedName name="m_satellite">Trajecto!$D$24</definedName>
    <definedName name="m_tot">Trajecto!$C$10</definedName>
    <definedName name="m_var">Abaco!$D$41:$D$67</definedName>
    <definedName name="m_vide">Trajecto!$C$24</definedName>
    <definedName name="Masse_ail">Controle!$H$63</definedName>
    <definedName name="MassePlein">Stabilito!$M$14</definedName>
    <definedName name="MasseSans">Stabilito!$P$14</definedName>
    <definedName name="MasseVide">Stabilito!$N$14</definedName>
    <definedName name="Menu_Empennage">Stabilito!$B$111:$B$112</definedName>
    <definedName name="Menu_Lang">Stabilito!$B$93:$B$94</definedName>
    <definedName name="Menu_Ogive">Stabilito!$B$107:$B$109</definedName>
    <definedName name="Menu_sat">Trajecto!$B$104:$B$105</definedName>
    <definedName name="Menu_Transitions">Stabilito!$B$114:$B$115</definedName>
    <definedName name="Menu_Type">Stabilito!$B$96:$B$100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Stabilito!$C$28</definedName>
    <definedName name="n_can">Stabilito!$D$28</definedName>
    <definedName name="n_int" localSheetId="0">Stabilito!$E$28</definedName>
    <definedName name="Nb_diam">Stabilito!$M$4</definedName>
    <definedName name="Nb_sat">Trajecto!$D$23</definedName>
    <definedName name="Nom">Stabilito!$C$8</definedName>
    <definedName name="p_ail">Stabilito!$C$29</definedName>
    <definedName name="p_can">Stabilito!$D$29</definedName>
    <definedName name="p_int" localSheetId="0">Stabilito!$E$29</definedName>
    <definedName name="pas">Calculs!$A$4:$A$1004</definedName>
    <definedName name="Poids">Calculs!$T$4:$T$1004</definedName>
    <definedName name="Portee_balistique">Trajecto!$J$28</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Stabilito!$C$17</definedName>
    <definedName name="Q_ail">Stabilito!$C$32</definedName>
    <definedName name="Q_can">Stabilito!$D$32</definedName>
    <definedName name="Q_int" localSheetId="0">Stabilito!$E$32</definedName>
    <definedName name="Q_var">Abaco!$C$41:$C$67</definedName>
    <definedName name="R_rampe">Calculs!$U$4:$U$1004</definedName>
    <definedName name="Rho">Calculs!$V$4:$V$1004</definedName>
    <definedName name="Rho_moyen">Info!$E$53</definedName>
    <definedName name="S_ail">Controle!$H$64</definedName>
    <definedName name="S_para">Trajecto!$C$27</definedName>
    <definedName name="S_para_croix">Trajecto!$B$47</definedName>
    <definedName name="S_para_rond">Trajecto!$B$55</definedName>
    <definedName name="S_satellite">Trajecto!$D$27</definedName>
    <definedName name="Sref">Trajecto!$C$14</definedName>
    <definedName name="sS">Trajecto!$F$132</definedName>
    <definedName name="t">Calculs!$B$4:$B$1004</definedName>
    <definedName name="T_balistique">Trajecto!$H$28</definedName>
    <definedName name="T_ini">Trajecto!$H$40</definedName>
    <definedName name="T_para">Trajecto!$C$113</definedName>
    <definedName name="T_satellite">Trajecto!$D$26</definedName>
    <definedName name="Temps_culmi">Trajecto!$H$26</definedName>
    <definedName name="Temps_fin_propu">Propu!$X$3</definedName>
    <definedName name="Trainee">Calculs!$W$4:$W$1004</definedName>
    <definedName name="tT_fus">Trajecto!$F$133</definedName>
    <definedName name="tT_sat">Trajecto!$F$150</definedName>
    <definedName name="Type_fusee">Stabilito!$C$10</definedName>
    <definedName name="Type_masquage" localSheetId="5">Stabilito!$C$26</definedName>
    <definedName name="Type_masquage" localSheetId="0">Stabilito!$C$26</definedName>
    <definedName name="Type_propu">Propu!$V$2</definedName>
    <definedName name="V_ini">Trajecto!$K$40</definedName>
    <definedName name="V_ouv_sat">Trajecto!$K$25</definedName>
    <definedName name="V_ouverture">Trajecto!$K$27</definedName>
    <definedName name="V_para">Trajecto!$C$30</definedName>
    <definedName name="V_prop">Abaco!$K$41:$K$67</definedName>
    <definedName name="V_satellite">Trajecto!$D$30</definedName>
    <definedName name="V_vent">Trajecto!$C$29</definedName>
    <definedName name="V_vent_sat">Trajecto!$D$29</definedName>
    <definedName name="Version" localSheetId="0">Stabilito!$Q$36</definedName>
    <definedName name="Version" localSheetId="1">Trajecto!$N$35</definedName>
    <definedName name="Vit_culmi">Trajecto!$K$26</definedName>
    <definedName name="Vit_max">Trajecto!$K$24</definedName>
    <definedName name="vit_x">Calculs!$G$4:$G$1004</definedName>
    <definedName name="vit_xz">Calculs!$I$4:$I$1004</definedName>
    <definedName name="vit_z">Calculs!$H$4:$H$1004</definedName>
    <definedName name="Vsortie_de_rampe">Trajecto!$K$23</definedName>
    <definedName name="X_ail">Stabilito!$C$33</definedName>
    <definedName name="X_can">Stabilito!$D$33</definedName>
    <definedName name="X_culmi">Trajecto!$J$26</definedName>
    <definedName name="X_ini">Trajecto!$J$40</definedName>
    <definedName name="X_int" localSheetId="0">Stabilito!$E$33</definedName>
    <definedName name="X_j">Stabilito!$M$9</definedName>
    <definedName name="X_para">Trajecto!$J$27</definedName>
    <definedName name="X_r">Stabilito!$O$9</definedName>
    <definedName name="X_satellite">Trajecto!$J$25</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Stabilito!$C$18</definedName>
    <definedName name="XpropuVide">Propu!$P$2</definedName>
    <definedName name="Z_ini">Trajecto!$I$40</definedName>
    <definedName name="_xlnm.Print_Area" localSheetId="5">Abaco!$A$1:$M$35</definedName>
    <definedName name="_xlnm.Print_Area" localSheetId="2">Courbes!$A$1:$K$78</definedName>
    <definedName name="_xlnm.Print_Area" localSheetId="0">Stabilito!$A$1:$Q$37</definedName>
    <definedName name="_xlnm.Print_Area" localSheetId="1">Trajecto!$A$1:$N$35</definedName>
    <definedName name="zZ_fus">Trajecto!$F$134</definedName>
    <definedName name="zZ_sat">Trajecto!$F$151</definedName>
  </definedNames>
  <calcPr calcId="125725"/>
</workbook>
</file>

<file path=xl/calcChain.xml><?xml version="1.0" encoding="utf-8"?>
<calcChain xmlns="http://schemas.openxmlformats.org/spreadsheetml/2006/main">
  <c r="X307" i="4"/>
  <c r="W307"/>
  <c r="V307"/>
  <c r="U307"/>
  <c r="T307"/>
  <c r="S307"/>
  <c r="R307"/>
  <c r="Q307"/>
  <c r="P307"/>
  <c r="O307"/>
  <c r="N307"/>
  <c r="M307"/>
  <c r="L307"/>
  <c r="K307"/>
  <c r="J307"/>
  <c r="I307"/>
  <c r="H307"/>
  <c r="G307"/>
  <c r="F307"/>
  <c r="E307"/>
  <c r="D307"/>
  <c r="C307"/>
  <c r="B307"/>
  <c r="J304"/>
  <c r="B304"/>
  <c r="O7" i="6"/>
  <c r="O8"/>
  <c r="M7"/>
  <c r="C14"/>
  <c r="H6" i="7" s="1"/>
  <c r="C19" i="6"/>
  <c r="L322" i="4"/>
  <c r="L324"/>
  <c r="L325"/>
  <c r="L326"/>
  <c r="L320"/>
  <c r="L319"/>
  <c r="L318"/>
  <c r="L317"/>
  <c r="I321"/>
  <c r="I320"/>
  <c r="I319"/>
  <c r="I318"/>
  <c r="I317"/>
  <c r="X151"/>
  <c r="W151"/>
  <c r="V151"/>
  <c r="U151"/>
  <c r="T151"/>
  <c r="S151"/>
  <c r="R151"/>
  <c r="Q151"/>
  <c r="P151"/>
  <c r="O151"/>
  <c r="N151"/>
  <c r="M151"/>
  <c r="L151"/>
  <c r="K151"/>
  <c r="J151"/>
  <c r="I151"/>
  <c r="H151"/>
  <c r="G151"/>
  <c r="F151"/>
  <c r="E151"/>
  <c r="D151"/>
  <c r="C151"/>
  <c r="B151"/>
  <c r="J148"/>
  <c r="B148"/>
  <c r="D103"/>
  <c r="E103"/>
  <c r="F103"/>
  <c r="G103"/>
  <c r="H103"/>
  <c r="I103"/>
  <c r="J103"/>
  <c r="K103"/>
  <c r="L103"/>
  <c r="M103"/>
  <c r="N103"/>
  <c r="O103"/>
  <c r="P103"/>
  <c r="Q103"/>
  <c r="R103"/>
  <c r="S103"/>
  <c r="T103"/>
  <c r="U103"/>
  <c r="V103"/>
  <c r="W103"/>
  <c r="X103"/>
  <c r="S98"/>
  <c r="T98"/>
  <c r="U98"/>
  <c r="V98"/>
  <c r="W98"/>
  <c r="X98"/>
  <c r="D98"/>
  <c r="E98"/>
  <c r="F98"/>
  <c r="G98"/>
  <c r="H98"/>
  <c r="I98"/>
  <c r="J98"/>
  <c r="K98"/>
  <c r="L98"/>
  <c r="M98"/>
  <c r="N98"/>
  <c r="O98"/>
  <c r="P98"/>
  <c r="Q98"/>
  <c r="R98"/>
  <c r="C103"/>
  <c r="C98"/>
  <c r="X104"/>
  <c r="X105" s="1"/>
  <c r="W104"/>
  <c r="V104"/>
  <c r="U104"/>
  <c r="T105" s="1"/>
  <c r="T104"/>
  <c r="S105" s="1"/>
  <c r="S104"/>
  <c r="R104"/>
  <c r="R105" s="1"/>
  <c r="Q104"/>
  <c r="P105" s="1"/>
  <c r="P104"/>
  <c r="O104"/>
  <c r="N105"/>
  <c r="N104"/>
  <c r="M104"/>
  <c r="L104"/>
  <c r="K104"/>
  <c r="J105" s="1"/>
  <c r="J104"/>
  <c r="I105" s="1"/>
  <c r="I104"/>
  <c r="H104"/>
  <c r="G104"/>
  <c r="F104"/>
  <c r="E104"/>
  <c r="E105" s="1"/>
  <c r="D104"/>
  <c r="C104"/>
  <c r="B105" s="1"/>
  <c r="B104"/>
  <c r="L102"/>
  <c r="H102"/>
  <c r="B102"/>
  <c r="X99"/>
  <c r="W99"/>
  <c r="V100" s="1"/>
  <c r="V99"/>
  <c r="U99"/>
  <c r="T99"/>
  <c r="S99"/>
  <c r="R100" s="1"/>
  <c r="R99"/>
  <c r="Q99"/>
  <c r="P99"/>
  <c r="P100" s="1"/>
  <c r="O99"/>
  <c r="N99"/>
  <c r="M99"/>
  <c r="L99"/>
  <c r="L100" s="1"/>
  <c r="K99"/>
  <c r="J99"/>
  <c r="J100" s="1"/>
  <c r="I99"/>
  <c r="H99"/>
  <c r="G100" s="1"/>
  <c r="G99"/>
  <c r="F99"/>
  <c r="E100"/>
  <c r="E99"/>
  <c r="D99"/>
  <c r="C99"/>
  <c r="B100" s="1"/>
  <c r="B99"/>
  <c r="L97"/>
  <c r="H97"/>
  <c r="B97"/>
  <c r="X95"/>
  <c r="W95"/>
  <c r="V95"/>
  <c r="U95"/>
  <c r="T95"/>
  <c r="S95"/>
  <c r="R95"/>
  <c r="Q95"/>
  <c r="P95"/>
  <c r="O95"/>
  <c r="N95"/>
  <c r="M95"/>
  <c r="L95"/>
  <c r="K95"/>
  <c r="J95"/>
  <c r="I95"/>
  <c r="H95"/>
  <c r="G95"/>
  <c r="F95"/>
  <c r="E95"/>
  <c r="D95"/>
  <c r="C95"/>
  <c r="B95"/>
  <c r="J92"/>
  <c r="B92"/>
  <c r="O344"/>
  <c r="O343"/>
  <c r="O342"/>
  <c r="O341"/>
  <c r="Q206"/>
  <c r="P206"/>
  <c r="O206"/>
  <c r="N206"/>
  <c r="M206"/>
  <c r="L206"/>
  <c r="K206"/>
  <c r="J206"/>
  <c r="I206"/>
  <c r="H206"/>
  <c r="G206"/>
  <c r="F206"/>
  <c r="E206"/>
  <c r="D206"/>
  <c r="C206"/>
  <c r="B206"/>
  <c r="J203"/>
  <c r="B203"/>
  <c r="E5" i="7"/>
  <c r="H7"/>
  <c r="E7"/>
  <c r="E6"/>
  <c r="H9"/>
  <c r="K26"/>
  <c r="K25"/>
  <c r="K23"/>
  <c r="J26"/>
  <c r="J25"/>
  <c r="J23"/>
  <c r="G27"/>
  <c r="G26"/>
  <c r="F26"/>
  <c r="G25"/>
  <c r="F25"/>
  <c r="G24"/>
  <c r="F24"/>
  <c r="G23"/>
  <c r="F23"/>
  <c r="D27"/>
  <c r="D24"/>
  <c r="B31" i="6"/>
  <c r="B30"/>
  <c r="B29"/>
  <c r="B28"/>
  <c r="B27"/>
  <c r="B35"/>
  <c r="B34"/>
  <c r="B33"/>
  <c r="B32"/>
  <c r="U35" i="7"/>
  <c r="U34"/>
  <c r="U33"/>
  <c r="U32"/>
  <c r="U31"/>
  <c r="U30"/>
  <c r="P32"/>
  <c r="P31"/>
  <c r="Q34"/>
  <c r="P29"/>
  <c r="U20"/>
  <c r="Q17"/>
  <c r="U16"/>
  <c r="U13"/>
  <c r="Q12"/>
  <c r="U11"/>
  <c r="Q3"/>
  <c r="E17"/>
  <c r="E16"/>
  <c r="E15"/>
  <c r="E13"/>
  <c r="B52" i="1"/>
  <c r="B50"/>
  <c r="B55"/>
  <c r="D27"/>
  <c r="I69" i="7" s="1"/>
  <c r="D24" i="1"/>
  <c r="C18"/>
  <c r="H8" i="7" s="1"/>
  <c r="C161" i="6"/>
  <c r="C162"/>
  <c r="C160"/>
  <c r="C159"/>
  <c r="C158"/>
  <c r="C25"/>
  <c r="M21"/>
  <c r="C33"/>
  <c r="C140" s="1"/>
  <c r="C18"/>
  <c r="D25" i="7" s="1"/>
  <c r="F108" i="1"/>
  <c r="C113" s="1"/>
  <c r="C152"/>
  <c r="C150"/>
  <c r="C148"/>
  <c r="N33"/>
  <c r="C131"/>
  <c r="B25"/>
  <c r="J30" i="6"/>
  <c r="E191" s="1"/>
  <c r="G30"/>
  <c r="E182" s="1"/>
  <c r="J29"/>
  <c r="B188" s="1"/>
  <c r="G29"/>
  <c r="J28"/>
  <c r="C185" s="1"/>
  <c r="J27"/>
  <c r="G28"/>
  <c r="G27"/>
  <c r="W35"/>
  <c r="B100"/>
  <c r="B97"/>
  <c r="B98"/>
  <c r="Q241" i="4"/>
  <c r="P241"/>
  <c r="O241"/>
  <c r="N241"/>
  <c r="M241"/>
  <c r="L241"/>
  <c r="K241"/>
  <c r="J241"/>
  <c r="I241"/>
  <c r="H241"/>
  <c r="G241"/>
  <c r="F241"/>
  <c r="E241"/>
  <c r="D241"/>
  <c r="C241"/>
  <c r="B241"/>
  <c r="S240"/>
  <c r="T240"/>
  <c r="S239"/>
  <c r="T239" s="1"/>
  <c r="J238"/>
  <c r="B238"/>
  <c r="O321"/>
  <c r="O320"/>
  <c r="S131"/>
  <c r="R131"/>
  <c r="Q131"/>
  <c r="P131"/>
  <c r="O131"/>
  <c r="N131"/>
  <c r="M131"/>
  <c r="L131"/>
  <c r="K131"/>
  <c r="J131"/>
  <c r="I131"/>
  <c r="H131"/>
  <c r="G131"/>
  <c r="F131"/>
  <c r="E131"/>
  <c r="D131"/>
  <c r="C131"/>
  <c r="B131"/>
  <c r="V130"/>
  <c r="U131" s="1"/>
  <c r="T131"/>
  <c r="J128"/>
  <c r="B128"/>
  <c r="R126"/>
  <c r="Q126"/>
  <c r="P126"/>
  <c r="O126"/>
  <c r="N126"/>
  <c r="M126"/>
  <c r="L126"/>
  <c r="K126"/>
  <c r="J126"/>
  <c r="I126"/>
  <c r="H126"/>
  <c r="G126"/>
  <c r="F126"/>
  <c r="E126"/>
  <c r="D126"/>
  <c r="C126"/>
  <c r="B126"/>
  <c r="T125"/>
  <c r="S126" s="1"/>
  <c r="J123"/>
  <c r="B123"/>
  <c r="O340"/>
  <c r="T256"/>
  <c r="S256"/>
  <c r="R256"/>
  <c r="Q256"/>
  <c r="P256"/>
  <c r="O256"/>
  <c r="N256"/>
  <c r="M256"/>
  <c r="L256"/>
  <c r="K256"/>
  <c r="J256"/>
  <c r="I256"/>
  <c r="H256"/>
  <c r="G256"/>
  <c r="F256"/>
  <c r="E256"/>
  <c r="D256"/>
  <c r="C256"/>
  <c r="B256"/>
  <c r="V255"/>
  <c r="W255" s="1"/>
  <c r="V254"/>
  <c r="W254" s="1"/>
  <c r="X254" s="1"/>
  <c r="J253"/>
  <c r="B253"/>
  <c r="O337"/>
  <c r="Q236"/>
  <c r="P236"/>
  <c r="O236"/>
  <c r="N236"/>
  <c r="M236"/>
  <c r="L236"/>
  <c r="K236"/>
  <c r="J236"/>
  <c r="I236"/>
  <c r="H236"/>
  <c r="G236"/>
  <c r="F236"/>
  <c r="E236"/>
  <c r="D236"/>
  <c r="C236"/>
  <c r="B236"/>
  <c r="S235"/>
  <c r="T235" s="1"/>
  <c r="S234"/>
  <c r="T234"/>
  <c r="U234" s="1"/>
  <c r="V234" s="1"/>
  <c r="W234" s="1"/>
  <c r="J233"/>
  <c r="B233"/>
  <c r="O346"/>
  <c r="Q211"/>
  <c r="P211"/>
  <c r="O211"/>
  <c r="N211"/>
  <c r="M211"/>
  <c r="L211"/>
  <c r="K211"/>
  <c r="J211"/>
  <c r="I211"/>
  <c r="H211"/>
  <c r="G211"/>
  <c r="F211"/>
  <c r="E211"/>
  <c r="D211"/>
  <c r="C211"/>
  <c r="B211"/>
  <c r="S211"/>
  <c r="R211"/>
  <c r="J208"/>
  <c r="B208"/>
  <c r="O336"/>
  <c r="O335"/>
  <c r="O334"/>
  <c r="O333"/>
  <c r="O338"/>
  <c r="O339"/>
  <c r="O345"/>
  <c r="O323"/>
  <c r="O324"/>
  <c r="O325"/>
  <c r="O326"/>
  <c r="O327"/>
  <c r="O319"/>
  <c r="O322"/>
  <c r="O328"/>
  <c r="O329"/>
  <c r="O330"/>
  <c r="O331"/>
  <c r="O332"/>
  <c r="O318"/>
  <c r="O317"/>
  <c r="U256"/>
  <c r="R236"/>
  <c r="X231"/>
  <c r="W231"/>
  <c r="V231"/>
  <c r="U231"/>
  <c r="T231"/>
  <c r="S231"/>
  <c r="R231"/>
  <c r="Q231"/>
  <c r="P231"/>
  <c r="O231"/>
  <c r="N231"/>
  <c r="M231"/>
  <c r="L231"/>
  <c r="K231"/>
  <c r="J231"/>
  <c r="I231"/>
  <c r="H231"/>
  <c r="G231"/>
  <c r="F231"/>
  <c r="E231"/>
  <c r="D231"/>
  <c r="C231"/>
  <c r="B231"/>
  <c r="J228"/>
  <c r="B228"/>
  <c r="Q226"/>
  <c r="P226"/>
  <c r="O226"/>
  <c r="N226"/>
  <c r="M226"/>
  <c r="L226"/>
  <c r="K226"/>
  <c r="J226"/>
  <c r="I226"/>
  <c r="H226"/>
  <c r="G226"/>
  <c r="F226"/>
  <c r="E226"/>
  <c r="D226"/>
  <c r="C226"/>
  <c r="B226"/>
  <c r="T225"/>
  <c r="U225" s="1"/>
  <c r="R226"/>
  <c r="T224"/>
  <c r="U224" s="1"/>
  <c r="V224" s="1"/>
  <c r="W224" s="1"/>
  <c r="J223"/>
  <c r="B223"/>
  <c r="V249"/>
  <c r="W249" s="1"/>
  <c r="W244"/>
  <c r="Q251"/>
  <c r="P251"/>
  <c r="O251"/>
  <c r="N251"/>
  <c r="M251"/>
  <c r="L251"/>
  <c r="K251"/>
  <c r="J251"/>
  <c r="I251"/>
  <c r="H251"/>
  <c r="G251"/>
  <c r="F251"/>
  <c r="E251"/>
  <c r="D251"/>
  <c r="C251"/>
  <c r="B251"/>
  <c r="J248"/>
  <c r="B248"/>
  <c r="J246"/>
  <c r="I246"/>
  <c r="H246"/>
  <c r="G246"/>
  <c r="F246"/>
  <c r="E246"/>
  <c r="D246"/>
  <c r="C246"/>
  <c r="B246"/>
  <c r="J243"/>
  <c r="B243"/>
  <c r="L194"/>
  <c r="M194"/>
  <c r="R334"/>
  <c r="R335"/>
  <c r="R336"/>
  <c r="R337"/>
  <c r="R338"/>
  <c r="R339"/>
  <c r="S195"/>
  <c r="T195"/>
  <c r="U195"/>
  <c r="J196"/>
  <c r="I196"/>
  <c r="H196"/>
  <c r="G196"/>
  <c r="F196"/>
  <c r="E196"/>
  <c r="D196"/>
  <c r="C196"/>
  <c r="B196"/>
  <c r="J193"/>
  <c r="B193"/>
  <c r="S200"/>
  <c r="T200" s="1"/>
  <c r="S199"/>
  <c r="T199" s="1"/>
  <c r="U199" s="1"/>
  <c r="V199" s="1"/>
  <c r="W199" s="1"/>
  <c r="X199" s="1"/>
  <c r="Q201"/>
  <c r="P201"/>
  <c r="O201"/>
  <c r="N201"/>
  <c r="M201"/>
  <c r="L201"/>
  <c r="K201"/>
  <c r="J201"/>
  <c r="I201"/>
  <c r="H201"/>
  <c r="G201"/>
  <c r="F201"/>
  <c r="E201"/>
  <c r="D201"/>
  <c r="C201"/>
  <c r="B201"/>
  <c r="J198"/>
  <c r="B198"/>
  <c r="B213"/>
  <c r="B216"/>
  <c r="C216"/>
  <c r="D216"/>
  <c r="E216"/>
  <c r="F216"/>
  <c r="G216"/>
  <c r="H216"/>
  <c r="I216"/>
  <c r="J216"/>
  <c r="K216"/>
  <c r="L216"/>
  <c r="M216"/>
  <c r="N216"/>
  <c r="O216"/>
  <c r="P216"/>
  <c r="Q216"/>
  <c r="S215"/>
  <c r="T215" s="1"/>
  <c r="S214"/>
  <c r="J213"/>
  <c r="A2"/>
  <c r="B133"/>
  <c r="B4" i="3"/>
  <c r="AC4" s="1"/>
  <c r="B136" i="4"/>
  <c r="C136"/>
  <c r="D136"/>
  <c r="E136"/>
  <c r="F136"/>
  <c r="G136"/>
  <c r="H136"/>
  <c r="I136"/>
  <c r="J136"/>
  <c r="K136"/>
  <c r="L136"/>
  <c r="M136"/>
  <c r="N136"/>
  <c r="O136"/>
  <c r="P136"/>
  <c r="Q136"/>
  <c r="R136"/>
  <c r="S136"/>
  <c r="T136"/>
  <c r="U136"/>
  <c r="V136"/>
  <c r="W136"/>
  <c r="X136"/>
  <c r="J133"/>
  <c r="N4" i="3"/>
  <c r="M4" s="1"/>
  <c r="H4" s="1"/>
  <c r="J4"/>
  <c r="L4" s="1"/>
  <c r="K4"/>
  <c r="V4" s="1"/>
  <c r="I4"/>
  <c r="B113" i="4"/>
  <c r="C35" i="6"/>
  <c r="M20"/>
  <c r="M18"/>
  <c r="C184"/>
  <c r="B116" i="4"/>
  <c r="C116"/>
  <c r="D116"/>
  <c r="E116"/>
  <c r="F116"/>
  <c r="G116"/>
  <c r="H116"/>
  <c r="I116"/>
  <c r="J116"/>
  <c r="K116"/>
  <c r="L116"/>
  <c r="M116"/>
  <c r="N116"/>
  <c r="O116"/>
  <c r="P116"/>
  <c r="Q116"/>
  <c r="R116"/>
  <c r="S116"/>
  <c r="U115"/>
  <c r="T116" s="1"/>
  <c r="J113"/>
  <c r="B166"/>
  <c r="C166"/>
  <c r="D166"/>
  <c r="E166"/>
  <c r="F166"/>
  <c r="G166"/>
  <c r="H166"/>
  <c r="I166"/>
  <c r="J166"/>
  <c r="K166"/>
  <c r="L166"/>
  <c r="M166"/>
  <c r="N166"/>
  <c r="O166"/>
  <c r="P166"/>
  <c r="Q166"/>
  <c r="R166"/>
  <c r="T165"/>
  <c r="S166" s="1"/>
  <c r="X164"/>
  <c r="L163"/>
  <c r="J163" s="1"/>
  <c r="B47" i="1"/>
  <c r="D29"/>
  <c r="B29" i="4"/>
  <c r="C29"/>
  <c r="D26" s="1"/>
  <c r="F26" s="1"/>
  <c r="D29"/>
  <c r="E29"/>
  <c r="F29"/>
  <c r="G29"/>
  <c r="H29"/>
  <c r="I29"/>
  <c r="J29"/>
  <c r="K29"/>
  <c r="L29"/>
  <c r="M29"/>
  <c r="N29"/>
  <c r="O29"/>
  <c r="P29"/>
  <c r="Q29"/>
  <c r="R29"/>
  <c r="S29"/>
  <c r="T29"/>
  <c r="U29"/>
  <c r="V29"/>
  <c r="W29"/>
  <c r="X29"/>
  <c r="J26"/>
  <c r="B34"/>
  <c r="C34"/>
  <c r="D34"/>
  <c r="E34"/>
  <c r="F34"/>
  <c r="G34"/>
  <c r="H34"/>
  <c r="I34"/>
  <c r="J34"/>
  <c r="K34"/>
  <c r="L34"/>
  <c r="M34"/>
  <c r="N34"/>
  <c r="O34"/>
  <c r="P34"/>
  <c r="Q34"/>
  <c r="R34"/>
  <c r="S34"/>
  <c r="T34"/>
  <c r="U34"/>
  <c r="V34"/>
  <c r="W34"/>
  <c r="X34"/>
  <c r="J31"/>
  <c r="B39"/>
  <c r="C39"/>
  <c r="D39"/>
  <c r="E39"/>
  <c r="F39"/>
  <c r="G39"/>
  <c r="H39"/>
  <c r="I39"/>
  <c r="J39"/>
  <c r="K39"/>
  <c r="L39"/>
  <c r="M39"/>
  <c r="N39"/>
  <c r="O39"/>
  <c r="P39"/>
  <c r="Q39"/>
  <c r="R39"/>
  <c r="S39"/>
  <c r="T39"/>
  <c r="U39"/>
  <c r="V39"/>
  <c r="W39"/>
  <c r="X39"/>
  <c r="J36"/>
  <c r="B44"/>
  <c r="C44"/>
  <c r="D41" s="1"/>
  <c r="F41" s="1"/>
  <c r="D44"/>
  <c r="E44"/>
  <c r="F44"/>
  <c r="G44"/>
  <c r="H44"/>
  <c r="I44"/>
  <c r="J44"/>
  <c r="K44"/>
  <c r="L44"/>
  <c r="M44"/>
  <c r="N44"/>
  <c r="O44"/>
  <c r="P44"/>
  <c r="Q44"/>
  <c r="R44"/>
  <c r="S44"/>
  <c r="T44"/>
  <c r="U44"/>
  <c r="V44"/>
  <c r="W44"/>
  <c r="X44"/>
  <c r="J41"/>
  <c r="B49"/>
  <c r="C49"/>
  <c r="D46" s="1"/>
  <c r="F46" s="1"/>
  <c r="D49"/>
  <c r="E49"/>
  <c r="F49"/>
  <c r="G49"/>
  <c r="H49"/>
  <c r="I49"/>
  <c r="J49"/>
  <c r="K49"/>
  <c r="L49"/>
  <c r="M49"/>
  <c r="N49"/>
  <c r="O49"/>
  <c r="P49"/>
  <c r="Q49"/>
  <c r="R49"/>
  <c r="S49"/>
  <c r="T49"/>
  <c r="U49"/>
  <c r="V49"/>
  <c r="W49"/>
  <c r="X49"/>
  <c r="J46"/>
  <c r="B54"/>
  <c r="C54"/>
  <c r="D54"/>
  <c r="E54"/>
  <c r="F54"/>
  <c r="G54"/>
  <c r="H54"/>
  <c r="I54"/>
  <c r="J54"/>
  <c r="K54"/>
  <c r="L54"/>
  <c r="M54"/>
  <c r="N54"/>
  <c r="O54"/>
  <c r="P54"/>
  <c r="Q54"/>
  <c r="R54"/>
  <c r="S54"/>
  <c r="T54"/>
  <c r="U54"/>
  <c r="V54"/>
  <c r="W54"/>
  <c r="X54"/>
  <c r="J51"/>
  <c r="B59"/>
  <c r="C59"/>
  <c r="D59"/>
  <c r="E59"/>
  <c r="F59"/>
  <c r="G59"/>
  <c r="H59"/>
  <c r="I59"/>
  <c r="J59"/>
  <c r="K59"/>
  <c r="L59"/>
  <c r="M59"/>
  <c r="N59"/>
  <c r="O59"/>
  <c r="P59"/>
  <c r="Q59"/>
  <c r="R59"/>
  <c r="S59"/>
  <c r="T59"/>
  <c r="U59"/>
  <c r="V59"/>
  <c r="W59"/>
  <c r="X59"/>
  <c r="J56"/>
  <c r="B64"/>
  <c r="C64"/>
  <c r="D61" s="1"/>
  <c r="F61" s="1"/>
  <c r="D64"/>
  <c r="E64"/>
  <c r="F64"/>
  <c r="G64"/>
  <c r="H64"/>
  <c r="I64"/>
  <c r="J64"/>
  <c r="K64"/>
  <c r="L64"/>
  <c r="M64"/>
  <c r="N64"/>
  <c r="O64"/>
  <c r="P64"/>
  <c r="Q64"/>
  <c r="R64"/>
  <c r="S64"/>
  <c r="T64"/>
  <c r="U64"/>
  <c r="V64"/>
  <c r="W64"/>
  <c r="X64"/>
  <c r="J61"/>
  <c r="B70"/>
  <c r="C70"/>
  <c r="D67" s="1"/>
  <c r="F67" s="1"/>
  <c r="D70"/>
  <c r="E70"/>
  <c r="F70"/>
  <c r="G70"/>
  <c r="H70"/>
  <c r="I70"/>
  <c r="J70"/>
  <c r="K70"/>
  <c r="L70"/>
  <c r="M70"/>
  <c r="N70"/>
  <c r="O70"/>
  <c r="P70"/>
  <c r="Q70"/>
  <c r="R70"/>
  <c r="S70"/>
  <c r="T70"/>
  <c r="U70"/>
  <c r="V70"/>
  <c r="W70"/>
  <c r="X70"/>
  <c r="J67"/>
  <c r="B75"/>
  <c r="C75"/>
  <c r="D75"/>
  <c r="E75"/>
  <c r="F75"/>
  <c r="G75"/>
  <c r="H75"/>
  <c r="I75"/>
  <c r="J75"/>
  <c r="K75"/>
  <c r="L75"/>
  <c r="M75"/>
  <c r="N75"/>
  <c r="O75"/>
  <c r="P75"/>
  <c r="Q75"/>
  <c r="R75"/>
  <c r="S75"/>
  <c r="T75"/>
  <c r="U75"/>
  <c r="V75"/>
  <c r="W75"/>
  <c r="X75"/>
  <c r="J72"/>
  <c r="B80"/>
  <c r="C80"/>
  <c r="D80"/>
  <c r="E80"/>
  <c r="F80"/>
  <c r="G80"/>
  <c r="H80"/>
  <c r="I80"/>
  <c r="J80"/>
  <c r="K80"/>
  <c r="L80"/>
  <c r="M80"/>
  <c r="N80"/>
  <c r="O80"/>
  <c r="P80"/>
  <c r="Q80"/>
  <c r="R80"/>
  <c r="S80"/>
  <c r="T80"/>
  <c r="U80"/>
  <c r="V80"/>
  <c r="W80"/>
  <c r="X80"/>
  <c r="J77"/>
  <c r="C84"/>
  <c r="B84"/>
  <c r="D84"/>
  <c r="E84"/>
  <c r="F84"/>
  <c r="G84"/>
  <c r="F85" s="1"/>
  <c r="H84"/>
  <c r="I84"/>
  <c r="J84"/>
  <c r="I85" s="1"/>
  <c r="K84"/>
  <c r="K85" s="1"/>
  <c r="L84"/>
  <c r="M84"/>
  <c r="N84"/>
  <c r="O84"/>
  <c r="N85" s="1"/>
  <c r="P84"/>
  <c r="Q84"/>
  <c r="R84"/>
  <c r="Q85" s="1"/>
  <c r="S84"/>
  <c r="S85" s="1"/>
  <c r="T84"/>
  <c r="U84"/>
  <c r="V84"/>
  <c r="W84"/>
  <c r="V85" s="1"/>
  <c r="X84"/>
  <c r="H82"/>
  <c r="L82"/>
  <c r="J82" s="1"/>
  <c r="C89"/>
  <c r="C90" s="1"/>
  <c r="B89"/>
  <c r="D89"/>
  <c r="E89"/>
  <c r="E90" s="1"/>
  <c r="F89"/>
  <c r="G89"/>
  <c r="H89"/>
  <c r="I89"/>
  <c r="H90" s="1"/>
  <c r="J89"/>
  <c r="K89"/>
  <c r="L89"/>
  <c r="M89"/>
  <c r="M90" s="1"/>
  <c r="N89"/>
  <c r="O89"/>
  <c r="P89"/>
  <c r="Q89"/>
  <c r="P90" s="1"/>
  <c r="R89"/>
  <c r="S89"/>
  <c r="T89"/>
  <c r="U89"/>
  <c r="U90" s="1"/>
  <c r="V89"/>
  <c r="W89"/>
  <c r="X89"/>
  <c r="X90" s="1"/>
  <c r="H87"/>
  <c r="L87"/>
  <c r="B111"/>
  <c r="C111"/>
  <c r="D111"/>
  <c r="E111"/>
  <c r="F111"/>
  <c r="G111"/>
  <c r="H111"/>
  <c r="I111"/>
  <c r="J111"/>
  <c r="K111"/>
  <c r="L111"/>
  <c r="M111"/>
  <c r="N111"/>
  <c r="O111"/>
  <c r="P111"/>
  <c r="Q111"/>
  <c r="R111"/>
  <c r="T110"/>
  <c r="S111" s="1"/>
  <c r="J108"/>
  <c r="B121"/>
  <c r="C121"/>
  <c r="D121"/>
  <c r="E121"/>
  <c r="F121"/>
  <c r="G121"/>
  <c r="H121"/>
  <c r="I121"/>
  <c r="J121"/>
  <c r="K121"/>
  <c r="L121"/>
  <c r="M121"/>
  <c r="N121"/>
  <c r="O121"/>
  <c r="P121"/>
  <c r="Q121"/>
  <c r="R121"/>
  <c r="T120"/>
  <c r="S121" s="1"/>
  <c r="J118"/>
  <c r="B141"/>
  <c r="C141"/>
  <c r="D141"/>
  <c r="E141"/>
  <c r="F141"/>
  <c r="G141"/>
  <c r="H141"/>
  <c r="I141"/>
  <c r="J141"/>
  <c r="K141"/>
  <c r="L141"/>
  <c r="M141"/>
  <c r="N141"/>
  <c r="O141"/>
  <c r="P141"/>
  <c r="Q141"/>
  <c r="R141"/>
  <c r="S141"/>
  <c r="T141"/>
  <c r="U141"/>
  <c r="V141"/>
  <c r="W141"/>
  <c r="X141"/>
  <c r="J138"/>
  <c r="B146"/>
  <c r="D143" s="1"/>
  <c r="F143" s="1"/>
  <c r="C146"/>
  <c r="D146"/>
  <c r="E146"/>
  <c r="F146"/>
  <c r="G146"/>
  <c r="H146"/>
  <c r="I146"/>
  <c r="J146"/>
  <c r="K146"/>
  <c r="L146"/>
  <c r="M146"/>
  <c r="N146"/>
  <c r="O146"/>
  <c r="P146"/>
  <c r="Q146"/>
  <c r="R146"/>
  <c r="S146"/>
  <c r="T146"/>
  <c r="U146"/>
  <c r="V146"/>
  <c r="W146"/>
  <c r="X146"/>
  <c r="J143"/>
  <c r="B156"/>
  <c r="C156"/>
  <c r="D156"/>
  <c r="E156"/>
  <c r="F156"/>
  <c r="G156"/>
  <c r="H156"/>
  <c r="I156"/>
  <c r="J156"/>
  <c r="K156"/>
  <c r="L156"/>
  <c r="M156"/>
  <c r="N156"/>
  <c r="O156"/>
  <c r="P156"/>
  <c r="Q156"/>
  <c r="R156"/>
  <c r="S156"/>
  <c r="T156"/>
  <c r="U156"/>
  <c r="V156"/>
  <c r="W156"/>
  <c r="X156"/>
  <c r="J153"/>
  <c r="B161"/>
  <c r="D158" s="1"/>
  <c r="F158" s="1"/>
  <c r="C161"/>
  <c r="D161"/>
  <c r="E161"/>
  <c r="F161"/>
  <c r="G161"/>
  <c r="H161"/>
  <c r="I161"/>
  <c r="J161"/>
  <c r="K161"/>
  <c r="L161"/>
  <c r="M161"/>
  <c r="N161"/>
  <c r="O161"/>
  <c r="P161"/>
  <c r="Q161"/>
  <c r="R161"/>
  <c r="S161"/>
  <c r="T161"/>
  <c r="U161"/>
  <c r="V161"/>
  <c r="W161"/>
  <c r="X161"/>
  <c r="J158"/>
  <c r="B171"/>
  <c r="D168" s="1"/>
  <c r="F168" s="1"/>
  <c r="C171"/>
  <c r="D171"/>
  <c r="E171"/>
  <c r="F171"/>
  <c r="G171"/>
  <c r="H171"/>
  <c r="I171"/>
  <c r="J171"/>
  <c r="K171"/>
  <c r="L171"/>
  <c r="M171"/>
  <c r="N171"/>
  <c r="O171"/>
  <c r="P171"/>
  <c r="Q171"/>
  <c r="R171"/>
  <c r="S171"/>
  <c r="T171"/>
  <c r="U171"/>
  <c r="V171"/>
  <c r="W171"/>
  <c r="X171"/>
  <c r="J168"/>
  <c r="B176"/>
  <c r="C176"/>
  <c r="D176"/>
  <c r="E176"/>
  <c r="F176"/>
  <c r="G176"/>
  <c r="H176"/>
  <c r="I176"/>
  <c r="J176"/>
  <c r="K176"/>
  <c r="L176"/>
  <c r="M176"/>
  <c r="N176"/>
  <c r="O176"/>
  <c r="P176"/>
  <c r="Q176"/>
  <c r="R176"/>
  <c r="S176"/>
  <c r="T176"/>
  <c r="U176"/>
  <c r="V176"/>
  <c r="W176"/>
  <c r="X176"/>
  <c r="J173"/>
  <c r="B181"/>
  <c r="D178" s="1"/>
  <c r="F178" s="1"/>
  <c r="C181"/>
  <c r="D181"/>
  <c r="E181"/>
  <c r="F181"/>
  <c r="G181"/>
  <c r="H181"/>
  <c r="I181"/>
  <c r="J181"/>
  <c r="K181"/>
  <c r="L181"/>
  <c r="M181"/>
  <c r="N181"/>
  <c r="O181"/>
  <c r="P181"/>
  <c r="Q181"/>
  <c r="R181"/>
  <c r="S181"/>
  <c r="T181"/>
  <c r="U181"/>
  <c r="V181"/>
  <c r="W181"/>
  <c r="X181"/>
  <c r="J178"/>
  <c r="B186"/>
  <c r="C186"/>
  <c r="D186"/>
  <c r="E186"/>
  <c r="F186"/>
  <c r="G186"/>
  <c r="H186"/>
  <c r="I186"/>
  <c r="J186"/>
  <c r="K186"/>
  <c r="L186"/>
  <c r="M186"/>
  <c r="N186"/>
  <c r="O186"/>
  <c r="P186"/>
  <c r="Q186"/>
  <c r="R186"/>
  <c r="S186"/>
  <c r="T186"/>
  <c r="U186"/>
  <c r="V186"/>
  <c r="W186"/>
  <c r="X186"/>
  <c r="J183"/>
  <c r="B191"/>
  <c r="C191"/>
  <c r="D191"/>
  <c r="E191"/>
  <c r="F191"/>
  <c r="G191"/>
  <c r="H191"/>
  <c r="I191"/>
  <c r="J191"/>
  <c r="K191"/>
  <c r="L191"/>
  <c r="M191"/>
  <c r="N191"/>
  <c r="O191"/>
  <c r="P191"/>
  <c r="Q191"/>
  <c r="R191"/>
  <c r="T190"/>
  <c r="U190" s="1"/>
  <c r="X189"/>
  <c r="L188"/>
  <c r="J188" s="1"/>
  <c r="B221"/>
  <c r="D218" s="1"/>
  <c r="F218" s="1"/>
  <c r="C221"/>
  <c r="D221"/>
  <c r="E221"/>
  <c r="F221"/>
  <c r="G221"/>
  <c r="H221"/>
  <c r="I221"/>
  <c r="J221"/>
  <c r="K221"/>
  <c r="L221"/>
  <c r="M221"/>
  <c r="N221"/>
  <c r="O221"/>
  <c r="P221"/>
  <c r="Q221"/>
  <c r="R221"/>
  <c r="S221"/>
  <c r="T221"/>
  <c r="U221"/>
  <c r="V221"/>
  <c r="W221"/>
  <c r="X221"/>
  <c r="J218"/>
  <c r="B261"/>
  <c r="D258" s="1"/>
  <c r="F258" s="1"/>
  <c r="C261"/>
  <c r="D261"/>
  <c r="E261"/>
  <c r="F261"/>
  <c r="G261"/>
  <c r="H261"/>
  <c r="I261"/>
  <c r="J261"/>
  <c r="K261"/>
  <c r="L261"/>
  <c r="M261"/>
  <c r="N261"/>
  <c r="O261"/>
  <c r="P261"/>
  <c r="Q261"/>
  <c r="R261"/>
  <c r="S261"/>
  <c r="T261"/>
  <c r="U261"/>
  <c r="V261"/>
  <c r="W261"/>
  <c r="X261"/>
  <c r="J258"/>
  <c r="B266"/>
  <c r="C266"/>
  <c r="D266"/>
  <c r="E266"/>
  <c r="F266"/>
  <c r="G266"/>
  <c r="H266"/>
  <c r="I266"/>
  <c r="J266"/>
  <c r="K266"/>
  <c r="L266"/>
  <c r="M266"/>
  <c r="N266"/>
  <c r="O266"/>
  <c r="P266"/>
  <c r="Q266"/>
  <c r="R266"/>
  <c r="S266"/>
  <c r="T266"/>
  <c r="U266"/>
  <c r="V266"/>
  <c r="W266"/>
  <c r="X266"/>
  <c r="J263"/>
  <c r="B272"/>
  <c r="C272"/>
  <c r="D272"/>
  <c r="E272"/>
  <c r="F272"/>
  <c r="G272"/>
  <c r="H272"/>
  <c r="I272"/>
  <c r="J272"/>
  <c r="K272"/>
  <c r="L272"/>
  <c r="M272"/>
  <c r="N272"/>
  <c r="O272"/>
  <c r="P272"/>
  <c r="Q272"/>
  <c r="R272"/>
  <c r="S272"/>
  <c r="T272"/>
  <c r="U272"/>
  <c r="V272"/>
  <c r="W272"/>
  <c r="X272"/>
  <c r="J269"/>
  <c r="B277"/>
  <c r="D274" s="1"/>
  <c r="F274" s="1"/>
  <c r="C277"/>
  <c r="D277"/>
  <c r="E277"/>
  <c r="F277"/>
  <c r="G277"/>
  <c r="H277"/>
  <c r="I277"/>
  <c r="J277"/>
  <c r="K277"/>
  <c r="L277"/>
  <c r="M277"/>
  <c r="N277"/>
  <c r="O277"/>
  <c r="P277"/>
  <c r="Q277"/>
  <c r="R277"/>
  <c r="S277"/>
  <c r="T277"/>
  <c r="U277"/>
  <c r="V277"/>
  <c r="W277"/>
  <c r="X277"/>
  <c r="J274"/>
  <c r="B282"/>
  <c r="D279" s="1"/>
  <c r="F279" s="1"/>
  <c r="C282"/>
  <c r="D282"/>
  <c r="E282"/>
  <c r="F282"/>
  <c r="G282"/>
  <c r="H282"/>
  <c r="I282"/>
  <c r="J282"/>
  <c r="K282"/>
  <c r="L282"/>
  <c r="M282"/>
  <c r="N282"/>
  <c r="O282"/>
  <c r="P282"/>
  <c r="Q282"/>
  <c r="R282"/>
  <c r="S282"/>
  <c r="T282"/>
  <c r="U282"/>
  <c r="V282"/>
  <c r="W282"/>
  <c r="X282"/>
  <c r="J279"/>
  <c r="B287"/>
  <c r="C287"/>
  <c r="D287"/>
  <c r="E287"/>
  <c r="F287"/>
  <c r="G287"/>
  <c r="H287"/>
  <c r="I287"/>
  <c r="J287"/>
  <c r="K287"/>
  <c r="L287"/>
  <c r="M287"/>
  <c r="N287"/>
  <c r="O287"/>
  <c r="P287"/>
  <c r="Q287"/>
  <c r="R287"/>
  <c r="S287"/>
  <c r="T287"/>
  <c r="U287"/>
  <c r="V287"/>
  <c r="W287"/>
  <c r="X287"/>
  <c r="J284"/>
  <c r="B292"/>
  <c r="C292"/>
  <c r="D292"/>
  <c r="E292"/>
  <c r="F292"/>
  <c r="G292"/>
  <c r="H292"/>
  <c r="I292"/>
  <c r="J292"/>
  <c r="K292"/>
  <c r="L292"/>
  <c r="M292"/>
  <c r="N292"/>
  <c r="O292"/>
  <c r="P292"/>
  <c r="Q292"/>
  <c r="R292"/>
  <c r="S292"/>
  <c r="T292"/>
  <c r="U292"/>
  <c r="V292"/>
  <c r="W292"/>
  <c r="X292"/>
  <c r="J289"/>
  <c r="B297"/>
  <c r="C297"/>
  <c r="D297"/>
  <c r="E297"/>
  <c r="F297"/>
  <c r="G297"/>
  <c r="H297"/>
  <c r="I297"/>
  <c r="J297"/>
  <c r="K297"/>
  <c r="L297"/>
  <c r="M297"/>
  <c r="N297"/>
  <c r="O297"/>
  <c r="P297"/>
  <c r="Q297"/>
  <c r="R297"/>
  <c r="S297"/>
  <c r="T297"/>
  <c r="U297"/>
  <c r="V297"/>
  <c r="W297"/>
  <c r="X297"/>
  <c r="J294"/>
  <c r="B302"/>
  <c r="C302"/>
  <c r="D302"/>
  <c r="E302"/>
  <c r="F302"/>
  <c r="G302"/>
  <c r="H302"/>
  <c r="I302"/>
  <c r="J302"/>
  <c r="K302"/>
  <c r="L302"/>
  <c r="M302"/>
  <c r="N302"/>
  <c r="O302"/>
  <c r="P302"/>
  <c r="Q302"/>
  <c r="R302"/>
  <c r="S302"/>
  <c r="T302"/>
  <c r="U302"/>
  <c r="V302"/>
  <c r="W302"/>
  <c r="X302"/>
  <c r="J299"/>
  <c r="B312"/>
  <c r="C312"/>
  <c r="D312"/>
  <c r="E312"/>
  <c r="F312"/>
  <c r="G312"/>
  <c r="H312"/>
  <c r="I312"/>
  <c r="J312"/>
  <c r="K312"/>
  <c r="L312"/>
  <c r="M312"/>
  <c r="N312"/>
  <c r="O312"/>
  <c r="P312"/>
  <c r="Q312"/>
  <c r="R312"/>
  <c r="S312"/>
  <c r="T312"/>
  <c r="U312"/>
  <c r="V312"/>
  <c r="W312"/>
  <c r="X312"/>
  <c r="J309"/>
  <c r="A316"/>
  <c r="B26"/>
  <c r="N26"/>
  <c r="B31"/>
  <c r="N31"/>
  <c r="B36"/>
  <c r="N36"/>
  <c r="B41"/>
  <c r="N41"/>
  <c r="B46"/>
  <c r="N46"/>
  <c r="B51"/>
  <c r="N51"/>
  <c r="B56"/>
  <c r="N56"/>
  <c r="B61"/>
  <c r="N61"/>
  <c r="B67"/>
  <c r="B72"/>
  <c r="B77"/>
  <c r="B82"/>
  <c r="B87"/>
  <c r="B108"/>
  <c r="B118"/>
  <c r="B138"/>
  <c r="B143"/>
  <c r="B153"/>
  <c r="B158"/>
  <c r="B163"/>
  <c r="B168"/>
  <c r="B173"/>
  <c r="B178"/>
  <c r="B183"/>
  <c r="B188"/>
  <c r="B218"/>
  <c r="B258"/>
  <c r="B263"/>
  <c r="B269"/>
  <c r="B274"/>
  <c r="B279"/>
  <c r="B284"/>
  <c r="B289"/>
  <c r="B294"/>
  <c r="B299"/>
  <c r="B309"/>
  <c r="E116" i="7"/>
  <c r="F85"/>
  <c r="H118"/>
  <c r="H111"/>
  <c r="E102"/>
  <c r="E103"/>
  <c r="E104"/>
  <c r="E100"/>
  <c r="H105"/>
  <c r="J105"/>
  <c r="J101"/>
  <c r="J97"/>
  <c r="F97"/>
  <c r="J92"/>
  <c r="J88"/>
  <c r="J86"/>
  <c r="J84"/>
  <c r="F90"/>
  <c r="F82"/>
  <c r="D85"/>
  <c r="D83"/>
  <c r="D81"/>
  <c r="D80"/>
  <c r="B19" i="6"/>
  <c r="F321" i="4"/>
  <c r="F320"/>
  <c r="C21" i="5"/>
  <c r="C20"/>
  <c r="C26"/>
  <c r="C22"/>
  <c r="C17"/>
  <c r="C19"/>
  <c r="C16"/>
  <c r="C15"/>
  <c r="L2" i="6"/>
  <c r="C317" i="4"/>
  <c r="F317"/>
  <c r="R317"/>
  <c r="C318"/>
  <c r="F318"/>
  <c r="R318"/>
  <c r="C319"/>
  <c r="F319"/>
  <c r="C320"/>
  <c r="C321"/>
  <c r="C322"/>
  <c r="C323"/>
  <c r="C324"/>
  <c r="B146" i="2"/>
  <c r="B35" i="1"/>
  <c r="B36" i="6"/>
  <c r="B15" i="8"/>
  <c r="B76" i="2"/>
  <c r="B11" i="8"/>
  <c r="B107" i="1"/>
  <c r="F42" i="5"/>
  <c r="B71" i="8"/>
  <c r="B78"/>
  <c r="C5"/>
  <c r="B76"/>
  <c r="B77" s="1"/>
  <c r="B74"/>
  <c r="B73"/>
  <c r="B79" s="1"/>
  <c r="B10"/>
  <c r="C4"/>
  <c r="C16"/>
  <c r="C14"/>
  <c r="C12"/>
  <c r="B12"/>
  <c r="C9"/>
  <c r="C8"/>
  <c r="B8"/>
  <c r="C7"/>
  <c r="N36" i="6"/>
  <c r="C51" i="5"/>
  <c r="C53"/>
  <c r="T18" i="6"/>
  <c r="S17"/>
  <c r="S19"/>
  <c r="S18"/>
  <c r="S13"/>
  <c r="S14"/>
  <c r="S12"/>
  <c r="T16"/>
  <c r="T11"/>
  <c r="L38"/>
  <c r="B93" i="1"/>
  <c r="B79" i="2"/>
  <c r="H64" i="7"/>
  <c r="H63" s="1"/>
  <c r="E59"/>
  <c r="E55"/>
  <c r="H52"/>
  <c r="E45"/>
  <c r="D45"/>
  <c r="E44"/>
  <c r="D44"/>
  <c r="E46"/>
  <c r="D46"/>
  <c r="E43"/>
  <c r="D43"/>
  <c r="E41"/>
  <c r="E50"/>
  <c r="E48"/>
  <c r="E47"/>
  <c r="H50"/>
  <c r="E51"/>
  <c r="C31"/>
  <c r="C5" i="5"/>
  <c r="C6"/>
  <c r="C7"/>
  <c r="C8"/>
  <c r="C10"/>
  <c r="C11"/>
  <c r="C12"/>
  <c r="C13"/>
  <c r="C23"/>
  <c r="C25"/>
  <c r="C28"/>
  <c r="C33"/>
  <c r="F34"/>
  <c r="F35"/>
  <c r="F36"/>
  <c r="F37"/>
  <c r="F38"/>
  <c r="F39"/>
  <c r="F40"/>
  <c r="C52"/>
  <c r="A1" i="4"/>
  <c r="A3"/>
  <c r="A4"/>
  <c r="B77" i="2"/>
  <c r="B78"/>
  <c r="B131"/>
  <c r="B133"/>
  <c r="B134"/>
  <c r="B135"/>
  <c r="B137"/>
  <c r="B138"/>
  <c r="B140"/>
  <c r="B141"/>
  <c r="B144"/>
  <c r="C4" i="1"/>
  <c r="C6"/>
  <c r="C7"/>
  <c r="C23"/>
  <c r="B8"/>
  <c r="C8"/>
  <c r="C9"/>
  <c r="B10"/>
  <c r="B11"/>
  <c r="C11"/>
  <c r="C13"/>
  <c r="C17"/>
  <c r="B18"/>
  <c r="B19"/>
  <c r="C22"/>
  <c r="G22"/>
  <c r="H22"/>
  <c r="J22"/>
  <c r="K22"/>
  <c r="F23"/>
  <c r="B24"/>
  <c r="F24"/>
  <c r="B26"/>
  <c r="F25"/>
  <c r="H25"/>
  <c r="F27"/>
  <c r="B29"/>
  <c r="F28"/>
  <c r="B30"/>
  <c r="B31"/>
  <c r="H31"/>
  <c r="B32"/>
  <c r="F32"/>
  <c r="B33"/>
  <c r="F33"/>
  <c r="F34"/>
  <c r="A38"/>
  <c r="F38"/>
  <c r="H38"/>
  <c r="J38"/>
  <c r="K38"/>
  <c r="F40"/>
  <c r="M40"/>
  <c r="F41"/>
  <c r="B42"/>
  <c r="F42"/>
  <c r="F43"/>
  <c r="B44"/>
  <c r="F45"/>
  <c r="F46"/>
  <c r="F47"/>
  <c r="L47"/>
  <c r="F48"/>
  <c r="H48"/>
  <c r="F49"/>
  <c r="I49"/>
  <c r="L49"/>
  <c r="M49"/>
  <c r="B102"/>
  <c r="B109"/>
  <c r="B110"/>
  <c r="B111"/>
  <c r="B112"/>
  <c r="B113"/>
  <c r="B117"/>
  <c r="C140"/>
  <c r="C142"/>
  <c r="C144"/>
  <c r="B148"/>
  <c r="C4" i="6"/>
  <c r="C6"/>
  <c r="L6"/>
  <c r="C7"/>
  <c r="L7"/>
  <c r="B8"/>
  <c r="L8"/>
  <c r="L9"/>
  <c r="B11"/>
  <c r="M11"/>
  <c r="N11"/>
  <c r="P11"/>
  <c r="B12"/>
  <c r="L12"/>
  <c r="B13"/>
  <c r="L13"/>
  <c r="B14"/>
  <c r="L14"/>
  <c r="L15"/>
  <c r="C16"/>
  <c r="B18"/>
  <c r="L18"/>
  <c r="L19"/>
  <c r="C20"/>
  <c r="L20"/>
  <c r="B21"/>
  <c r="L21"/>
  <c r="B22"/>
  <c r="L22"/>
  <c r="B23"/>
  <c r="D25"/>
  <c r="F26"/>
  <c r="H26"/>
  <c r="E27"/>
  <c r="F28"/>
  <c r="F29"/>
  <c r="F30"/>
  <c r="E31"/>
  <c r="E32"/>
  <c r="D35"/>
  <c r="B91"/>
  <c r="B96"/>
  <c r="B103"/>
  <c r="B104"/>
  <c r="B105"/>
  <c r="B107"/>
  <c r="B108"/>
  <c r="B109"/>
  <c r="B114"/>
  <c r="B115"/>
  <c r="B117"/>
  <c r="B118"/>
  <c r="B119"/>
  <c r="B121"/>
  <c r="C124"/>
  <c r="E124"/>
  <c r="C125"/>
  <c r="C126"/>
  <c r="C127" s="1"/>
  <c r="C128" s="1"/>
  <c r="C129" s="1"/>
  <c r="D125"/>
  <c r="E125" s="1"/>
  <c r="C130"/>
  <c r="C131"/>
  <c r="E131"/>
  <c r="B137"/>
  <c r="B140"/>
  <c r="B143"/>
  <c r="B146"/>
  <c r="B155"/>
  <c r="E175"/>
  <c r="C176"/>
  <c r="F176"/>
  <c r="G176"/>
  <c r="D176" s="1"/>
  <c r="E176" s="1"/>
  <c r="H176"/>
  <c r="C177"/>
  <c r="F177"/>
  <c r="G177"/>
  <c r="D177" s="1"/>
  <c r="E177" s="1"/>
  <c r="H177"/>
  <c r="C178"/>
  <c r="F178"/>
  <c r="G178"/>
  <c r="H178"/>
  <c r="C179"/>
  <c r="F179"/>
  <c r="G179"/>
  <c r="D179" s="1"/>
  <c r="E179" s="1"/>
  <c r="H179"/>
  <c r="C180"/>
  <c r="D180"/>
  <c r="E180" s="1"/>
  <c r="F180"/>
  <c r="G180"/>
  <c r="H180"/>
  <c r="C27" i="1"/>
  <c r="E127" i="7" s="1"/>
  <c r="E8"/>
  <c r="U120" i="4"/>
  <c r="T121" s="1"/>
  <c r="W85"/>
  <c r="U85"/>
  <c r="O85"/>
  <c r="M85"/>
  <c r="G85"/>
  <c r="R216"/>
  <c r="D228"/>
  <c r="F228" s="1"/>
  <c r="V115"/>
  <c r="D133"/>
  <c r="F133" s="1"/>
  <c r="J87"/>
  <c r="W90"/>
  <c r="S90"/>
  <c r="Q90"/>
  <c r="O90"/>
  <c r="K90"/>
  <c r="I90"/>
  <c r="G90"/>
  <c r="T214"/>
  <c r="U214" s="1"/>
  <c r="V214" s="1"/>
  <c r="W214" s="1"/>
  <c r="D284"/>
  <c r="F284" s="1"/>
  <c r="D269"/>
  <c r="F269" s="1"/>
  <c r="D263"/>
  <c r="F263" s="1"/>
  <c r="E85"/>
  <c r="X85"/>
  <c r="T85"/>
  <c r="R85"/>
  <c r="P85"/>
  <c r="L85"/>
  <c r="J85"/>
  <c r="H85"/>
  <c r="D85"/>
  <c r="B85"/>
  <c r="D183"/>
  <c r="F183" s="1"/>
  <c r="D173"/>
  <c r="F173"/>
  <c r="D153"/>
  <c r="F153" s="1"/>
  <c r="D138"/>
  <c r="F138" s="1"/>
  <c r="V120"/>
  <c r="W120" s="1"/>
  <c r="V90"/>
  <c r="T90"/>
  <c r="R90"/>
  <c r="N90"/>
  <c r="L90"/>
  <c r="J90"/>
  <c r="F90"/>
  <c r="D90"/>
  <c r="D77"/>
  <c r="F77" s="1"/>
  <c r="D72"/>
  <c r="F72" s="1"/>
  <c r="D56"/>
  <c r="F56" s="1"/>
  <c r="D51"/>
  <c r="F51" s="1"/>
  <c r="D36"/>
  <c r="F36" s="1"/>
  <c r="D31"/>
  <c r="F31" s="1"/>
  <c r="U165"/>
  <c r="T166" s="1"/>
  <c r="R201"/>
  <c r="K196"/>
  <c r="T211"/>
  <c r="B189" i="6"/>
  <c r="S226" i="4"/>
  <c r="N194"/>
  <c r="O194" s="1"/>
  <c r="L196"/>
  <c r="S251"/>
  <c r="L246"/>
  <c r="K246"/>
  <c r="R251"/>
  <c r="U116"/>
  <c r="W115"/>
  <c r="X115" s="1"/>
  <c r="V116"/>
  <c r="V165"/>
  <c r="U166" s="1"/>
  <c r="U211"/>
  <c r="M246"/>
  <c r="V250"/>
  <c r="U251" s="1"/>
  <c r="T251"/>
  <c r="V211"/>
  <c r="N246"/>
  <c r="X245"/>
  <c r="X246" s="1"/>
  <c r="W211"/>
  <c r="X211"/>
  <c r="O246"/>
  <c r="P246"/>
  <c r="Q246"/>
  <c r="R246"/>
  <c r="S246"/>
  <c r="T246"/>
  <c r="U246"/>
  <c r="X244"/>
  <c r="V246"/>
  <c r="C197" i="6"/>
  <c r="W130" i="4"/>
  <c r="V131" s="1"/>
  <c r="U125"/>
  <c r="V125" s="1"/>
  <c r="R241"/>
  <c r="T126"/>
  <c r="C148" i="6"/>
  <c r="C198"/>
  <c r="E188"/>
  <c r="C182"/>
  <c r="P14"/>
  <c r="E11" i="7" s="1"/>
  <c r="P15" i="6"/>
  <c r="H42" i="7" s="1"/>
  <c r="E29" i="1"/>
  <c r="C133" i="6"/>
  <c r="C163"/>
  <c r="C136"/>
  <c r="U240" i="4"/>
  <c r="S191"/>
  <c r="H69" i="7"/>
  <c r="O21" i="6"/>
  <c r="E192"/>
  <c r="C167"/>
  <c r="C166"/>
  <c r="V240" i="4"/>
  <c r="W240" s="1"/>
  <c r="D161" i="6"/>
  <c r="E161" s="1"/>
  <c r="D158"/>
  <c r="E158" s="1"/>
  <c r="D162"/>
  <c r="E162" s="1"/>
  <c r="D160"/>
  <c r="E160" s="1"/>
  <c r="D159"/>
  <c r="E159" s="1"/>
  <c r="D166"/>
  <c r="E166" s="1"/>
  <c r="D167"/>
  <c r="E167" s="1"/>
  <c r="D163"/>
  <c r="E163" s="1"/>
  <c r="D165"/>
  <c r="E165" s="1"/>
  <c r="D164"/>
  <c r="E164" s="1"/>
  <c r="C165"/>
  <c r="O22"/>
  <c r="M22"/>
  <c r="C164"/>
  <c r="S206" i="4"/>
  <c r="R206"/>
  <c r="V195"/>
  <c r="W195" s="1"/>
  <c r="X195" s="1"/>
  <c r="X196" s="1"/>
  <c r="M196"/>
  <c r="T206"/>
  <c r="U206"/>
  <c r="X205"/>
  <c r="W206" s="1"/>
  <c r="V206"/>
  <c r="X100"/>
  <c r="L105"/>
  <c r="C105"/>
  <c r="G105"/>
  <c r="K105"/>
  <c r="O105"/>
  <c r="S100"/>
  <c r="U100"/>
  <c r="D92"/>
  <c r="F92" s="1"/>
  <c r="H100"/>
  <c r="Q100"/>
  <c r="Q105"/>
  <c r="E185" i="6" l="1"/>
  <c r="W116" i="4"/>
  <c r="X116"/>
  <c r="X120"/>
  <c r="V121"/>
  <c r="U239"/>
  <c r="V239" s="1"/>
  <c r="W239" s="1"/>
  <c r="X239" s="1"/>
  <c r="S241"/>
  <c r="U126"/>
  <c r="W125"/>
  <c r="S216"/>
  <c r="U215"/>
  <c r="T216" s="1"/>
  <c r="D309"/>
  <c r="F309" s="1"/>
  <c r="D299"/>
  <c r="F299" s="1"/>
  <c r="D294"/>
  <c r="F294" s="1"/>
  <c r="D208"/>
  <c r="F208" s="1"/>
  <c r="B90"/>
  <c r="D87" s="1"/>
  <c r="F87" s="1"/>
  <c r="W165"/>
  <c r="U121"/>
  <c r="U110"/>
  <c r="J97"/>
  <c r="F100"/>
  <c r="N100"/>
  <c r="T100"/>
  <c r="V105"/>
  <c r="T241"/>
  <c r="C100"/>
  <c r="W100"/>
  <c r="H105"/>
  <c r="U105"/>
  <c r="D126" i="6"/>
  <c r="W250" i="4"/>
  <c r="X250" s="1"/>
  <c r="X251" s="1"/>
  <c r="D289"/>
  <c r="F289" s="1"/>
  <c r="X130"/>
  <c r="W246"/>
  <c r="D243" s="1"/>
  <c r="F243" s="1"/>
  <c r="C85"/>
  <c r="D82" s="1"/>
  <c r="B199" i="6"/>
  <c r="D100" i="4"/>
  <c r="J102"/>
  <c r="F105"/>
  <c r="M105"/>
  <c r="E186" i="6"/>
  <c r="E187"/>
  <c r="J24" i="7"/>
  <c r="D304" i="4"/>
  <c r="F304" s="1"/>
  <c r="U200"/>
  <c r="S201"/>
  <c r="N196"/>
  <c r="P194"/>
  <c r="T191"/>
  <c r="V190"/>
  <c r="T226"/>
  <c r="V225"/>
  <c r="X255"/>
  <c r="V256"/>
  <c r="X240"/>
  <c r="V241"/>
  <c r="W251"/>
  <c r="U235"/>
  <c r="S236"/>
  <c r="D113"/>
  <c r="F113" s="1"/>
  <c r="K100"/>
  <c r="M100"/>
  <c r="O100"/>
  <c r="D105"/>
  <c r="W105"/>
  <c r="I100"/>
  <c r="D97" s="1"/>
  <c r="F97" s="1"/>
  <c r="X206"/>
  <c r="D203" s="1"/>
  <c r="F203" s="1"/>
  <c r="U241"/>
  <c r="V215"/>
  <c r="B2"/>
  <c r="M24" i="6"/>
  <c r="K24" i="7"/>
  <c r="F94"/>
  <c r="M23" i="6"/>
  <c r="B57" i="8"/>
  <c r="C57" s="1"/>
  <c r="C14" i="1"/>
  <c r="H51" i="7" s="1"/>
  <c r="B59" i="8"/>
  <c r="C59" s="1"/>
  <c r="D178" i="6"/>
  <c r="E178" s="1"/>
  <c r="C34"/>
  <c r="E56" i="7" s="1"/>
  <c r="B61" i="8"/>
  <c r="C61" s="1"/>
  <c r="E40" i="7"/>
  <c r="O23" i="6"/>
  <c r="O24"/>
  <c r="B53" i="8"/>
  <c r="C53" s="1"/>
  <c r="B63"/>
  <c r="C63" s="1"/>
  <c r="B67"/>
  <c r="C67" s="1"/>
  <c r="B62"/>
  <c r="C62" s="1"/>
  <c r="B65"/>
  <c r="C65" s="1"/>
  <c r="H27" i="6"/>
  <c r="H45" i="7" s="1"/>
  <c r="C15" i="8"/>
  <c r="B66"/>
  <c r="C66" s="1"/>
  <c r="B54"/>
  <c r="C54" s="1"/>
  <c r="B56"/>
  <c r="C56" s="1"/>
  <c r="B60"/>
  <c r="C60" s="1"/>
  <c r="O18" i="6"/>
  <c r="D34"/>
  <c r="B52" i="8"/>
  <c r="C52" s="1"/>
  <c r="D26" i="7"/>
  <c r="B51" i="8"/>
  <c r="C51" s="1"/>
  <c r="B58"/>
  <c r="C58" s="1"/>
  <c r="B64"/>
  <c r="C64" s="1"/>
  <c r="B50"/>
  <c r="C50" s="1"/>
  <c r="B55"/>
  <c r="C55" s="1"/>
  <c r="T14" i="6"/>
  <c r="C173"/>
  <c r="C172"/>
  <c r="D23" i="7"/>
  <c r="E108"/>
  <c r="C195" i="6"/>
  <c r="A317" i="4" a="1"/>
  <c r="A341" s="1"/>
  <c r="D148"/>
  <c r="F148" s="1"/>
  <c r="E107" i="7"/>
  <c r="H27" i="1"/>
  <c r="H67" i="7"/>
  <c r="H17"/>
  <c r="B106" i="1"/>
  <c r="E24"/>
  <c r="B108"/>
  <c r="H46"/>
  <c r="B157"/>
  <c r="B131"/>
  <c r="G4" i="3"/>
  <c r="C139" i="6"/>
  <c r="C134"/>
  <c r="C143"/>
  <c r="C146"/>
  <c r="AD4" i="3"/>
  <c r="E190" i="6"/>
  <c r="D30" i="1"/>
  <c r="I68" i="7" s="1"/>
  <c r="C10" i="8"/>
  <c r="AE4" i="3"/>
  <c r="B197" i="6"/>
  <c r="T19"/>
  <c r="C142"/>
  <c r="C141"/>
  <c r="C145"/>
  <c r="I71" i="7"/>
  <c r="H5"/>
  <c r="B75" i="8"/>
  <c r="C196" i="6"/>
  <c r="B196" s="1"/>
  <c r="C147"/>
  <c r="E42" i="7"/>
  <c r="E193" i="6"/>
  <c r="E189"/>
  <c r="C183"/>
  <c r="J90" i="7"/>
  <c r="F118" s="1"/>
  <c r="C132" i="6"/>
  <c r="F27" i="7"/>
  <c r="H41"/>
  <c r="C137" i="6"/>
  <c r="C135"/>
  <c r="C138"/>
  <c r="E33"/>
  <c r="C144"/>
  <c r="T17"/>
  <c r="E14" i="7"/>
  <c r="B201" i="6"/>
  <c r="C201" s="1"/>
  <c r="B186"/>
  <c r="B200"/>
  <c r="C200" s="1"/>
  <c r="E183"/>
  <c r="B187"/>
  <c r="E184"/>
  <c r="B202"/>
  <c r="N3" i="4"/>
  <c r="I3"/>
  <c r="E3"/>
  <c r="D3"/>
  <c r="V2"/>
  <c r="G3"/>
  <c r="J4"/>
  <c r="L2"/>
  <c r="U4"/>
  <c r="Q3"/>
  <c r="C4"/>
  <c r="W3"/>
  <c r="P2"/>
  <c r="U3"/>
  <c r="O3"/>
  <c r="J2"/>
  <c r="S3"/>
  <c r="L3"/>
  <c r="M3"/>
  <c r="Y4"/>
  <c r="D2"/>
  <c r="B4"/>
  <c r="B3"/>
  <c r="F3"/>
  <c r="G4"/>
  <c r="T3"/>
  <c r="D4"/>
  <c r="X3"/>
  <c r="W4"/>
  <c r="N4"/>
  <c r="H3"/>
  <c r="E4"/>
  <c r="K3"/>
  <c r="X4"/>
  <c r="F82" l="1"/>
  <c r="V166"/>
  <c r="X165"/>
  <c r="V126"/>
  <c r="X125"/>
  <c r="V251"/>
  <c r="D248" s="1"/>
  <c r="F248" s="1"/>
  <c r="X131"/>
  <c r="W131"/>
  <c r="D128" s="1"/>
  <c r="V110"/>
  <c r="T111"/>
  <c r="D102"/>
  <c r="F102" s="1"/>
  <c r="E126" i="6"/>
  <c r="D127"/>
  <c r="W121" i="4"/>
  <c r="X121"/>
  <c r="W225"/>
  <c r="U226"/>
  <c r="Q194"/>
  <c r="O196"/>
  <c r="X256"/>
  <c r="W256"/>
  <c r="D253" s="1"/>
  <c r="T201"/>
  <c r="V200"/>
  <c r="W215"/>
  <c r="U216"/>
  <c r="T236"/>
  <c r="V235"/>
  <c r="X241"/>
  <c r="W241"/>
  <c r="D238" s="1"/>
  <c r="U191"/>
  <c r="W190"/>
  <c r="A5" i="3"/>
  <c r="B5" s="1"/>
  <c r="Z5" s="1"/>
  <c r="N12" i="6"/>
  <c r="N14"/>
  <c r="N13"/>
  <c r="C206"/>
  <c r="C205"/>
  <c r="C207"/>
  <c r="C209"/>
  <c r="C208"/>
  <c r="C210"/>
  <c r="D157"/>
  <c r="D137"/>
  <c r="W4" i="3"/>
  <c r="D139" i="6"/>
  <c r="D133"/>
  <c r="E133" s="1"/>
  <c r="D156"/>
  <c r="D135"/>
  <c r="E135" s="1"/>
  <c r="E52" i="7"/>
  <c r="D140" i="6"/>
  <c r="E30"/>
  <c r="E28" s="1"/>
  <c r="E34"/>
  <c r="D138"/>
  <c r="D145"/>
  <c r="D148"/>
  <c r="D143"/>
  <c r="D141"/>
  <c r="D134"/>
  <c r="E134" s="1"/>
  <c r="O20"/>
  <c r="I28" s="1"/>
  <c r="D136"/>
  <c r="E136" s="1"/>
  <c r="D147"/>
  <c r="E57" i="7"/>
  <c r="D142" i="6"/>
  <c r="D155"/>
  <c r="D132"/>
  <c r="E132" s="1"/>
  <c r="C168"/>
  <c r="C169" s="1"/>
  <c r="D168"/>
  <c r="D169" s="1"/>
  <c r="D144"/>
  <c r="E53" i="7"/>
  <c r="D146" i="6"/>
  <c r="S27"/>
  <c r="H12" i="7"/>
  <c r="I16"/>
  <c r="K49" i="1"/>
  <c r="R27"/>
  <c r="A323" i="4"/>
  <c r="A330"/>
  <c r="A331"/>
  <c r="A343"/>
  <c r="A339"/>
  <c r="A327"/>
  <c r="A338"/>
  <c r="A320"/>
  <c r="A332"/>
  <c r="A337"/>
  <c r="A340"/>
  <c r="A318"/>
  <c r="A333"/>
  <c r="A328"/>
  <c r="A342"/>
  <c r="A325"/>
  <c r="A336"/>
  <c r="A317"/>
  <c r="A346"/>
  <c r="A322"/>
  <c r="A329"/>
  <c r="A321"/>
  <c r="A326"/>
  <c r="A345"/>
  <c r="A319"/>
  <c r="A324"/>
  <c r="A335"/>
  <c r="A344"/>
  <c r="A334"/>
  <c r="V4"/>
  <c r="H2"/>
  <c r="L4"/>
  <c r="J3"/>
  <c r="H4"/>
  <c r="S4"/>
  <c r="R3"/>
  <c r="K4"/>
  <c r="C3"/>
  <c r="R4"/>
  <c r="T2"/>
  <c r="F4"/>
  <c r="N2"/>
  <c r="R2"/>
  <c r="I4"/>
  <c r="X2"/>
  <c r="M4"/>
  <c r="P3"/>
  <c r="F2"/>
  <c r="T4"/>
  <c r="V3"/>
  <c r="Y3"/>
  <c r="Q4"/>
  <c r="Z2"/>
  <c r="P4"/>
  <c r="O4"/>
  <c r="A6" i="3" l="1"/>
  <c r="B6" s="1"/>
  <c r="AC6" s="1"/>
  <c r="F106" i="1"/>
  <c r="F105"/>
  <c r="F104"/>
  <c r="H18" i="7"/>
  <c r="F107" i="1"/>
  <c r="F103"/>
  <c r="E101" i="7"/>
  <c r="C171" i="6"/>
  <c r="C170"/>
  <c r="E49" i="7"/>
  <c r="E18"/>
  <c r="T13" i="6"/>
  <c r="T12"/>
  <c r="C174"/>
  <c r="M13"/>
  <c r="D171"/>
  <c r="B48" i="8"/>
  <c r="C48" s="1"/>
  <c r="D174" i="6"/>
  <c r="B43" i="8"/>
  <c r="C43" s="1"/>
  <c r="B49"/>
  <c r="C49" s="1"/>
  <c r="B41"/>
  <c r="C41" s="1"/>
  <c r="B42"/>
  <c r="C42" s="1"/>
  <c r="B44"/>
  <c r="C44" s="1"/>
  <c r="D172" i="6"/>
  <c r="D170"/>
  <c r="D173"/>
  <c r="B46" i="8"/>
  <c r="C46" s="1"/>
  <c r="B47"/>
  <c r="C47" s="1"/>
  <c r="H47" s="1"/>
  <c r="B45"/>
  <c r="C45" s="1"/>
  <c r="D57"/>
  <c r="E57" s="1"/>
  <c r="D66"/>
  <c r="F66" s="1"/>
  <c r="I66" s="1"/>
  <c r="D59"/>
  <c r="F59" s="1"/>
  <c r="I59" s="1"/>
  <c r="D47"/>
  <c r="E47" s="1"/>
  <c r="G47" s="1"/>
  <c r="D51"/>
  <c r="E51" s="1"/>
  <c r="M14" i="6"/>
  <c r="C10" i="1" s="1"/>
  <c r="S4" i="3" s="1"/>
  <c r="M12" i="6"/>
  <c r="D52" i="8"/>
  <c r="E52" s="1"/>
  <c r="D63"/>
  <c r="E63" s="1"/>
  <c r="D64"/>
  <c r="E64" s="1"/>
  <c r="D53"/>
  <c r="F53" s="1"/>
  <c r="I53" s="1"/>
  <c r="D62"/>
  <c r="E62" s="1"/>
  <c r="D42"/>
  <c r="E42" s="1"/>
  <c r="G42" s="1"/>
  <c r="D65"/>
  <c r="E65" s="1"/>
  <c r="D56"/>
  <c r="F56" s="1"/>
  <c r="I56" s="1"/>
  <c r="D67"/>
  <c r="F67" s="1"/>
  <c r="I67" s="1"/>
  <c r="D55"/>
  <c r="E55" s="1"/>
  <c r="D44"/>
  <c r="F44" s="1"/>
  <c r="D60"/>
  <c r="F60" s="1"/>
  <c r="I60" s="1"/>
  <c r="D41"/>
  <c r="E41" s="1"/>
  <c r="G41" s="1"/>
  <c r="D48"/>
  <c r="F48" s="1"/>
  <c r="D46"/>
  <c r="F46" s="1"/>
  <c r="I46" s="1"/>
  <c r="D45"/>
  <c r="E45" s="1"/>
  <c r="G45" s="1"/>
  <c r="D43"/>
  <c r="E43" s="1"/>
  <c r="G43" s="1"/>
  <c r="D50"/>
  <c r="F50" s="1"/>
  <c r="I50" s="1"/>
  <c r="D61"/>
  <c r="E61" s="1"/>
  <c r="D54"/>
  <c r="F54" s="1"/>
  <c r="I54" s="1"/>
  <c r="D58"/>
  <c r="E58" s="1"/>
  <c r="D49"/>
  <c r="E49" s="1"/>
  <c r="G49" s="1"/>
  <c r="W166" i="4"/>
  <c r="X166"/>
  <c r="N15" i="6"/>
  <c r="E127"/>
  <c r="D128"/>
  <c r="W110" i="4"/>
  <c r="U111"/>
  <c r="X126"/>
  <c r="W126"/>
  <c r="D123" s="1"/>
  <c r="D118"/>
  <c r="F118" s="1"/>
  <c r="D163"/>
  <c r="F163" s="1"/>
  <c r="E67" i="8"/>
  <c r="H67" s="1"/>
  <c r="F47"/>
  <c r="M15" i="6"/>
  <c r="J42" i="7" s="1"/>
  <c r="F65" i="8"/>
  <c r="I65" s="1"/>
  <c r="F49"/>
  <c r="F42"/>
  <c r="I42" s="1"/>
  <c r="J41" i="7"/>
  <c r="F62" i="8"/>
  <c r="I62" s="1"/>
  <c r="I48"/>
  <c r="I44"/>
  <c r="C24" i="1"/>
  <c r="C30" s="1"/>
  <c r="F55" i="8"/>
  <c r="I55" s="1"/>
  <c r="I41" i="7"/>
  <c r="E44" i="8"/>
  <c r="G44" s="1"/>
  <c r="E46"/>
  <c r="G46" s="1"/>
  <c r="E110" i="7"/>
  <c r="E48" i="8"/>
  <c r="G48" s="1"/>
  <c r="R194" i="4"/>
  <c r="P196"/>
  <c r="W235"/>
  <c r="U236"/>
  <c r="W200"/>
  <c r="U201"/>
  <c r="X215"/>
  <c r="V216"/>
  <c r="V226"/>
  <c r="X225"/>
  <c r="X190"/>
  <c r="V191"/>
  <c r="F52" i="8"/>
  <c r="I52" s="1"/>
  <c r="F61"/>
  <c r="I61" s="1"/>
  <c r="AD5" i="3"/>
  <c r="C204" i="6"/>
  <c r="F57" i="8"/>
  <c r="I57" s="1"/>
  <c r="E66"/>
  <c r="H66" s="1"/>
  <c r="AA5" i="3"/>
  <c r="E50" i="8"/>
  <c r="H50" s="1"/>
  <c r="F63"/>
  <c r="I63" s="1"/>
  <c r="E53"/>
  <c r="H53" s="1"/>
  <c r="F64"/>
  <c r="I64" s="1"/>
  <c r="F51"/>
  <c r="I51" s="1"/>
  <c r="E58" i="7"/>
  <c r="H65" s="1"/>
  <c r="F107"/>
  <c r="P5" i="3"/>
  <c r="Q5" s="1"/>
  <c r="R5" s="1"/>
  <c r="S5" s="1"/>
  <c r="AC5"/>
  <c r="C11" i="8"/>
  <c r="I31" i="6"/>
  <c r="O19"/>
  <c r="M19" s="1"/>
  <c r="H31" s="1"/>
  <c r="E29"/>
  <c r="E35" s="1"/>
  <c r="C191"/>
  <c r="D153"/>
  <c r="C192"/>
  <c r="C154"/>
  <c r="H42" i="8"/>
  <c r="J42" s="1"/>
  <c r="G55"/>
  <c r="H55"/>
  <c r="H52"/>
  <c r="G52"/>
  <c r="G63"/>
  <c r="H63"/>
  <c r="G62"/>
  <c r="H62"/>
  <c r="H61"/>
  <c r="G61"/>
  <c r="H65"/>
  <c r="G65"/>
  <c r="I42" i="7"/>
  <c r="C150" i="6"/>
  <c r="H43" i="8"/>
  <c r="J43" s="1"/>
  <c r="G57"/>
  <c r="H57"/>
  <c r="G58"/>
  <c r="H58"/>
  <c r="H64"/>
  <c r="G64"/>
  <c r="G51"/>
  <c r="H51"/>
  <c r="T4" i="3"/>
  <c r="U4" s="1"/>
  <c r="H41" i="8"/>
  <c r="J41" s="1"/>
  <c r="Z6" i="3" l="1"/>
  <c r="H45" i="8"/>
  <c r="J45" s="1"/>
  <c r="J47"/>
  <c r="H49"/>
  <c r="J49" s="1"/>
  <c r="F58"/>
  <c r="I58" s="1"/>
  <c r="I29" i="6"/>
  <c r="F43" i="8"/>
  <c r="I43" s="1"/>
  <c r="F41"/>
  <c r="I41" s="1"/>
  <c r="E60"/>
  <c r="H60" s="1"/>
  <c r="E59"/>
  <c r="G59" s="1"/>
  <c r="AD6" i="3"/>
  <c r="A7"/>
  <c r="B7" s="1"/>
  <c r="P6"/>
  <c r="Q6" s="1"/>
  <c r="R6" s="1"/>
  <c r="S6" s="1"/>
  <c r="F45" i="8"/>
  <c r="I45" s="1"/>
  <c r="E54"/>
  <c r="H54" s="1"/>
  <c r="E56"/>
  <c r="G56" s="1"/>
  <c r="AA6" i="3"/>
  <c r="I49" i="8"/>
  <c r="I47"/>
  <c r="C155" i="6"/>
  <c r="V111" i="4"/>
  <c r="X110"/>
  <c r="E128" i="6"/>
  <c r="D129"/>
  <c r="C149"/>
  <c r="G67" i="8"/>
  <c r="J67" s="1"/>
  <c r="F108" i="7"/>
  <c r="H56" i="8"/>
  <c r="J56" s="1"/>
  <c r="H48"/>
  <c r="J48" s="1"/>
  <c r="H46"/>
  <c r="J46" s="1"/>
  <c r="H71" i="7"/>
  <c r="G54" i="8"/>
  <c r="J54" s="1"/>
  <c r="G66"/>
  <c r="J66" s="1"/>
  <c r="G53"/>
  <c r="K53" s="1"/>
  <c r="M53" s="1"/>
  <c r="H44"/>
  <c r="J44" s="1"/>
  <c r="G50"/>
  <c r="J50" s="1"/>
  <c r="X200" i="4"/>
  <c r="V201"/>
  <c r="S194"/>
  <c r="Q196"/>
  <c r="W226"/>
  <c r="X226"/>
  <c r="X191"/>
  <c r="W191"/>
  <c r="W216"/>
  <c r="D213" s="1"/>
  <c r="F213" s="1"/>
  <c r="X216"/>
  <c r="V236"/>
  <c r="X235"/>
  <c r="B191" i="6"/>
  <c r="B192"/>
  <c r="H28"/>
  <c r="C190" s="1"/>
  <c r="C153"/>
  <c r="H29"/>
  <c r="H47" i="7" s="1"/>
  <c r="B193" i="6"/>
  <c r="I32"/>
  <c r="H32"/>
  <c r="K49" i="8"/>
  <c r="M49" s="1"/>
  <c r="K45"/>
  <c r="M45" s="1"/>
  <c r="K65"/>
  <c r="M65" s="1"/>
  <c r="K42"/>
  <c r="M42" s="1"/>
  <c r="K63"/>
  <c r="M63" s="1"/>
  <c r="K67"/>
  <c r="M67" s="1"/>
  <c r="K55"/>
  <c r="M55" s="1"/>
  <c r="C157" i="6"/>
  <c r="C156" s="1"/>
  <c r="C151"/>
  <c r="C152"/>
  <c r="K52" i="8"/>
  <c r="M52" s="1"/>
  <c r="H13" i="7"/>
  <c r="D152" i="6"/>
  <c r="H46" i="7"/>
  <c r="C194" i="6"/>
  <c r="K51" i="8"/>
  <c r="M51" s="1"/>
  <c r="K58"/>
  <c r="K61"/>
  <c r="M61" s="1"/>
  <c r="J64"/>
  <c r="K57"/>
  <c r="M57" s="1"/>
  <c r="J62"/>
  <c r="P7" i="3"/>
  <c r="Q7" s="1"/>
  <c r="R7" s="1"/>
  <c r="A8"/>
  <c r="B8" s="1"/>
  <c r="Z7"/>
  <c r="AD7"/>
  <c r="AA7"/>
  <c r="AC7"/>
  <c r="K41" i="8"/>
  <c r="M41" s="1"/>
  <c r="T5" i="3"/>
  <c r="I47" i="7"/>
  <c r="I14"/>
  <c r="I30" i="6"/>
  <c r="H16" i="7"/>
  <c r="K47" i="1"/>
  <c r="P27"/>
  <c r="H68" i="7"/>
  <c r="P28" i="1"/>
  <c r="K64" i="8"/>
  <c r="M64" s="1"/>
  <c r="J57"/>
  <c r="J61"/>
  <c r="J55"/>
  <c r="K43"/>
  <c r="M43" s="1"/>
  <c r="J51"/>
  <c r="J58"/>
  <c r="K47"/>
  <c r="M47" s="1"/>
  <c r="J65"/>
  <c r="K62"/>
  <c r="M62" s="1"/>
  <c r="J63"/>
  <c r="J52"/>
  <c r="M58" l="1"/>
  <c r="G60"/>
  <c r="J60" s="1"/>
  <c r="H59"/>
  <c r="J59" s="1"/>
  <c r="K50"/>
  <c r="M50" s="1"/>
  <c r="D223" i="4"/>
  <c r="F223" s="1"/>
  <c r="X111"/>
  <c r="W111"/>
  <c r="D108" s="1"/>
  <c r="D188"/>
  <c r="D130" i="6"/>
  <c r="E130" s="1"/>
  <c r="E129"/>
  <c r="S28"/>
  <c r="C193"/>
  <c r="K60" i="8"/>
  <c r="M60" s="1"/>
  <c r="K44"/>
  <c r="M44" s="1"/>
  <c r="K56"/>
  <c r="M56" s="1"/>
  <c r="J53"/>
  <c r="L53" s="1"/>
  <c r="K54"/>
  <c r="M54" s="1"/>
  <c r="K48"/>
  <c r="L48" s="1"/>
  <c r="K46"/>
  <c r="M46" s="1"/>
  <c r="L50"/>
  <c r="K66"/>
  <c r="M66" s="1"/>
  <c r="F188" i="4"/>
  <c r="X236"/>
  <c r="W236"/>
  <c r="R196"/>
  <c r="T194"/>
  <c r="W201"/>
  <c r="X201"/>
  <c r="D198" s="1"/>
  <c r="F198" s="1"/>
  <c r="B190" i="6"/>
  <c r="H30"/>
  <c r="H48" i="7" s="1"/>
  <c r="B194" i="6"/>
  <c r="H14" i="7"/>
  <c r="S29" i="6"/>
  <c r="L52" i="8"/>
  <c r="L65"/>
  <c r="L49"/>
  <c r="L61"/>
  <c r="L45"/>
  <c r="L55"/>
  <c r="L63"/>
  <c r="L42"/>
  <c r="L58"/>
  <c r="L67"/>
  <c r="L51"/>
  <c r="L57"/>
  <c r="L41"/>
  <c r="A9" i="3"/>
  <c r="B9" s="1"/>
  <c r="Z8"/>
  <c r="P8"/>
  <c r="Q8" s="1"/>
  <c r="R8" s="1"/>
  <c r="AC8"/>
  <c r="AD8"/>
  <c r="AA8"/>
  <c r="L47" i="8"/>
  <c r="I48" i="7"/>
  <c r="I15"/>
  <c r="D5" i="3"/>
  <c r="AG5"/>
  <c r="AH5"/>
  <c r="E5"/>
  <c r="H5" s="1"/>
  <c r="L62" i="8"/>
  <c r="L64"/>
  <c r="S7" i="3"/>
  <c r="T6"/>
  <c r="L60" i="8"/>
  <c r="L43"/>
  <c r="L54" l="1"/>
  <c r="K59"/>
  <c r="M59" s="1"/>
  <c r="F108" i="4"/>
  <c r="L44" i="8"/>
  <c r="L56"/>
  <c r="M48"/>
  <c r="L46"/>
  <c r="L66"/>
  <c r="D233" i="4"/>
  <c r="F233" s="1"/>
  <c r="U194"/>
  <c r="S196"/>
  <c r="H15" i="7"/>
  <c r="S30" i="6"/>
  <c r="H33"/>
  <c r="P9" i="3"/>
  <c r="Q9" s="1"/>
  <c r="R9" s="1"/>
  <c r="AC9"/>
  <c r="A10"/>
  <c r="B10" s="1"/>
  <c r="Z9"/>
  <c r="AD9"/>
  <c r="AA9"/>
  <c r="S8"/>
  <c r="T7"/>
  <c r="K5"/>
  <c r="F5"/>
  <c r="G5"/>
  <c r="L59" i="8" l="1"/>
  <c r="T196" i="4"/>
  <c r="V194"/>
  <c r="AC10" i="3"/>
  <c r="AA10"/>
  <c r="Z10"/>
  <c r="A11"/>
  <c r="B11" s="1"/>
  <c r="AD10"/>
  <c r="P10"/>
  <c r="Q10" s="1"/>
  <c r="R10" s="1"/>
  <c r="S9"/>
  <c r="T8"/>
  <c r="M5"/>
  <c r="N5" s="1"/>
  <c r="I5"/>
  <c r="J5"/>
  <c r="V5"/>
  <c r="AE5"/>
  <c r="U196" i="4" l="1"/>
  <c r="W194"/>
  <c r="W5" i="3"/>
  <c r="AC11"/>
  <c r="AA11"/>
  <c r="P11"/>
  <c r="Q11" s="1"/>
  <c r="R11" s="1"/>
  <c r="Z11"/>
  <c r="A12"/>
  <c r="B12" s="1"/>
  <c r="AD11"/>
  <c r="L5"/>
  <c r="S10"/>
  <c r="T9"/>
  <c r="V196" i="4" l="1"/>
  <c r="W196"/>
  <c r="A13" i="3"/>
  <c r="B13" s="1"/>
  <c r="Z12"/>
  <c r="P12"/>
  <c r="Q12" s="1"/>
  <c r="R12" s="1"/>
  <c r="AD12"/>
  <c r="AA12"/>
  <c r="AC12"/>
  <c r="U5"/>
  <c r="D6" s="1"/>
  <c r="AG6"/>
  <c r="AH6"/>
  <c r="T10"/>
  <c r="S11"/>
  <c r="D193" i="4" l="1"/>
  <c r="E6" i="3"/>
  <c r="H6" s="1"/>
  <c r="K6" s="1"/>
  <c r="G6"/>
  <c r="T11"/>
  <c r="S12"/>
  <c r="P13"/>
  <c r="Q13" s="1"/>
  <c r="R13" s="1"/>
  <c r="A14"/>
  <c r="B14" s="1"/>
  <c r="AC13"/>
  <c r="AD13"/>
  <c r="AA13"/>
  <c r="Z13"/>
  <c r="M36" i="6" l="1"/>
  <c r="N34" i="1"/>
  <c r="F193" i="4"/>
  <c r="F6" i="3"/>
  <c r="S13"/>
  <c r="T12"/>
  <c r="I6"/>
  <c r="J6"/>
  <c r="M6"/>
  <c r="N6" s="1"/>
  <c r="A15"/>
  <c r="B15" s="1"/>
  <c r="P14"/>
  <c r="Q14" s="1"/>
  <c r="R14" s="1"/>
  <c r="AD14"/>
  <c r="AA14"/>
  <c r="Z14"/>
  <c r="AC14"/>
  <c r="V6"/>
  <c r="AE6"/>
  <c r="W6" l="1"/>
  <c r="AA15"/>
  <c r="P15"/>
  <c r="Q15" s="1"/>
  <c r="R15" s="1"/>
  <c r="AC15"/>
  <c r="Z15"/>
  <c r="AD15"/>
  <c r="A16"/>
  <c r="B16" s="1"/>
  <c r="L6"/>
  <c r="S14"/>
  <c r="T13"/>
  <c r="S15" l="1"/>
  <c r="T14"/>
  <c r="AA16"/>
  <c r="AD16"/>
  <c r="AC16"/>
  <c r="P16"/>
  <c r="Q16" s="1"/>
  <c r="R16" s="1"/>
  <c r="Z16"/>
  <c r="A17"/>
  <c r="B17" s="1"/>
  <c r="AH7"/>
  <c r="AG7"/>
  <c r="U6"/>
  <c r="D7" s="1"/>
  <c r="Y5"/>
  <c r="G7" l="1"/>
  <c r="P17"/>
  <c r="Q17" s="1"/>
  <c r="R17" s="1"/>
  <c r="A18"/>
  <c r="B18" s="1"/>
  <c r="AC17"/>
  <c r="Z17"/>
  <c r="AD17"/>
  <c r="AA17"/>
  <c r="T15"/>
  <c r="S16"/>
  <c r="E7"/>
  <c r="H7" s="1"/>
  <c r="AA18" l="1"/>
  <c r="P18"/>
  <c r="Q18" s="1"/>
  <c r="R18" s="1"/>
  <c r="AC18"/>
  <c r="A19"/>
  <c r="B19" s="1"/>
  <c r="AD18"/>
  <c r="Z18"/>
  <c r="F7"/>
  <c r="T16"/>
  <c r="S17"/>
  <c r="I7"/>
  <c r="J7"/>
  <c r="M7"/>
  <c r="N7" s="1"/>
  <c r="K7"/>
  <c r="P19" l="1"/>
  <c r="Q19" s="1"/>
  <c r="R19" s="1"/>
  <c r="A20"/>
  <c r="B20" s="1"/>
  <c r="Z19"/>
  <c r="AD19"/>
  <c r="AA19"/>
  <c r="AC19"/>
  <c r="L7"/>
  <c r="V7"/>
  <c r="W7" s="1"/>
  <c r="AE7"/>
  <c r="T17"/>
  <c r="S18"/>
  <c r="AH8" l="1"/>
  <c r="U7"/>
  <c r="D8" s="1"/>
  <c r="AG8"/>
  <c r="Y6"/>
  <c r="P20"/>
  <c r="Q20" s="1"/>
  <c r="R20" s="1"/>
  <c r="A21"/>
  <c r="B21" s="1"/>
  <c r="AA20"/>
  <c r="Z20"/>
  <c r="AD20"/>
  <c r="AC20"/>
  <c r="S19"/>
  <c r="T18"/>
  <c r="E8" l="1"/>
  <c r="H8" s="1"/>
  <c r="K8" s="1"/>
  <c r="AD21"/>
  <c r="P21"/>
  <c r="Q21" s="1"/>
  <c r="R21" s="1"/>
  <c r="AC21"/>
  <c r="AA21"/>
  <c r="Z21"/>
  <c r="A22"/>
  <c r="B22" s="1"/>
  <c r="G8"/>
  <c r="S20"/>
  <c r="T19"/>
  <c r="F8" l="1"/>
  <c r="AC22"/>
  <c r="A23"/>
  <c r="B23" s="1"/>
  <c r="AD22"/>
  <c r="AA22"/>
  <c r="Z22"/>
  <c r="P22"/>
  <c r="Q22" s="1"/>
  <c r="R22" s="1"/>
  <c r="I8"/>
  <c r="J8"/>
  <c r="M8"/>
  <c r="N8" s="1"/>
  <c r="V8"/>
  <c r="AE8"/>
  <c r="T20"/>
  <c r="S21"/>
  <c r="W8" l="1"/>
  <c r="A24"/>
  <c r="B24" s="1"/>
  <c r="Z23"/>
  <c r="AA23"/>
  <c r="AC23"/>
  <c r="AD23"/>
  <c r="P23"/>
  <c r="Q23" s="1"/>
  <c r="R23" s="1"/>
  <c r="T21"/>
  <c r="S22"/>
  <c r="L8"/>
  <c r="U8" l="1"/>
  <c r="D9" s="1"/>
  <c r="AH9"/>
  <c r="AG9"/>
  <c r="Y7"/>
  <c r="AA24"/>
  <c r="Z24"/>
  <c r="AC24"/>
  <c r="AD24"/>
  <c r="A25"/>
  <c r="B25" s="1"/>
  <c r="P24"/>
  <c r="Q24" s="1"/>
  <c r="R24" s="1"/>
  <c r="T22"/>
  <c r="S23"/>
  <c r="E9" l="1"/>
  <c r="H9" s="1"/>
  <c r="K9" s="1"/>
  <c r="P25"/>
  <c r="Q25" s="1"/>
  <c r="R25" s="1"/>
  <c r="Z25"/>
  <c r="A26"/>
  <c r="B26" s="1"/>
  <c r="AC25"/>
  <c r="AA25"/>
  <c r="AD25"/>
  <c r="S24"/>
  <c r="T23"/>
  <c r="G9"/>
  <c r="F9" l="1"/>
  <c r="AD26"/>
  <c r="P26"/>
  <c r="Q26" s="1"/>
  <c r="R26" s="1"/>
  <c r="A27"/>
  <c r="B27" s="1"/>
  <c r="AA26"/>
  <c r="Z26"/>
  <c r="AC26"/>
  <c r="S25"/>
  <c r="T24"/>
  <c r="V9"/>
  <c r="AE9"/>
  <c r="I9"/>
  <c r="J9"/>
  <c r="M9"/>
  <c r="N9" s="1"/>
  <c r="W9" l="1"/>
  <c r="P27"/>
  <c r="Q27" s="1"/>
  <c r="R27" s="1"/>
  <c r="Z27"/>
  <c r="AA27"/>
  <c r="AD27"/>
  <c r="A28"/>
  <c r="B28" s="1"/>
  <c r="AC27"/>
  <c r="S26"/>
  <c r="T25"/>
  <c r="L9"/>
  <c r="Z28" l="1"/>
  <c r="P28"/>
  <c r="Q28" s="1"/>
  <c r="R28" s="1"/>
  <c r="A29"/>
  <c r="B29" s="1"/>
  <c r="AA28"/>
  <c r="AC28"/>
  <c r="AD28"/>
  <c r="AH10"/>
  <c r="U9"/>
  <c r="E10" s="1"/>
  <c r="H10" s="1"/>
  <c r="AG10"/>
  <c r="Y8"/>
  <c r="T26"/>
  <c r="S27"/>
  <c r="K10" l="1"/>
  <c r="S28"/>
  <c r="T27"/>
  <c r="AC29"/>
  <c r="P29"/>
  <c r="Q29" s="1"/>
  <c r="R29" s="1"/>
  <c r="A30"/>
  <c r="B30" s="1"/>
  <c r="AD29"/>
  <c r="Z29"/>
  <c r="AA29"/>
  <c r="D10"/>
  <c r="Z30" l="1"/>
  <c r="P30"/>
  <c r="Q30" s="1"/>
  <c r="R30" s="1"/>
  <c r="AC30"/>
  <c r="AA30"/>
  <c r="AD30"/>
  <c r="A31"/>
  <c r="B31" s="1"/>
  <c r="F10"/>
  <c r="G10"/>
  <c r="V10"/>
  <c r="AE10"/>
  <c r="T28"/>
  <c r="S29"/>
  <c r="I10" l="1"/>
  <c r="W10" s="1"/>
  <c r="J10"/>
  <c r="M10"/>
  <c r="N10" s="1"/>
  <c r="AC31"/>
  <c r="A32"/>
  <c r="B32" s="1"/>
  <c r="Z31"/>
  <c r="P31"/>
  <c r="Q31" s="1"/>
  <c r="R31" s="1"/>
  <c r="AD31"/>
  <c r="AA31"/>
  <c r="S30"/>
  <c r="T29"/>
  <c r="A33" l="1"/>
  <c r="B33" s="1"/>
  <c r="Z32"/>
  <c r="P32"/>
  <c r="Q32" s="1"/>
  <c r="R32" s="1"/>
  <c r="AD32"/>
  <c r="AC32"/>
  <c r="AA32"/>
  <c r="L10"/>
  <c r="T30"/>
  <c r="S31"/>
  <c r="P33" l="1"/>
  <c r="Q33" s="1"/>
  <c r="R33" s="1"/>
  <c r="AC33"/>
  <c r="A34"/>
  <c r="B34" s="1"/>
  <c r="AA33"/>
  <c r="Z33"/>
  <c r="AD33"/>
  <c r="AG11"/>
  <c r="AH11"/>
  <c r="U10"/>
  <c r="E11" s="1"/>
  <c r="H11" s="1"/>
  <c r="Y9"/>
  <c r="T31"/>
  <c r="S32"/>
  <c r="K11" l="1"/>
  <c r="T32"/>
  <c r="S33"/>
  <c r="Z34"/>
  <c r="P34"/>
  <c r="Q34" s="1"/>
  <c r="R34" s="1"/>
  <c r="AC34"/>
  <c r="AD34"/>
  <c r="A35"/>
  <c r="B35" s="1"/>
  <c r="AA34"/>
  <c r="D11"/>
  <c r="S34" l="1"/>
  <c r="T33"/>
  <c r="V11"/>
  <c r="AE11"/>
  <c r="A36"/>
  <c r="B36" s="1"/>
  <c r="Z35"/>
  <c r="AD35"/>
  <c r="AA35"/>
  <c r="AC35"/>
  <c r="P35"/>
  <c r="Q35" s="1"/>
  <c r="R35" s="1"/>
  <c r="F11"/>
  <c r="G11"/>
  <c r="S35" l="1"/>
  <c r="T34"/>
  <c r="AD36"/>
  <c r="AA36"/>
  <c r="P36"/>
  <c r="Q36" s="1"/>
  <c r="R36" s="1"/>
  <c r="Z36"/>
  <c r="A37"/>
  <c r="B37" s="1"/>
  <c r="AC36"/>
  <c r="I11"/>
  <c r="W11" s="1"/>
  <c r="J11"/>
  <c r="M11"/>
  <c r="N11" s="1"/>
  <c r="AD37" l="1"/>
  <c r="Z37"/>
  <c r="AA37"/>
  <c r="AC37"/>
  <c r="P37"/>
  <c r="Q37" s="1"/>
  <c r="R37" s="1"/>
  <c r="A38"/>
  <c r="B38" s="1"/>
  <c r="L11"/>
  <c r="T35"/>
  <c r="S36"/>
  <c r="P38" l="1"/>
  <c r="Q38" s="1"/>
  <c r="R38" s="1"/>
  <c r="A39"/>
  <c r="B39" s="1"/>
  <c r="AC38"/>
  <c r="AA38"/>
  <c r="AD38"/>
  <c r="Z38"/>
  <c r="AH12"/>
  <c r="U11"/>
  <c r="E12" s="1"/>
  <c r="H12" s="1"/>
  <c r="AG12"/>
  <c r="Y10"/>
  <c r="T36"/>
  <c r="S37"/>
  <c r="D12" l="1"/>
  <c r="G12" s="1"/>
  <c r="S38"/>
  <c r="T37"/>
  <c r="K12"/>
  <c r="AC39"/>
  <c r="P39"/>
  <c r="Q39" s="1"/>
  <c r="R39" s="1"/>
  <c r="AD39"/>
  <c r="Z39"/>
  <c r="A40"/>
  <c r="B40" s="1"/>
  <c r="AA39"/>
  <c r="F12" l="1"/>
  <c r="P40"/>
  <c r="Q40" s="1"/>
  <c r="R40" s="1"/>
  <c r="AA40"/>
  <c r="A41"/>
  <c r="B41" s="1"/>
  <c r="AC40"/>
  <c r="Z40"/>
  <c r="AD40"/>
  <c r="V12"/>
  <c r="AE12"/>
  <c r="S39"/>
  <c r="T38"/>
  <c r="I12"/>
  <c r="J12"/>
  <c r="M12"/>
  <c r="N12" s="1"/>
  <c r="W12" l="1"/>
  <c r="P41"/>
  <c r="Q41" s="1"/>
  <c r="R41" s="1"/>
  <c r="AC41"/>
  <c r="A42"/>
  <c r="B42" s="1"/>
  <c r="AA41"/>
  <c r="Z41"/>
  <c r="AD41"/>
  <c r="L12"/>
  <c r="T39"/>
  <c r="S40"/>
  <c r="AG13" l="1"/>
  <c r="U12"/>
  <c r="E13" s="1"/>
  <c r="H13" s="1"/>
  <c r="AH13"/>
  <c r="Y11"/>
  <c r="P42"/>
  <c r="Q42" s="1"/>
  <c r="R42" s="1"/>
  <c r="Z42"/>
  <c r="AA42"/>
  <c r="A43"/>
  <c r="B43" s="1"/>
  <c r="AD42"/>
  <c r="AC42"/>
  <c r="S41"/>
  <c r="T40"/>
  <c r="D13" l="1"/>
  <c r="F13" s="1"/>
  <c r="K13"/>
  <c r="AC43"/>
  <c r="P43"/>
  <c r="Q43" s="1"/>
  <c r="R43" s="1"/>
  <c r="AD43"/>
  <c r="Z43"/>
  <c r="A44"/>
  <c r="B44" s="1"/>
  <c r="AA43"/>
  <c r="T41"/>
  <c r="S42"/>
  <c r="G13" l="1"/>
  <c r="I13" s="1"/>
  <c r="AA44"/>
  <c r="P44"/>
  <c r="Q44" s="1"/>
  <c r="R44" s="1"/>
  <c r="AD44"/>
  <c r="A45"/>
  <c r="B45" s="1"/>
  <c r="Z44"/>
  <c r="AC44"/>
  <c r="T42"/>
  <c r="S43"/>
  <c r="V13"/>
  <c r="AE13"/>
  <c r="J13" l="1"/>
  <c r="L13" s="1"/>
  <c r="M13"/>
  <c r="N13" s="1"/>
  <c r="P45"/>
  <c r="Q45" s="1"/>
  <c r="R45" s="1"/>
  <c r="A46"/>
  <c r="B46" s="1"/>
  <c r="AA45"/>
  <c r="AD45"/>
  <c r="Z45"/>
  <c r="AC45"/>
  <c r="S44"/>
  <c r="T43"/>
  <c r="W13"/>
  <c r="P46" l="1"/>
  <c r="Q46" s="1"/>
  <c r="R46" s="1"/>
  <c r="AA46"/>
  <c r="AD46"/>
  <c r="A47"/>
  <c r="B47" s="1"/>
  <c r="Z46"/>
  <c r="AC46"/>
  <c r="S45"/>
  <c r="T44"/>
  <c r="AH14"/>
  <c r="AG14"/>
  <c r="U13"/>
  <c r="D14" s="1"/>
  <c r="Y12"/>
  <c r="E14" l="1"/>
  <c r="H14" s="1"/>
  <c r="K14" s="1"/>
  <c r="AD47"/>
  <c r="AA47"/>
  <c r="P47"/>
  <c r="Q47" s="1"/>
  <c r="R47" s="1"/>
  <c r="A48"/>
  <c r="B48" s="1"/>
  <c r="Z47"/>
  <c r="AC47"/>
  <c r="S46"/>
  <c r="T45"/>
  <c r="G14"/>
  <c r="F14" l="1"/>
  <c r="AC48"/>
  <c r="Z48"/>
  <c r="AA48"/>
  <c r="A49"/>
  <c r="B49" s="1"/>
  <c r="AD48"/>
  <c r="P48"/>
  <c r="Q48" s="1"/>
  <c r="R48" s="1"/>
  <c r="V14"/>
  <c r="AE14"/>
  <c r="I14"/>
  <c r="J14"/>
  <c r="M14"/>
  <c r="N14" s="1"/>
  <c r="S47"/>
  <c r="T46"/>
  <c r="T47" l="1"/>
  <c r="S48"/>
  <c r="A50"/>
  <c r="B50" s="1"/>
  <c r="P49"/>
  <c r="Q49" s="1"/>
  <c r="R49" s="1"/>
  <c r="AC49"/>
  <c r="AD49"/>
  <c r="AA49"/>
  <c r="Z49"/>
  <c r="W14"/>
  <c r="L14"/>
  <c r="U14" l="1"/>
  <c r="E15" s="1"/>
  <c r="H15" s="1"/>
  <c r="AG15"/>
  <c r="AH15"/>
  <c r="Y13"/>
  <c r="Z50"/>
  <c r="AA50"/>
  <c r="P50"/>
  <c r="Q50" s="1"/>
  <c r="R50" s="1"/>
  <c r="A51"/>
  <c r="B51" s="1"/>
  <c r="AD50"/>
  <c r="AC50"/>
  <c r="T48"/>
  <c r="S49"/>
  <c r="D15" l="1"/>
  <c r="F15" s="1"/>
  <c r="AD51"/>
  <c r="A52"/>
  <c r="B52" s="1"/>
  <c r="P51"/>
  <c r="Q51" s="1"/>
  <c r="R51" s="1"/>
  <c r="AA51"/>
  <c r="Z51"/>
  <c r="AC51"/>
  <c r="K15"/>
  <c r="S50"/>
  <c r="T49"/>
  <c r="G15" l="1"/>
  <c r="I15" s="1"/>
  <c r="A53"/>
  <c r="B53" s="1"/>
  <c r="AC52"/>
  <c r="P52"/>
  <c r="Q52" s="1"/>
  <c r="R52" s="1"/>
  <c r="AA52"/>
  <c r="AD52"/>
  <c r="Z52"/>
  <c r="T50"/>
  <c r="S51"/>
  <c r="V15"/>
  <c r="AE15"/>
  <c r="J15" l="1"/>
  <c r="L15" s="1"/>
  <c r="M15"/>
  <c r="N15" s="1"/>
  <c r="A54"/>
  <c r="B54" s="1"/>
  <c r="AD53"/>
  <c r="P53"/>
  <c r="Q53" s="1"/>
  <c r="R53" s="1"/>
  <c r="AA53"/>
  <c r="AC53"/>
  <c r="Z53"/>
  <c r="T51"/>
  <c r="S52"/>
  <c r="W15"/>
  <c r="AC54" l="1"/>
  <c r="P54"/>
  <c r="Q54" s="1"/>
  <c r="R54" s="1"/>
  <c r="A55"/>
  <c r="B55" s="1"/>
  <c r="AA54"/>
  <c r="Z54"/>
  <c r="AD54"/>
  <c r="T52"/>
  <c r="S53"/>
  <c r="U15"/>
  <c r="D16" s="1"/>
  <c r="AG16"/>
  <c r="AH16"/>
  <c r="Y14"/>
  <c r="E16" l="1"/>
  <c r="H16" s="1"/>
  <c r="K16" s="1"/>
  <c r="G16"/>
  <c r="S54"/>
  <c r="T53"/>
  <c r="P55"/>
  <c r="Q55" s="1"/>
  <c r="R55" s="1"/>
  <c r="A56"/>
  <c r="B56" s="1"/>
  <c r="AC55"/>
  <c r="AA55"/>
  <c r="Z55"/>
  <c r="AD55"/>
  <c r="F16" l="1"/>
  <c r="P56"/>
  <c r="Q56" s="1"/>
  <c r="R56" s="1"/>
  <c r="AA56"/>
  <c r="A57"/>
  <c r="B57" s="1"/>
  <c r="AD56"/>
  <c r="Z56"/>
  <c r="AC56"/>
  <c r="I16"/>
  <c r="J16"/>
  <c r="M16"/>
  <c r="N16" s="1"/>
  <c r="S55"/>
  <c r="T54"/>
  <c r="V16"/>
  <c r="AE16"/>
  <c r="S56" l="1"/>
  <c r="T55"/>
  <c r="AD57"/>
  <c r="AA57"/>
  <c r="A58"/>
  <c r="B58" s="1"/>
  <c r="AC57"/>
  <c r="P57"/>
  <c r="Q57" s="1"/>
  <c r="R57" s="1"/>
  <c r="Z57"/>
  <c r="L16"/>
  <c r="W16"/>
  <c r="Z58" l="1"/>
  <c r="AD58"/>
  <c r="AA58"/>
  <c r="P58"/>
  <c r="Q58" s="1"/>
  <c r="R58" s="1"/>
  <c r="A59"/>
  <c r="B59" s="1"/>
  <c r="AC58"/>
  <c r="S57"/>
  <c r="T56"/>
  <c r="U16"/>
  <c r="D17" s="1"/>
  <c r="AG17"/>
  <c r="AH17"/>
  <c r="Y15"/>
  <c r="G17" l="1"/>
  <c r="P59"/>
  <c r="Q59" s="1"/>
  <c r="R59" s="1"/>
  <c r="A60"/>
  <c r="B60" s="1"/>
  <c r="AC59"/>
  <c r="AD59"/>
  <c r="Z59"/>
  <c r="AA59"/>
  <c r="E17"/>
  <c r="H17" s="1"/>
  <c r="S58"/>
  <c r="T57"/>
  <c r="AC60" l="1"/>
  <c r="AD60"/>
  <c r="Z60"/>
  <c r="P60"/>
  <c r="Q60" s="1"/>
  <c r="R60" s="1"/>
  <c r="A61"/>
  <c r="B61" s="1"/>
  <c r="AA60"/>
  <c r="F17"/>
  <c r="I17"/>
  <c r="J17"/>
  <c r="M17"/>
  <c r="N17" s="1"/>
  <c r="K17"/>
  <c r="S59"/>
  <c r="T58"/>
  <c r="A62" l="1"/>
  <c r="B62" s="1"/>
  <c r="Z61"/>
  <c r="AD61"/>
  <c r="AC61"/>
  <c r="P61"/>
  <c r="Q61" s="1"/>
  <c r="R61" s="1"/>
  <c r="AA61"/>
  <c r="T59"/>
  <c r="S60"/>
  <c r="V17"/>
  <c r="W17" s="1"/>
  <c r="AE17"/>
  <c r="L17"/>
  <c r="AD62" l="1"/>
  <c r="P62"/>
  <c r="Q62" s="1"/>
  <c r="R62" s="1"/>
  <c r="Z62"/>
  <c r="AA62"/>
  <c r="AC62"/>
  <c r="A63"/>
  <c r="B63" s="1"/>
  <c r="S61"/>
  <c r="T60"/>
  <c r="U17"/>
  <c r="E18" s="1"/>
  <c r="H18" s="1"/>
  <c r="AG18"/>
  <c r="AH18"/>
  <c r="Y16"/>
  <c r="D18" l="1"/>
  <c r="G18" s="1"/>
  <c r="K18"/>
  <c r="AC63"/>
  <c r="AA63"/>
  <c r="A64"/>
  <c r="B64" s="1"/>
  <c r="AD63"/>
  <c r="P63"/>
  <c r="Q63" s="1"/>
  <c r="R63" s="1"/>
  <c r="Z63"/>
  <c r="S62"/>
  <c r="T61"/>
  <c r="F18" l="1"/>
  <c r="I18"/>
  <c r="J18"/>
  <c r="M18"/>
  <c r="N18" s="1"/>
  <c r="S63"/>
  <c r="T62"/>
  <c r="A65"/>
  <c r="B65" s="1"/>
  <c r="Z64"/>
  <c r="AA64"/>
  <c r="AC64"/>
  <c r="AD64"/>
  <c r="P64"/>
  <c r="Q64" s="1"/>
  <c r="R64" s="1"/>
  <c r="V18"/>
  <c r="AE18"/>
  <c r="Z65" l="1"/>
  <c r="AA65"/>
  <c r="A66"/>
  <c r="B66" s="1"/>
  <c r="AC65"/>
  <c r="P65"/>
  <c r="Q65" s="1"/>
  <c r="R65" s="1"/>
  <c r="AD65"/>
  <c r="L18"/>
  <c r="W18"/>
  <c r="S64"/>
  <c r="T63"/>
  <c r="A67" l="1"/>
  <c r="B67" s="1"/>
  <c r="P66"/>
  <c r="Q66" s="1"/>
  <c r="R66" s="1"/>
  <c r="AC66"/>
  <c r="Z66"/>
  <c r="AD66"/>
  <c r="AA66"/>
  <c r="U18"/>
  <c r="D19" s="1"/>
  <c r="AH19"/>
  <c r="AG19"/>
  <c r="Y17"/>
  <c r="S65"/>
  <c r="T64"/>
  <c r="G19" l="1"/>
  <c r="E19"/>
  <c r="H19" s="1"/>
  <c r="AA67"/>
  <c r="Z67"/>
  <c r="AD67"/>
  <c r="AC67"/>
  <c r="P67"/>
  <c r="Q67" s="1"/>
  <c r="R67" s="1"/>
  <c r="A68"/>
  <c r="B68" s="1"/>
  <c r="S66"/>
  <c r="T65"/>
  <c r="F19" l="1"/>
  <c r="AD68"/>
  <c r="AC68"/>
  <c r="Z68"/>
  <c r="AA68"/>
  <c r="A69"/>
  <c r="B69" s="1"/>
  <c r="P68"/>
  <c r="Q68" s="1"/>
  <c r="R68" s="1"/>
  <c r="I19"/>
  <c r="J19"/>
  <c r="M19"/>
  <c r="N19" s="1"/>
  <c r="K19"/>
  <c r="S67"/>
  <c r="T66"/>
  <c r="Z69" l="1"/>
  <c r="AC69"/>
  <c r="P69"/>
  <c r="Q69" s="1"/>
  <c r="R69" s="1"/>
  <c r="AA69"/>
  <c r="AD69"/>
  <c r="A70"/>
  <c r="B70" s="1"/>
  <c r="V19"/>
  <c r="W19" s="1"/>
  <c r="AE19"/>
  <c r="L19"/>
  <c r="T67"/>
  <c r="S68"/>
  <c r="AH20" l="1"/>
  <c r="U19"/>
  <c r="E20" s="1"/>
  <c r="H20" s="1"/>
  <c r="AG20"/>
  <c r="Y18"/>
  <c r="A71"/>
  <c r="B71" s="1"/>
  <c r="AC70"/>
  <c r="AA70"/>
  <c r="AD70"/>
  <c r="P70"/>
  <c r="Q70" s="1"/>
  <c r="R70" s="1"/>
  <c r="Z70"/>
  <c r="S69"/>
  <c r="T68"/>
  <c r="D20" l="1"/>
  <c r="G20" s="1"/>
  <c r="K20"/>
  <c r="AA71"/>
  <c r="A72"/>
  <c r="B72" s="1"/>
  <c r="AC71"/>
  <c r="Z71"/>
  <c r="AD71"/>
  <c r="P71"/>
  <c r="Q71" s="1"/>
  <c r="R71" s="1"/>
  <c r="T69"/>
  <c r="S70"/>
  <c r="F20" l="1"/>
  <c r="A73"/>
  <c r="B73" s="1"/>
  <c r="Z72"/>
  <c r="P72"/>
  <c r="Q72" s="1"/>
  <c r="R72" s="1"/>
  <c r="AD72"/>
  <c r="AA72"/>
  <c r="AC72"/>
  <c r="T70"/>
  <c r="S71"/>
  <c r="V20"/>
  <c r="AE20"/>
  <c r="I20"/>
  <c r="J20"/>
  <c r="M20"/>
  <c r="N20" s="1"/>
  <c r="AC73" l="1"/>
  <c r="A74"/>
  <c r="B74" s="1"/>
  <c r="Z73"/>
  <c r="AA73"/>
  <c r="AD73"/>
  <c r="P73"/>
  <c r="Q73" s="1"/>
  <c r="R73" s="1"/>
  <c r="L20"/>
  <c r="T71"/>
  <c r="S72"/>
  <c r="W20"/>
  <c r="AD74" l="1"/>
  <c r="P74"/>
  <c r="Q74" s="1"/>
  <c r="R74" s="1"/>
  <c r="AC74"/>
  <c r="A75"/>
  <c r="B75" s="1"/>
  <c r="AA74"/>
  <c r="Z74"/>
  <c r="AG21"/>
  <c r="U20"/>
  <c r="E21" s="1"/>
  <c r="H21" s="1"/>
  <c r="AH21"/>
  <c r="Y19"/>
  <c r="S73"/>
  <c r="T72"/>
  <c r="D21" l="1"/>
  <c r="G21" s="1"/>
  <c r="K21"/>
  <c r="P75"/>
  <c r="Q75" s="1"/>
  <c r="R75" s="1"/>
  <c r="Z75"/>
  <c r="A76"/>
  <c r="B76" s="1"/>
  <c r="AA75"/>
  <c r="AC75"/>
  <c r="AD75"/>
  <c r="T73"/>
  <c r="S74"/>
  <c r="F21" l="1"/>
  <c r="AC76"/>
  <c r="Z76"/>
  <c r="AD76"/>
  <c r="AA76"/>
  <c r="A77"/>
  <c r="B77" s="1"/>
  <c r="P76"/>
  <c r="Q76" s="1"/>
  <c r="R76" s="1"/>
  <c r="I21"/>
  <c r="J21"/>
  <c r="M21"/>
  <c r="N21" s="1"/>
  <c r="S75"/>
  <c r="T74"/>
  <c r="V21"/>
  <c r="AE21"/>
  <c r="W21" l="1"/>
  <c r="S76"/>
  <c r="T75"/>
  <c r="A78"/>
  <c r="B78" s="1"/>
  <c r="AA77"/>
  <c r="Z77"/>
  <c r="P77"/>
  <c r="Q77" s="1"/>
  <c r="R77" s="1"/>
  <c r="AD77"/>
  <c r="AC77"/>
  <c r="L21"/>
  <c r="S77" l="1"/>
  <c r="T76"/>
  <c r="AG22"/>
  <c r="U21"/>
  <c r="D22" s="1"/>
  <c r="AH22"/>
  <c r="Y20"/>
  <c r="A79"/>
  <c r="B79" s="1"/>
  <c r="AD78"/>
  <c r="P78"/>
  <c r="Q78" s="1"/>
  <c r="R78" s="1"/>
  <c r="AC78"/>
  <c r="AA78"/>
  <c r="Z78"/>
  <c r="G22" l="1"/>
  <c r="T77"/>
  <c r="S78"/>
  <c r="E22"/>
  <c r="H22" s="1"/>
  <c r="P79"/>
  <c r="Q79" s="1"/>
  <c r="R79" s="1"/>
  <c r="A80"/>
  <c r="B80" s="1"/>
  <c r="Z79"/>
  <c r="AC79"/>
  <c r="AA79"/>
  <c r="AD79"/>
  <c r="AA80" l="1"/>
  <c r="A81"/>
  <c r="B81" s="1"/>
  <c r="AD80"/>
  <c r="AC80"/>
  <c r="P80"/>
  <c r="Q80" s="1"/>
  <c r="R80" s="1"/>
  <c r="Z80"/>
  <c r="I22"/>
  <c r="J22"/>
  <c r="M22"/>
  <c r="N22" s="1"/>
  <c r="K22"/>
  <c r="T78"/>
  <c r="S79"/>
  <c r="F22"/>
  <c r="L22" l="1"/>
  <c r="S80"/>
  <c r="T79"/>
  <c r="Z81"/>
  <c r="AC81"/>
  <c r="A82"/>
  <c r="B82" s="1"/>
  <c r="AA81"/>
  <c r="AD81"/>
  <c r="P81"/>
  <c r="Q81" s="1"/>
  <c r="R81" s="1"/>
  <c r="V22"/>
  <c r="W22" s="1"/>
  <c r="AE22"/>
  <c r="U22" l="1"/>
  <c r="E23" s="1"/>
  <c r="H23" s="1"/>
  <c r="AH23"/>
  <c r="AG23"/>
  <c r="Y21"/>
  <c r="A83"/>
  <c r="B83" s="1"/>
  <c r="P82"/>
  <c r="Q82" s="1"/>
  <c r="R82" s="1"/>
  <c r="AC82"/>
  <c r="AA82"/>
  <c r="Z82"/>
  <c r="AD82"/>
  <c r="T80"/>
  <c r="S81"/>
  <c r="AA83" l="1"/>
  <c r="AC83"/>
  <c r="P83"/>
  <c r="Q83" s="1"/>
  <c r="R83" s="1"/>
  <c r="Z83"/>
  <c r="AD83"/>
  <c r="A84"/>
  <c r="B84" s="1"/>
  <c r="K23"/>
  <c r="D23"/>
  <c r="T81"/>
  <c r="S82"/>
  <c r="AA84" l="1"/>
  <c r="Z84"/>
  <c r="A85"/>
  <c r="B85" s="1"/>
  <c r="P84"/>
  <c r="Q84" s="1"/>
  <c r="R84" s="1"/>
  <c r="AD84"/>
  <c r="AC84"/>
  <c r="T82"/>
  <c r="S83"/>
  <c r="V23"/>
  <c r="AE23"/>
  <c r="F23"/>
  <c r="G23"/>
  <c r="T83" l="1"/>
  <c r="S84"/>
  <c r="A86"/>
  <c r="B86" s="1"/>
  <c r="P85"/>
  <c r="Q85" s="1"/>
  <c r="R85" s="1"/>
  <c r="AA85"/>
  <c r="AC85"/>
  <c r="Z85"/>
  <c r="AD85"/>
  <c r="I23"/>
  <c r="W23" s="1"/>
  <c r="J23"/>
  <c r="M23"/>
  <c r="N23" s="1"/>
  <c r="AC86" l="1"/>
  <c r="Z86"/>
  <c r="P86"/>
  <c r="Q86" s="1"/>
  <c r="R86" s="1"/>
  <c r="AA86"/>
  <c r="A87"/>
  <c r="B87" s="1"/>
  <c r="AD86"/>
  <c r="S85"/>
  <c r="T84"/>
  <c r="L23"/>
  <c r="P87" l="1"/>
  <c r="Q87" s="1"/>
  <c r="R87" s="1"/>
  <c r="Z87"/>
  <c r="A88"/>
  <c r="B88" s="1"/>
  <c r="AD87"/>
  <c r="AC87"/>
  <c r="AA87"/>
  <c r="AG24"/>
  <c r="AH24"/>
  <c r="U23"/>
  <c r="E24" s="1"/>
  <c r="H24" s="1"/>
  <c r="Y22"/>
  <c r="T85"/>
  <c r="S86"/>
  <c r="D24" l="1"/>
  <c r="G24" s="1"/>
  <c r="T86"/>
  <c r="S87"/>
  <c r="A89"/>
  <c r="B89" s="1"/>
  <c r="P88"/>
  <c r="Q88" s="1"/>
  <c r="R88" s="1"/>
  <c r="AC88"/>
  <c r="Z88"/>
  <c r="AA88"/>
  <c r="AD88"/>
  <c r="K24"/>
  <c r="F24" l="1"/>
  <c r="AD89"/>
  <c r="AC89"/>
  <c r="P89"/>
  <c r="Q89" s="1"/>
  <c r="R89" s="1"/>
  <c r="Z89"/>
  <c r="AA89"/>
  <c r="A90"/>
  <c r="B90" s="1"/>
  <c r="S88"/>
  <c r="T87"/>
  <c r="V24"/>
  <c r="AE24"/>
  <c r="I24"/>
  <c r="J24"/>
  <c r="M24"/>
  <c r="N24" s="1"/>
  <c r="T88" l="1"/>
  <c r="S89"/>
  <c r="A91"/>
  <c r="B91" s="1"/>
  <c r="P90"/>
  <c r="Q90" s="1"/>
  <c r="R90" s="1"/>
  <c r="AC90"/>
  <c r="Z90"/>
  <c r="AA90"/>
  <c r="AD90"/>
  <c r="L24"/>
  <c r="W24"/>
  <c r="S90" l="1"/>
  <c r="T89"/>
  <c r="P91"/>
  <c r="Q91" s="1"/>
  <c r="R91" s="1"/>
  <c r="AD91"/>
  <c r="AA91"/>
  <c r="A92"/>
  <c r="B92" s="1"/>
  <c r="AC91"/>
  <c r="Z91"/>
  <c r="AH25"/>
  <c r="AG25"/>
  <c r="U24"/>
  <c r="D25" s="1"/>
  <c r="Y23"/>
  <c r="E25" l="1"/>
  <c r="H25" s="1"/>
  <c r="K25" s="1"/>
  <c r="G25"/>
  <c r="AA92"/>
  <c r="AD92"/>
  <c r="AC92"/>
  <c r="P92"/>
  <c r="Q92" s="1"/>
  <c r="R92" s="1"/>
  <c r="Z92"/>
  <c r="A93"/>
  <c r="B93" s="1"/>
  <c r="S91"/>
  <c r="T90"/>
  <c r="F25" l="1"/>
  <c r="S92"/>
  <c r="T91"/>
  <c r="Z93"/>
  <c r="AA93"/>
  <c r="P93"/>
  <c r="Q93" s="1"/>
  <c r="R93" s="1"/>
  <c r="A94"/>
  <c r="B94" s="1"/>
  <c r="AD93"/>
  <c r="AC93"/>
  <c r="I25"/>
  <c r="J25"/>
  <c r="M25"/>
  <c r="N25" s="1"/>
  <c r="V25"/>
  <c r="AE25"/>
  <c r="W25" l="1"/>
  <c r="AC94"/>
  <c r="Z94"/>
  <c r="AA94"/>
  <c r="AD94"/>
  <c r="A95"/>
  <c r="B95" s="1"/>
  <c r="P94"/>
  <c r="Q94" s="1"/>
  <c r="R94" s="1"/>
  <c r="L25"/>
  <c r="T92"/>
  <c r="S93"/>
  <c r="U25" l="1"/>
  <c r="E26" s="1"/>
  <c r="H26" s="1"/>
  <c r="AH26"/>
  <c r="AG26"/>
  <c r="Y24"/>
  <c r="Z95"/>
  <c r="A96"/>
  <c r="B96" s="1"/>
  <c r="P95"/>
  <c r="Q95" s="1"/>
  <c r="R95" s="1"/>
  <c r="AC95"/>
  <c r="AD95"/>
  <c r="AA95"/>
  <c r="S94"/>
  <c r="T93"/>
  <c r="D26" l="1"/>
  <c r="G26" s="1"/>
  <c r="K26"/>
  <c r="Z96"/>
  <c r="P96"/>
  <c r="Q96" s="1"/>
  <c r="R96" s="1"/>
  <c r="AC96"/>
  <c r="AA96"/>
  <c r="AD96"/>
  <c r="A97"/>
  <c r="B97" s="1"/>
  <c r="T94"/>
  <c r="S95"/>
  <c r="F26" l="1"/>
  <c r="I26"/>
  <c r="J26"/>
  <c r="M26"/>
  <c r="N26" s="1"/>
  <c r="S96"/>
  <c r="T95"/>
  <c r="A98"/>
  <c r="B98" s="1"/>
  <c r="P97"/>
  <c r="Q97" s="1"/>
  <c r="R97" s="1"/>
  <c r="AD97"/>
  <c r="AA97"/>
  <c r="Z97"/>
  <c r="AC97"/>
  <c r="V26"/>
  <c r="AE26"/>
  <c r="W26" l="1"/>
  <c r="A99"/>
  <c r="B99" s="1"/>
  <c r="AD98"/>
  <c r="AA98"/>
  <c r="P98"/>
  <c r="Q98" s="1"/>
  <c r="R98" s="1"/>
  <c r="Z98"/>
  <c r="AC98"/>
  <c r="S97"/>
  <c r="T96"/>
  <c r="L26"/>
  <c r="AD99" l="1"/>
  <c r="P99"/>
  <c r="Q99" s="1"/>
  <c r="R99" s="1"/>
  <c r="Z99"/>
  <c r="A100"/>
  <c r="B100" s="1"/>
  <c r="AC99"/>
  <c r="AA99"/>
  <c r="T97"/>
  <c r="S98"/>
  <c r="AH27"/>
  <c r="U26"/>
  <c r="D27" s="1"/>
  <c r="AG27"/>
  <c r="Y25"/>
  <c r="E27" l="1"/>
  <c r="H27" s="1"/>
  <c r="K27" s="1"/>
  <c r="G27"/>
  <c r="A101"/>
  <c r="B101" s="1"/>
  <c r="AA100"/>
  <c r="AC100"/>
  <c r="Z100"/>
  <c r="AD100"/>
  <c r="P100"/>
  <c r="Q100" s="1"/>
  <c r="R100" s="1"/>
  <c r="T98"/>
  <c r="S99"/>
  <c r="F27" l="1"/>
  <c r="AD101"/>
  <c r="Z101"/>
  <c r="P101"/>
  <c r="Q101" s="1"/>
  <c r="R101" s="1"/>
  <c r="AC101"/>
  <c r="A102"/>
  <c r="B102" s="1"/>
  <c r="AA101"/>
  <c r="I27"/>
  <c r="J27"/>
  <c r="M27"/>
  <c r="N27" s="1"/>
  <c r="V27"/>
  <c r="AE27"/>
  <c r="T99"/>
  <c r="S100"/>
  <c r="P102" l="1"/>
  <c r="Q102" s="1"/>
  <c r="R102" s="1"/>
  <c r="A103"/>
  <c r="B103" s="1"/>
  <c r="AA102"/>
  <c r="AC102"/>
  <c r="AD102"/>
  <c r="Z102"/>
  <c r="T100"/>
  <c r="S101"/>
  <c r="L27"/>
  <c r="W27"/>
  <c r="P103" l="1"/>
  <c r="Q103" s="1"/>
  <c r="R103" s="1"/>
  <c r="AD103"/>
  <c r="AC103"/>
  <c r="Z103"/>
  <c r="A104"/>
  <c r="B104" s="1"/>
  <c r="AA103"/>
  <c r="U27"/>
  <c r="E28" s="1"/>
  <c r="H28" s="1"/>
  <c r="AG28"/>
  <c r="AH28"/>
  <c r="Y26"/>
  <c r="S102"/>
  <c r="T101"/>
  <c r="D28" l="1"/>
  <c r="F28" s="1"/>
  <c r="K28"/>
  <c r="A105"/>
  <c r="B105" s="1"/>
  <c r="AC104"/>
  <c r="P104"/>
  <c r="Q104" s="1"/>
  <c r="R104" s="1"/>
  <c r="Z104"/>
  <c r="AA104"/>
  <c r="T102"/>
  <c r="S103"/>
  <c r="G28" l="1"/>
  <c r="I28" s="1"/>
  <c r="A106"/>
  <c r="B106" s="1"/>
  <c r="AA105"/>
  <c r="Z105"/>
  <c r="P105"/>
  <c r="Q105" s="1"/>
  <c r="R105" s="1"/>
  <c r="AC105"/>
  <c r="AD105"/>
  <c r="S104"/>
  <c r="T103"/>
  <c r="V28"/>
  <c r="AE28"/>
  <c r="M28" l="1"/>
  <c r="N28" s="1"/>
  <c r="J28"/>
  <c r="L28" s="1"/>
  <c r="W28"/>
  <c r="P106"/>
  <c r="Q106" s="1"/>
  <c r="R106" s="1"/>
  <c r="Z106"/>
  <c r="A107"/>
  <c r="B107" s="1"/>
  <c r="AD106"/>
  <c r="AC106"/>
  <c r="AA106"/>
  <c r="S105"/>
  <c r="T104"/>
  <c r="S106" l="1"/>
  <c r="T105"/>
  <c r="Z107"/>
  <c r="AA107"/>
  <c r="AC107"/>
  <c r="AD107"/>
  <c r="P107"/>
  <c r="Q107" s="1"/>
  <c r="R107" s="1"/>
  <c r="A108"/>
  <c r="B108" s="1"/>
  <c r="AH29"/>
  <c r="AG29"/>
  <c r="U28"/>
  <c r="E29" s="1"/>
  <c r="H29" s="1"/>
  <c r="Y27"/>
  <c r="D29" l="1"/>
  <c r="F29" s="1"/>
  <c r="Z108"/>
  <c r="AA108"/>
  <c r="A109"/>
  <c r="B109" s="1"/>
  <c r="AC108"/>
  <c r="P108"/>
  <c r="Q108" s="1"/>
  <c r="R108" s="1"/>
  <c r="AD108"/>
  <c r="S107"/>
  <c r="T106"/>
  <c r="K29"/>
  <c r="G29" l="1"/>
  <c r="M29" s="1"/>
  <c r="N29" s="1"/>
  <c r="A110"/>
  <c r="B110" s="1"/>
  <c r="AD109"/>
  <c r="P109"/>
  <c r="Q109" s="1"/>
  <c r="R109" s="1"/>
  <c r="AA109"/>
  <c r="Z109"/>
  <c r="AC109"/>
  <c r="V29"/>
  <c r="AE29"/>
  <c r="T107"/>
  <c r="S108"/>
  <c r="J29" l="1"/>
  <c r="L29" s="1"/>
  <c r="I29"/>
  <c r="W29" s="1"/>
  <c r="AA110"/>
  <c r="A111"/>
  <c r="B111" s="1"/>
  <c r="AD110"/>
  <c r="Z110"/>
  <c r="P110"/>
  <c r="Q110" s="1"/>
  <c r="R110" s="1"/>
  <c r="AC110"/>
  <c r="S109"/>
  <c r="T108"/>
  <c r="A112" l="1"/>
  <c r="B112" s="1"/>
  <c r="AA111"/>
  <c r="AC111"/>
  <c r="P111"/>
  <c r="Q111" s="1"/>
  <c r="R111" s="1"/>
  <c r="AD111"/>
  <c r="Z111"/>
  <c r="U29"/>
  <c r="D30" s="1"/>
  <c r="AG30"/>
  <c r="AH30"/>
  <c r="Y28"/>
  <c r="S110"/>
  <c r="T109"/>
  <c r="E30" l="1"/>
  <c r="H30" s="1"/>
  <c r="K30" s="1"/>
  <c r="AD112"/>
  <c r="P112"/>
  <c r="Q112" s="1"/>
  <c r="R112" s="1"/>
  <c r="AA112"/>
  <c r="Z112"/>
  <c r="A113"/>
  <c r="B113" s="1"/>
  <c r="AC112"/>
  <c r="G30"/>
  <c r="T110"/>
  <c r="S111"/>
  <c r="F30" l="1"/>
  <c r="AC113"/>
  <c r="AA113"/>
  <c r="A114"/>
  <c r="B114" s="1"/>
  <c r="Z113"/>
  <c r="P113"/>
  <c r="Q113" s="1"/>
  <c r="R113" s="1"/>
  <c r="AD113"/>
  <c r="S112"/>
  <c r="T111"/>
  <c r="I30"/>
  <c r="J30"/>
  <c r="M30"/>
  <c r="N30" s="1"/>
  <c r="V30"/>
  <c r="AE30"/>
  <c r="W30" l="1"/>
  <c r="P114"/>
  <c r="Q114" s="1"/>
  <c r="R114" s="1"/>
  <c r="AD114"/>
  <c r="Z114"/>
  <c r="AC114"/>
  <c r="AA114"/>
  <c r="A115"/>
  <c r="B115" s="1"/>
  <c r="S113"/>
  <c r="T112"/>
  <c r="L30"/>
  <c r="AA115" l="1"/>
  <c r="A116"/>
  <c r="B116" s="1"/>
  <c r="Z115"/>
  <c r="AD115"/>
  <c r="P115"/>
  <c r="Q115" s="1"/>
  <c r="R115" s="1"/>
  <c r="AC115"/>
  <c r="T113"/>
  <c r="S114"/>
  <c r="U30"/>
  <c r="D31" s="1"/>
  <c r="AG31"/>
  <c r="AH31"/>
  <c r="Y29"/>
  <c r="E31" l="1"/>
  <c r="H31" s="1"/>
  <c r="K31" s="1"/>
  <c r="AD116"/>
  <c r="P116"/>
  <c r="Q116" s="1"/>
  <c r="R116" s="1"/>
  <c r="AA116"/>
  <c r="A117"/>
  <c r="B117" s="1"/>
  <c r="AC116"/>
  <c r="Z116"/>
  <c r="S115"/>
  <c r="T114"/>
  <c r="G31"/>
  <c r="F31" l="1"/>
  <c r="A118"/>
  <c r="B118" s="1"/>
  <c r="Z117"/>
  <c r="P117"/>
  <c r="Q117" s="1"/>
  <c r="R117" s="1"/>
  <c r="AC117"/>
  <c r="AD117"/>
  <c r="AA117"/>
  <c r="S116"/>
  <c r="T115"/>
  <c r="V31"/>
  <c r="AE31"/>
  <c r="I31"/>
  <c r="J31"/>
  <c r="M31"/>
  <c r="N31" s="1"/>
  <c r="P118" l="1"/>
  <c r="Q118" s="1"/>
  <c r="R118" s="1"/>
  <c r="Z118"/>
  <c r="AA118"/>
  <c r="AC118"/>
  <c r="A119"/>
  <c r="B119" s="1"/>
  <c r="AD118"/>
  <c r="L31"/>
  <c r="S117"/>
  <c r="T116"/>
  <c r="W31"/>
  <c r="S118" l="1"/>
  <c r="T117"/>
  <c r="AG32"/>
  <c r="AH32"/>
  <c r="U31"/>
  <c r="E32" s="1"/>
  <c r="H32" s="1"/>
  <c r="Y30"/>
  <c r="AD119"/>
  <c r="Z119"/>
  <c r="AC119"/>
  <c r="P119"/>
  <c r="Q119" s="1"/>
  <c r="R119" s="1"/>
  <c r="AA119"/>
  <c r="A120"/>
  <c r="B120" s="1"/>
  <c r="D32" l="1"/>
  <c r="F32" s="1"/>
  <c r="K32"/>
  <c r="T118"/>
  <c r="S119"/>
  <c r="P120"/>
  <c r="Q120" s="1"/>
  <c r="R120" s="1"/>
  <c r="Z120"/>
  <c r="AA120"/>
  <c r="AD120"/>
  <c r="A121"/>
  <c r="B121" s="1"/>
  <c r="AC120"/>
  <c r="G32" l="1"/>
  <c r="I32" s="1"/>
  <c r="A122"/>
  <c r="B122" s="1"/>
  <c r="P121"/>
  <c r="Q121" s="1"/>
  <c r="R121" s="1"/>
  <c r="AC121"/>
  <c r="AD121"/>
  <c r="AA121"/>
  <c r="Z121"/>
  <c r="V32"/>
  <c r="AE32"/>
  <c r="T119"/>
  <c r="S120"/>
  <c r="M32" l="1"/>
  <c r="N32" s="1"/>
  <c r="J32"/>
  <c r="L32" s="1"/>
  <c r="W32"/>
  <c r="AD122"/>
  <c r="A123"/>
  <c r="B123" s="1"/>
  <c r="Z122"/>
  <c r="AA122"/>
  <c r="P122"/>
  <c r="Q122" s="1"/>
  <c r="R122" s="1"/>
  <c r="AC122"/>
  <c r="S121"/>
  <c r="T120"/>
  <c r="T121" l="1"/>
  <c r="S122"/>
  <c r="AA123"/>
  <c r="P123"/>
  <c r="Q123" s="1"/>
  <c r="R123" s="1"/>
  <c r="A124"/>
  <c r="B124" s="1"/>
  <c r="Z123"/>
  <c r="AC123"/>
  <c r="AD123"/>
  <c r="AH33"/>
  <c r="AG33"/>
  <c r="U32"/>
  <c r="D33" s="1"/>
  <c r="Y31"/>
  <c r="E33" l="1"/>
  <c r="H33" s="1"/>
  <c r="K33" s="1"/>
  <c r="A125"/>
  <c r="B125" s="1"/>
  <c r="P124"/>
  <c r="Q124" s="1"/>
  <c r="R124" s="1"/>
  <c r="AC124"/>
  <c r="AA124"/>
  <c r="Z124"/>
  <c r="AD124"/>
  <c r="T122"/>
  <c r="S123"/>
  <c r="G33"/>
  <c r="F33" l="1"/>
  <c r="P125"/>
  <c r="Q125" s="1"/>
  <c r="R125" s="1"/>
  <c r="Z125"/>
  <c r="AC125"/>
  <c r="AD125"/>
  <c r="AA125"/>
  <c r="A126"/>
  <c r="B126" s="1"/>
  <c r="S124"/>
  <c r="T123"/>
  <c r="I33"/>
  <c r="J33"/>
  <c r="M33"/>
  <c r="N33" s="1"/>
  <c r="V33"/>
  <c r="AE33"/>
  <c r="W33" l="1"/>
  <c r="AA126"/>
  <c r="P126"/>
  <c r="Q126" s="1"/>
  <c r="R126" s="1"/>
  <c r="Z126"/>
  <c r="AC126"/>
  <c r="A127"/>
  <c r="B127" s="1"/>
  <c r="AD126"/>
  <c r="L33"/>
  <c r="S125"/>
  <c r="T124"/>
  <c r="Z127" l="1"/>
  <c r="AC127"/>
  <c r="P127"/>
  <c r="Q127" s="1"/>
  <c r="R127" s="1"/>
  <c r="AD127"/>
  <c r="A128"/>
  <c r="B128" s="1"/>
  <c r="AA127"/>
  <c r="AH34"/>
  <c r="AG34"/>
  <c r="U33"/>
  <c r="D34" s="1"/>
  <c r="Y32"/>
  <c r="S126"/>
  <c r="T125"/>
  <c r="G34" l="1"/>
  <c r="P128"/>
  <c r="Q128" s="1"/>
  <c r="R128" s="1"/>
  <c r="Z128"/>
  <c r="AC128"/>
  <c r="AA128"/>
  <c r="A129"/>
  <c r="B129" s="1"/>
  <c r="AD128"/>
  <c r="E34"/>
  <c r="H34" s="1"/>
  <c r="S127"/>
  <c r="T126"/>
  <c r="F34" l="1"/>
  <c r="I34"/>
  <c r="J34"/>
  <c r="M34"/>
  <c r="N34" s="1"/>
  <c r="K34"/>
  <c r="P129"/>
  <c r="Q129" s="1"/>
  <c r="R129" s="1"/>
  <c r="AC129"/>
  <c r="Z129"/>
  <c r="A130"/>
  <c r="B130" s="1"/>
  <c r="AD129"/>
  <c r="AA129"/>
  <c r="S128"/>
  <c r="T127"/>
  <c r="A131" l="1"/>
  <c r="B131" s="1"/>
  <c r="AD130"/>
  <c r="P130"/>
  <c r="Q130" s="1"/>
  <c r="R130" s="1"/>
  <c r="AC130"/>
  <c r="AA130"/>
  <c r="Z130"/>
  <c r="S129"/>
  <c r="T128"/>
  <c r="V34"/>
  <c r="W34" s="1"/>
  <c r="AE34"/>
  <c r="L34"/>
  <c r="T129" l="1"/>
  <c r="S130"/>
  <c r="AC131"/>
  <c r="AD131"/>
  <c r="A132"/>
  <c r="B132" s="1"/>
  <c r="Z131"/>
  <c r="P131"/>
  <c r="Q131" s="1"/>
  <c r="R131" s="1"/>
  <c r="AA131"/>
  <c r="U34"/>
  <c r="E35" s="1"/>
  <c r="H35" s="1"/>
  <c r="AH35"/>
  <c r="AG35"/>
  <c r="Y33"/>
  <c r="D35" l="1"/>
  <c r="G35" s="1"/>
  <c r="AD132"/>
  <c r="P132"/>
  <c r="Q132" s="1"/>
  <c r="R132" s="1"/>
  <c r="Z132"/>
  <c r="A133"/>
  <c r="B133" s="1"/>
  <c r="AC132"/>
  <c r="AA132"/>
  <c r="T130"/>
  <c r="S131"/>
  <c r="K35"/>
  <c r="F35" l="1"/>
  <c r="AD133"/>
  <c r="P133"/>
  <c r="Q133" s="1"/>
  <c r="R133" s="1"/>
  <c r="Z133"/>
  <c r="A134"/>
  <c r="B134" s="1"/>
  <c r="AA133"/>
  <c r="AC133"/>
  <c r="S132"/>
  <c r="T131"/>
  <c r="I35"/>
  <c r="J35"/>
  <c r="M35"/>
  <c r="N35" s="1"/>
  <c r="V35"/>
  <c r="AE35"/>
  <c r="W35" l="1"/>
  <c r="AC134"/>
  <c r="AD134"/>
  <c r="AA134"/>
  <c r="A135"/>
  <c r="B135" s="1"/>
  <c r="P134"/>
  <c r="Q134" s="1"/>
  <c r="R134" s="1"/>
  <c r="Z134"/>
  <c r="L35"/>
  <c r="S133"/>
  <c r="T132"/>
  <c r="AD135" l="1"/>
  <c r="P135"/>
  <c r="Q135" s="1"/>
  <c r="R135" s="1"/>
  <c r="A136"/>
  <c r="B136" s="1"/>
  <c r="AA135"/>
  <c r="AC135"/>
  <c r="Z135"/>
  <c r="S134"/>
  <c r="T133"/>
  <c r="U35"/>
  <c r="E36" s="1"/>
  <c r="H36" s="1"/>
  <c r="AG36"/>
  <c r="AH36"/>
  <c r="Y34"/>
  <c r="K36" l="1"/>
  <c r="A137"/>
  <c r="B137" s="1"/>
  <c r="P136"/>
  <c r="Q136" s="1"/>
  <c r="R136" s="1"/>
  <c r="AA136"/>
  <c r="Z136"/>
  <c r="AD136"/>
  <c r="AC136"/>
  <c r="T134"/>
  <c r="S135"/>
  <c r="D36"/>
  <c r="T135" l="1"/>
  <c r="S136"/>
  <c r="F36"/>
  <c r="G36"/>
  <c r="P137"/>
  <c r="Q137" s="1"/>
  <c r="R137" s="1"/>
  <c r="Z137"/>
  <c r="AA137"/>
  <c r="AD137"/>
  <c r="AC137"/>
  <c r="A138"/>
  <c r="B138" s="1"/>
  <c r="V36"/>
  <c r="AE36"/>
  <c r="A139" l="1"/>
  <c r="B139" s="1"/>
  <c r="AC138"/>
  <c r="P138"/>
  <c r="Q138" s="1"/>
  <c r="R138" s="1"/>
  <c r="AA138"/>
  <c r="AD138"/>
  <c r="Z138"/>
  <c r="S137"/>
  <c r="T136"/>
  <c r="I36"/>
  <c r="W36" s="1"/>
  <c r="J36"/>
  <c r="M36"/>
  <c r="N36" s="1"/>
  <c r="L36" l="1"/>
  <c r="T137"/>
  <c r="S138"/>
  <c r="A140"/>
  <c r="B140" s="1"/>
  <c r="AA139"/>
  <c r="AD139"/>
  <c r="AC139"/>
  <c r="Z139"/>
  <c r="P139"/>
  <c r="Q139" s="1"/>
  <c r="R139" s="1"/>
  <c r="P140" l="1"/>
  <c r="Q140" s="1"/>
  <c r="R140" s="1"/>
  <c r="AD140"/>
  <c r="A141"/>
  <c r="B141" s="1"/>
  <c r="AA140"/>
  <c r="Z140"/>
  <c r="AC140"/>
  <c r="AH37"/>
  <c r="AG37"/>
  <c r="U36"/>
  <c r="E37" s="1"/>
  <c r="H37" s="1"/>
  <c r="Y35"/>
  <c r="S139"/>
  <c r="T138"/>
  <c r="D37" l="1"/>
  <c r="G37" s="1"/>
  <c r="A142"/>
  <c r="B142" s="1"/>
  <c r="P141"/>
  <c r="Q141" s="1"/>
  <c r="R141" s="1"/>
  <c r="AC141"/>
  <c r="Z141"/>
  <c r="AD141"/>
  <c r="AA141"/>
  <c r="K37"/>
  <c r="S140"/>
  <c r="T139"/>
  <c r="F37" l="1"/>
  <c r="A143"/>
  <c r="B143" s="1"/>
  <c r="AA142"/>
  <c r="P142"/>
  <c r="Q142" s="1"/>
  <c r="R142" s="1"/>
  <c r="AC142"/>
  <c r="AD142"/>
  <c r="Z142"/>
  <c r="I37"/>
  <c r="J37"/>
  <c r="M37"/>
  <c r="N37" s="1"/>
  <c r="V37"/>
  <c r="AE37"/>
  <c r="T140"/>
  <c r="S141"/>
  <c r="W37" l="1"/>
  <c r="P143"/>
  <c r="Q143" s="1"/>
  <c r="R143" s="1"/>
  <c r="AC143"/>
  <c r="A144"/>
  <c r="B144" s="1"/>
  <c r="AD143"/>
  <c r="AA143"/>
  <c r="Z143"/>
  <c r="T141"/>
  <c r="S142"/>
  <c r="L37"/>
  <c r="T142" l="1"/>
  <c r="S143"/>
  <c r="Z144"/>
  <c r="P144"/>
  <c r="Q144" s="1"/>
  <c r="R144" s="1"/>
  <c r="A145"/>
  <c r="B145" s="1"/>
  <c r="AA144"/>
  <c r="AC144"/>
  <c r="AD144"/>
  <c r="AH38"/>
  <c r="AG38"/>
  <c r="U37"/>
  <c r="D38" s="1"/>
  <c r="Y36"/>
  <c r="G38" l="1"/>
  <c r="P145"/>
  <c r="Q145" s="1"/>
  <c r="R145" s="1"/>
  <c r="A146"/>
  <c r="B146" s="1"/>
  <c r="Z145"/>
  <c r="AA145"/>
  <c r="AC145"/>
  <c r="AD145"/>
  <c r="T143"/>
  <c r="S144"/>
  <c r="E38"/>
  <c r="H38" s="1"/>
  <c r="Z146" l="1"/>
  <c r="A147"/>
  <c r="B147" s="1"/>
  <c r="AA146"/>
  <c r="AD146"/>
  <c r="P146"/>
  <c r="Q146" s="1"/>
  <c r="R146" s="1"/>
  <c r="AC146"/>
  <c r="K38"/>
  <c r="F38"/>
  <c r="I38"/>
  <c r="J38"/>
  <c r="M38"/>
  <c r="N38" s="1"/>
  <c r="T144"/>
  <c r="S145"/>
  <c r="Z147" l="1"/>
  <c r="P147"/>
  <c r="Q147" s="1"/>
  <c r="R147" s="1"/>
  <c r="AC147"/>
  <c r="A148"/>
  <c r="B148" s="1"/>
  <c r="AD147"/>
  <c r="AA147"/>
  <c r="S146"/>
  <c r="T145"/>
  <c r="L38"/>
  <c r="V38"/>
  <c r="W38" s="1"/>
  <c r="AE38"/>
  <c r="AD148" l="1"/>
  <c r="P148"/>
  <c r="Q148" s="1"/>
  <c r="R148" s="1"/>
  <c r="Z148"/>
  <c r="AC148"/>
  <c r="AA148"/>
  <c r="A149"/>
  <c r="B149" s="1"/>
  <c r="S147"/>
  <c r="T146"/>
  <c r="U38"/>
  <c r="D39" s="1"/>
  <c r="AG39"/>
  <c r="AH39"/>
  <c r="Y37"/>
  <c r="G39" l="1"/>
  <c r="AD149"/>
  <c r="AC149"/>
  <c r="P149"/>
  <c r="Q149" s="1"/>
  <c r="R149" s="1"/>
  <c r="AA149"/>
  <c r="Z149"/>
  <c r="A150"/>
  <c r="B150" s="1"/>
  <c r="T147"/>
  <c r="S148"/>
  <c r="E39"/>
  <c r="H39" s="1"/>
  <c r="AA150" l="1"/>
  <c r="P150"/>
  <c r="Q150" s="1"/>
  <c r="R150" s="1"/>
  <c r="Z150"/>
  <c r="AD150"/>
  <c r="AC150"/>
  <c r="A151"/>
  <c r="B151" s="1"/>
  <c r="F39"/>
  <c r="K39"/>
  <c r="I39"/>
  <c r="J39"/>
  <c r="M39"/>
  <c r="N39" s="1"/>
  <c r="T148"/>
  <c r="S149"/>
  <c r="S150" l="1"/>
  <c r="T149"/>
  <c r="P151"/>
  <c r="Q151" s="1"/>
  <c r="R151" s="1"/>
  <c r="AC151"/>
  <c r="AD151"/>
  <c r="Z151"/>
  <c r="A152"/>
  <c r="B152" s="1"/>
  <c r="AA151"/>
  <c r="L39"/>
  <c r="V39"/>
  <c r="W39" s="1"/>
  <c r="AE39"/>
  <c r="S151" l="1"/>
  <c r="T150"/>
  <c r="A153"/>
  <c r="B153" s="1"/>
  <c r="AC152"/>
  <c r="AA152"/>
  <c r="P152"/>
  <c r="Q152" s="1"/>
  <c r="R152" s="1"/>
  <c r="AD152"/>
  <c r="Z152"/>
  <c r="U39"/>
  <c r="E40" s="1"/>
  <c r="H40" s="1"/>
  <c r="AH40"/>
  <c r="AG40"/>
  <c r="Y38"/>
  <c r="D40" l="1"/>
  <c r="F40" s="1"/>
  <c r="A154"/>
  <c r="B154" s="1"/>
  <c r="P153"/>
  <c r="Q153" s="1"/>
  <c r="R153" s="1"/>
  <c r="AD153"/>
  <c r="Z153"/>
  <c r="AA153"/>
  <c r="AC153"/>
  <c r="S152"/>
  <c r="T151"/>
  <c r="K40"/>
  <c r="G40" l="1"/>
  <c r="M40" s="1"/>
  <c r="N40" s="1"/>
  <c r="P154"/>
  <c r="Q154" s="1"/>
  <c r="R154" s="1"/>
  <c r="AD154"/>
  <c r="Z154"/>
  <c r="AA154"/>
  <c r="A155"/>
  <c r="B155" s="1"/>
  <c r="AC154"/>
  <c r="S153"/>
  <c r="T152"/>
  <c r="V40"/>
  <c r="AE40"/>
  <c r="I40" l="1"/>
  <c r="W40" s="1"/>
  <c r="J40"/>
  <c r="L40" s="1"/>
  <c r="Z155"/>
  <c r="P155"/>
  <c r="Q155" s="1"/>
  <c r="R155" s="1"/>
  <c r="A156"/>
  <c r="B156" s="1"/>
  <c r="AD155"/>
  <c r="AC155"/>
  <c r="AA155"/>
  <c r="T153"/>
  <c r="S154"/>
  <c r="U40" l="1"/>
  <c r="D41" s="1"/>
  <c r="AG41"/>
  <c r="AH41"/>
  <c r="Y39"/>
  <c r="S155"/>
  <c r="T154"/>
  <c r="AA156"/>
  <c r="A157"/>
  <c r="B157" s="1"/>
  <c r="AD156"/>
  <c r="Z156"/>
  <c r="AC156"/>
  <c r="P156"/>
  <c r="Q156" s="1"/>
  <c r="R156" s="1"/>
  <c r="G41" l="1"/>
  <c r="A158"/>
  <c r="B158" s="1"/>
  <c r="AD157"/>
  <c r="P157"/>
  <c r="Q157" s="1"/>
  <c r="R157" s="1"/>
  <c r="AA157"/>
  <c r="Z157"/>
  <c r="AC157"/>
  <c r="E41"/>
  <c r="H41" s="1"/>
  <c r="T155"/>
  <c r="S156"/>
  <c r="F41" l="1"/>
  <c r="S157"/>
  <c r="T156"/>
  <c r="A159"/>
  <c r="B159" s="1"/>
  <c r="P158"/>
  <c r="Q158" s="1"/>
  <c r="R158" s="1"/>
  <c r="AA158"/>
  <c r="AC158"/>
  <c r="Z158"/>
  <c r="AD158"/>
  <c r="I41"/>
  <c r="J41"/>
  <c r="M41"/>
  <c r="N41" s="1"/>
  <c r="K41"/>
  <c r="V41" l="1"/>
  <c r="W41" s="1"/>
  <c r="AE41"/>
  <c r="L41"/>
  <c r="A160"/>
  <c r="B160" s="1"/>
  <c r="AC159"/>
  <c r="P159"/>
  <c r="Q159" s="1"/>
  <c r="R159" s="1"/>
  <c r="AD159"/>
  <c r="Z159"/>
  <c r="AA159"/>
  <c r="S158"/>
  <c r="T157"/>
  <c r="AA160" l="1"/>
  <c r="P160"/>
  <c r="Q160" s="1"/>
  <c r="R160" s="1"/>
  <c r="Z160"/>
  <c r="AC160"/>
  <c r="AD160"/>
  <c r="A161"/>
  <c r="B161" s="1"/>
  <c r="U41"/>
  <c r="E42" s="1"/>
  <c r="H42" s="1"/>
  <c r="AG42"/>
  <c r="AH42"/>
  <c r="Y40"/>
  <c r="T158"/>
  <c r="S159"/>
  <c r="D42" l="1"/>
  <c r="G42" s="1"/>
  <c r="Z161"/>
  <c r="AA161"/>
  <c r="P161"/>
  <c r="Q161" s="1"/>
  <c r="R161" s="1"/>
  <c r="A162"/>
  <c r="B162" s="1"/>
  <c r="AC161"/>
  <c r="AD161"/>
  <c r="S160"/>
  <c r="T159"/>
  <c r="K42"/>
  <c r="F42" l="1"/>
  <c r="AD162"/>
  <c r="Z162"/>
  <c r="P162"/>
  <c r="Q162" s="1"/>
  <c r="R162" s="1"/>
  <c r="AC162"/>
  <c r="AA162"/>
  <c r="A163"/>
  <c r="B163" s="1"/>
  <c r="V42"/>
  <c r="AE42"/>
  <c r="S161"/>
  <c r="T160"/>
  <c r="I42"/>
  <c r="J42"/>
  <c r="M42"/>
  <c r="N42" s="1"/>
  <c r="W42" l="1"/>
  <c r="L42"/>
  <c r="T161"/>
  <c r="S162"/>
  <c r="AD163"/>
  <c r="A164"/>
  <c r="B164" s="1"/>
  <c r="AC163"/>
  <c r="Z163"/>
  <c r="P163"/>
  <c r="Q163" s="1"/>
  <c r="R163" s="1"/>
  <c r="AA163"/>
  <c r="P164" l="1"/>
  <c r="Q164" s="1"/>
  <c r="R164" s="1"/>
  <c r="AA164"/>
  <c r="AD164"/>
  <c r="Z164"/>
  <c r="A165"/>
  <c r="B165" s="1"/>
  <c r="AC164"/>
  <c r="AG43"/>
  <c r="AH43"/>
  <c r="U42"/>
  <c r="E43" s="1"/>
  <c r="H43" s="1"/>
  <c r="Y41"/>
  <c r="S163"/>
  <c r="T162"/>
  <c r="K43" l="1"/>
  <c r="AD165"/>
  <c r="A166"/>
  <c r="B166" s="1"/>
  <c r="AA165"/>
  <c r="AC165"/>
  <c r="Z165"/>
  <c r="P165"/>
  <c r="Q165" s="1"/>
  <c r="R165" s="1"/>
  <c r="D43"/>
  <c r="S164"/>
  <c r="T163"/>
  <c r="A167" l="1"/>
  <c r="B167" s="1"/>
  <c r="AA166"/>
  <c r="AC166"/>
  <c r="P166"/>
  <c r="Q166" s="1"/>
  <c r="R166" s="1"/>
  <c r="AD166"/>
  <c r="Z166"/>
  <c r="T164"/>
  <c r="S165"/>
  <c r="V43"/>
  <c r="AE43"/>
  <c r="F43"/>
  <c r="G43"/>
  <c r="P167" l="1"/>
  <c r="Q167" s="1"/>
  <c r="R167" s="1"/>
  <c r="AA167"/>
  <c r="AC167"/>
  <c r="Z167"/>
  <c r="A168"/>
  <c r="B168" s="1"/>
  <c r="AD167"/>
  <c r="S166"/>
  <c r="T165"/>
  <c r="I43"/>
  <c r="W43" s="1"/>
  <c r="J43"/>
  <c r="M43"/>
  <c r="N43" s="1"/>
  <c r="A169" l="1"/>
  <c r="B169" s="1"/>
  <c r="Z168"/>
  <c r="P168"/>
  <c r="Q168" s="1"/>
  <c r="R168" s="1"/>
  <c r="AD168"/>
  <c r="AC168"/>
  <c r="AA168"/>
  <c r="L43"/>
  <c r="T166"/>
  <c r="S167"/>
  <c r="AD169" l="1"/>
  <c r="P169"/>
  <c r="Q169" s="1"/>
  <c r="R169" s="1"/>
  <c r="A170"/>
  <c r="B170" s="1"/>
  <c r="Z169"/>
  <c r="AA169"/>
  <c r="AC169"/>
  <c r="AG44"/>
  <c r="AH44"/>
  <c r="U43"/>
  <c r="E44" s="1"/>
  <c r="H44" s="1"/>
  <c r="Y42"/>
  <c r="S168"/>
  <c r="T167"/>
  <c r="D44" l="1"/>
  <c r="F44" s="1"/>
  <c r="K44"/>
  <c r="AA170"/>
  <c r="AC170"/>
  <c r="P170"/>
  <c r="Q170" s="1"/>
  <c r="R170" s="1"/>
  <c r="A171"/>
  <c r="B171" s="1"/>
  <c r="AD170"/>
  <c r="Z170"/>
  <c r="T168"/>
  <c r="S169"/>
  <c r="G44" l="1"/>
  <c r="J44" s="1"/>
  <c r="A172"/>
  <c r="B172" s="1"/>
  <c r="AD171"/>
  <c r="P171"/>
  <c r="Q171" s="1"/>
  <c r="R171" s="1"/>
  <c r="Z171"/>
  <c r="AA171"/>
  <c r="AC171"/>
  <c r="V44"/>
  <c r="AE44"/>
  <c r="T169"/>
  <c r="S170"/>
  <c r="M44" l="1"/>
  <c r="N44" s="1"/>
  <c r="I44"/>
  <c r="W44" s="1"/>
  <c r="A173"/>
  <c r="B173" s="1"/>
  <c r="AD172"/>
  <c r="P172"/>
  <c r="Q172" s="1"/>
  <c r="R172" s="1"/>
  <c r="AA172"/>
  <c r="AC172"/>
  <c r="Z172"/>
  <c r="T170"/>
  <c r="S171"/>
  <c r="L44"/>
  <c r="Z173" l="1"/>
  <c r="P173"/>
  <c r="Q173" s="1"/>
  <c r="R173" s="1"/>
  <c r="AD173"/>
  <c r="AA173"/>
  <c r="AC173"/>
  <c r="A174"/>
  <c r="B174" s="1"/>
  <c r="T171"/>
  <c r="S172"/>
  <c r="U44"/>
  <c r="E45" s="1"/>
  <c r="H45" s="1"/>
  <c r="AH45"/>
  <c r="AG45"/>
  <c r="Y43"/>
  <c r="D45" l="1"/>
  <c r="G45" s="1"/>
  <c r="K45"/>
  <c r="Z174"/>
  <c r="A175"/>
  <c r="B175" s="1"/>
  <c r="AD174"/>
  <c r="P174"/>
  <c r="Q174" s="1"/>
  <c r="R174" s="1"/>
  <c r="AA174"/>
  <c r="AC174"/>
  <c r="S173"/>
  <c r="T172"/>
  <c r="F45" l="1"/>
  <c r="P175"/>
  <c r="Q175" s="1"/>
  <c r="R175" s="1"/>
  <c r="A176"/>
  <c r="B176" s="1"/>
  <c r="AD175"/>
  <c r="AC175"/>
  <c r="AA175"/>
  <c r="Z175"/>
  <c r="I45"/>
  <c r="J45"/>
  <c r="M45"/>
  <c r="N45" s="1"/>
  <c r="S174"/>
  <c r="T173"/>
  <c r="V45"/>
  <c r="AE45"/>
  <c r="AD176" l="1"/>
  <c r="P176"/>
  <c r="Q176" s="1"/>
  <c r="R176" s="1"/>
  <c r="A177"/>
  <c r="B177" s="1"/>
  <c r="Z176"/>
  <c r="AC176"/>
  <c r="AA176"/>
  <c r="T174"/>
  <c r="S175"/>
  <c r="L45"/>
  <c r="W45"/>
  <c r="T175" l="1"/>
  <c r="S176"/>
  <c r="P177"/>
  <c r="Q177" s="1"/>
  <c r="R177" s="1"/>
  <c r="AA177"/>
  <c r="Z177"/>
  <c r="A178"/>
  <c r="B178" s="1"/>
  <c r="AC177"/>
  <c r="AD177"/>
  <c r="U45"/>
  <c r="D46" s="1"/>
  <c r="AG46"/>
  <c r="AH46"/>
  <c r="Y44"/>
  <c r="E46" l="1"/>
  <c r="H46" s="1"/>
  <c r="K46" s="1"/>
  <c r="G46"/>
  <c r="P178"/>
  <c r="Q178" s="1"/>
  <c r="R178" s="1"/>
  <c r="AA178"/>
  <c r="A179"/>
  <c r="B179" s="1"/>
  <c r="Z178"/>
  <c r="AD178"/>
  <c r="AC178"/>
  <c r="T176"/>
  <c r="S177"/>
  <c r="F46" l="1"/>
  <c r="P179"/>
  <c r="Q179" s="1"/>
  <c r="R179" s="1"/>
  <c r="A180"/>
  <c r="B180" s="1"/>
  <c r="AA179"/>
  <c r="Z179"/>
  <c r="AD179"/>
  <c r="AC179"/>
  <c r="I46"/>
  <c r="J46"/>
  <c r="M46"/>
  <c r="N46" s="1"/>
  <c r="V46"/>
  <c r="AE46"/>
  <c r="S178"/>
  <c r="T177"/>
  <c r="W46" l="1"/>
  <c r="AC180"/>
  <c r="A181"/>
  <c r="B181" s="1"/>
  <c r="AA180"/>
  <c r="AD180"/>
  <c r="Z180"/>
  <c r="P180"/>
  <c r="Q180" s="1"/>
  <c r="R180" s="1"/>
  <c r="T178"/>
  <c r="S179"/>
  <c r="L46"/>
  <c r="AA181" l="1"/>
  <c r="Z181"/>
  <c r="A182"/>
  <c r="B182" s="1"/>
  <c r="AD181"/>
  <c r="AC181"/>
  <c r="P181"/>
  <c r="Q181" s="1"/>
  <c r="R181" s="1"/>
  <c r="S180"/>
  <c r="T179"/>
  <c r="AG47"/>
  <c r="U46"/>
  <c r="D47" s="1"/>
  <c r="AH47"/>
  <c r="Y45"/>
  <c r="E47" l="1"/>
  <c r="H47" s="1"/>
  <c r="K47" s="1"/>
  <c r="A183"/>
  <c r="B183" s="1"/>
  <c r="AA182"/>
  <c r="P182"/>
  <c r="Q182" s="1"/>
  <c r="R182" s="1"/>
  <c r="Z182"/>
  <c r="AD182"/>
  <c r="AC182"/>
  <c r="T180"/>
  <c r="S181"/>
  <c r="G47"/>
  <c r="F47" l="1"/>
  <c r="Z183"/>
  <c r="AA183"/>
  <c r="AC183"/>
  <c r="A184"/>
  <c r="B184" s="1"/>
  <c r="P183"/>
  <c r="Q183" s="1"/>
  <c r="R183" s="1"/>
  <c r="AD183"/>
  <c r="S182"/>
  <c r="T181"/>
  <c r="I47"/>
  <c r="J47"/>
  <c r="M47"/>
  <c r="N47" s="1"/>
  <c r="V47"/>
  <c r="AE47"/>
  <c r="W47" l="1"/>
  <c r="AD184"/>
  <c r="Z184"/>
  <c r="P184"/>
  <c r="Q184" s="1"/>
  <c r="R184" s="1"/>
  <c r="AA184"/>
  <c r="A185"/>
  <c r="B185" s="1"/>
  <c r="AC184"/>
  <c r="L47"/>
  <c r="S183"/>
  <c r="T182"/>
  <c r="AD185" l="1"/>
  <c r="A186"/>
  <c r="B186" s="1"/>
  <c r="AC185"/>
  <c r="P185"/>
  <c r="Q185" s="1"/>
  <c r="R185" s="1"/>
  <c r="AA185"/>
  <c r="Z185"/>
  <c r="AG48"/>
  <c r="U47"/>
  <c r="E48" s="1"/>
  <c r="H48" s="1"/>
  <c r="AH48"/>
  <c r="Y46"/>
  <c r="S184"/>
  <c r="T183"/>
  <c r="AD186" l="1"/>
  <c r="Z186"/>
  <c r="A187"/>
  <c r="B187" s="1"/>
  <c r="P186"/>
  <c r="Q186" s="1"/>
  <c r="R186" s="1"/>
  <c r="AA186"/>
  <c r="AC186"/>
  <c r="K48"/>
  <c r="D48"/>
  <c r="T184"/>
  <c r="S185"/>
  <c r="P187" l="1"/>
  <c r="Q187" s="1"/>
  <c r="R187" s="1"/>
  <c r="AD187"/>
  <c r="A188"/>
  <c r="B188" s="1"/>
  <c r="AA187"/>
  <c r="AC187"/>
  <c r="Z187"/>
  <c r="S186"/>
  <c r="T185"/>
  <c r="V48"/>
  <c r="AE48"/>
  <c r="F48"/>
  <c r="G48"/>
  <c r="S187" l="1"/>
  <c r="T186"/>
  <c r="Z188"/>
  <c r="A189"/>
  <c r="B189" s="1"/>
  <c r="AA188"/>
  <c r="P188"/>
  <c r="Q188" s="1"/>
  <c r="R188" s="1"/>
  <c r="AD188"/>
  <c r="AC188"/>
  <c r="I48"/>
  <c r="W48" s="1"/>
  <c r="J48"/>
  <c r="M48"/>
  <c r="N48" s="1"/>
  <c r="Z189" l="1"/>
  <c r="P189"/>
  <c r="Q189" s="1"/>
  <c r="R189" s="1"/>
  <c r="A190"/>
  <c r="B190" s="1"/>
  <c r="AC189"/>
  <c r="AA189"/>
  <c r="AD189"/>
  <c r="S188"/>
  <c r="T187"/>
  <c r="L48"/>
  <c r="AC190" l="1"/>
  <c r="P190"/>
  <c r="Q190" s="1"/>
  <c r="R190" s="1"/>
  <c r="Z190"/>
  <c r="A191"/>
  <c r="B191" s="1"/>
  <c r="AD190"/>
  <c r="AA190"/>
  <c r="S189"/>
  <c r="T188"/>
  <c r="AH49"/>
  <c r="U48"/>
  <c r="E49" s="1"/>
  <c r="H49" s="1"/>
  <c r="AG49"/>
  <c r="Y47"/>
  <c r="D49" l="1"/>
  <c r="G49" s="1"/>
  <c r="K49"/>
  <c r="Z191"/>
  <c r="P191"/>
  <c r="Q191" s="1"/>
  <c r="R191" s="1"/>
  <c r="AA191"/>
  <c r="AC191"/>
  <c r="A192"/>
  <c r="B192" s="1"/>
  <c r="AD191"/>
  <c r="S190"/>
  <c r="T189"/>
  <c r="F49" l="1"/>
  <c r="P192"/>
  <c r="Q192" s="1"/>
  <c r="R192" s="1"/>
  <c r="Z192"/>
  <c r="AD192"/>
  <c r="AA192"/>
  <c r="A193"/>
  <c r="B193" s="1"/>
  <c r="AC192"/>
  <c r="V49"/>
  <c r="AE49"/>
  <c r="I49"/>
  <c r="J49"/>
  <c r="M49"/>
  <c r="N49" s="1"/>
  <c r="S191"/>
  <c r="T190"/>
  <c r="W49" l="1"/>
  <c r="Z193"/>
  <c r="AC193"/>
  <c r="AA193"/>
  <c r="AD193"/>
  <c r="P193"/>
  <c r="Q193" s="1"/>
  <c r="R193" s="1"/>
  <c r="A194"/>
  <c r="B194" s="1"/>
  <c r="S192"/>
  <c r="T191"/>
  <c r="L49"/>
  <c r="T192" l="1"/>
  <c r="S193"/>
  <c r="AD194"/>
  <c r="P194"/>
  <c r="Q194" s="1"/>
  <c r="R194" s="1"/>
  <c r="AA194"/>
  <c r="A195"/>
  <c r="B195" s="1"/>
  <c r="AC194"/>
  <c r="Z194"/>
  <c r="AG50"/>
  <c r="AH50"/>
  <c r="U49"/>
  <c r="D50" s="1"/>
  <c r="Y48"/>
  <c r="E50" l="1"/>
  <c r="H50" s="1"/>
  <c r="K50" s="1"/>
  <c r="G50"/>
  <c r="S194"/>
  <c r="T193"/>
  <c r="Z195"/>
  <c r="AA195"/>
  <c r="P195"/>
  <c r="Q195" s="1"/>
  <c r="R195" s="1"/>
  <c r="A196"/>
  <c r="B196" s="1"/>
  <c r="AC195"/>
  <c r="AD195"/>
  <c r="F50" l="1"/>
  <c r="P196"/>
  <c r="Q196" s="1"/>
  <c r="R196" s="1"/>
  <c r="A197"/>
  <c r="B197" s="1"/>
  <c r="Z196"/>
  <c r="AC196"/>
  <c r="AA196"/>
  <c r="AD196"/>
  <c r="S195"/>
  <c r="T194"/>
  <c r="I50"/>
  <c r="J50"/>
  <c r="M50"/>
  <c r="N50" s="1"/>
  <c r="V50"/>
  <c r="AE50"/>
  <c r="L50" l="1"/>
  <c r="S196"/>
  <c r="T195"/>
  <c r="AD197"/>
  <c r="P197"/>
  <c r="Q197" s="1"/>
  <c r="R197" s="1"/>
  <c r="AA197"/>
  <c r="A198"/>
  <c r="B198" s="1"/>
  <c r="Z197"/>
  <c r="AC197"/>
  <c r="W50"/>
  <c r="P198" l="1"/>
  <c r="Q198" s="1"/>
  <c r="R198" s="1"/>
  <c r="A199"/>
  <c r="B199" s="1"/>
  <c r="AA198"/>
  <c r="Z198"/>
  <c r="AC198"/>
  <c r="AD198"/>
  <c r="U50"/>
  <c r="D51" s="1"/>
  <c r="AH51"/>
  <c r="AG51"/>
  <c r="Y49"/>
  <c r="S197"/>
  <c r="T196"/>
  <c r="E51" l="1"/>
  <c r="H51" s="1"/>
  <c r="K51" s="1"/>
  <c r="AD199"/>
  <c r="P199"/>
  <c r="Q199" s="1"/>
  <c r="R199" s="1"/>
  <c r="A200"/>
  <c r="B200" s="1"/>
  <c r="AC199"/>
  <c r="AA199"/>
  <c r="Z199"/>
  <c r="G51"/>
  <c r="T197"/>
  <c r="S198"/>
  <c r="F51" l="1"/>
  <c r="AA200"/>
  <c r="A201"/>
  <c r="B201" s="1"/>
  <c r="AC200"/>
  <c r="Z200"/>
  <c r="P200"/>
  <c r="Q200" s="1"/>
  <c r="R200" s="1"/>
  <c r="AD200"/>
  <c r="V51"/>
  <c r="AE51"/>
  <c r="I51"/>
  <c r="J51"/>
  <c r="M51"/>
  <c r="N51" s="1"/>
  <c r="T198"/>
  <c r="S199"/>
  <c r="W51" l="1"/>
  <c r="A202"/>
  <c r="B202" s="1"/>
  <c r="AC201"/>
  <c r="Z201"/>
  <c r="AD201"/>
  <c r="P201"/>
  <c r="Q201" s="1"/>
  <c r="R201" s="1"/>
  <c r="AA201"/>
  <c r="L51"/>
  <c r="S200"/>
  <c r="T199"/>
  <c r="AD202" l="1"/>
  <c r="P202"/>
  <c r="Q202" s="1"/>
  <c r="R202" s="1"/>
  <c r="AA202"/>
  <c r="AC202"/>
  <c r="Z202"/>
  <c r="A203"/>
  <c r="B203" s="1"/>
  <c r="AH52"/>
  <c r="AG52"/>
  <c r="U51"/>
  <c r="E52" s="1"/>
  <c r="H52" s="1"/>
  <c r="Y50"/>
  <c r="S201"/>
  <c r="T200"/>
  <c r="D52" l="1"/>
  <c r="G52" s="1"/>
  <c r="K52"/>
  <c r="Z203"/>
  <c r="P203"/>
  <c r="Q203" s="1"/>
  <c r="R203" s="1"/>
  <c r="AD203"/>
  <c r="AA203"/>
  <c r="A204"/>
  <c r="B204" s="1"/>
  <c r="AC203"/>
  <c r="S202"/>
  <c r="T201"/>
  <c r="F52" l="1"/>
  <c r="P204"/>
  <c r="Q204" s="1"/>
  <c r="R204" s="1"/>
  <c r="Z204"/>
  <c r="AA204"/>
  <c r="AC204"/>
  <c r="S203"/>
  <c r="T202"/>
  <c r="V52"/>
  <c r="AE52"/>
  <c r="I52"/>
  <c r="J52"/>
  <c r="M52"/>
  <c r="N52" s="1"/>
  <c r="S204" l="1"/>
  <c r="T203"/>
  <c r="L52"/>
  <c r="W52"/>
  <c r="T204" l="1"/>
  <c r="AH53"/>
  <c r="AG53"/>
  <c r="U52"/>
  <c r="E53" s="1"/>
  <c r="H53" s="1"/>
  <c r="Y51"/>
  <c r="K53" l="1"/>
  <c r="D53"/>
  <c r="V53" l="1"/>
  <c r="AE53"/>
  <c r="F53"/>
  <c r="G53"/>
  <c r="I53" l="1"/>
  <c r="W53" s="1"/>
  <c r="J53"/>
  <c r="M53"/>
  <c r="N53" s="1"/>
  <c r="L53" l="1"/>
  <c r="AH54" l="1"/>
  <c r="AG54"/>
  <c r="U53"/>
  <c r="D54" s="1"/>
  <c r="Y52"/>
  <c r="G54" l="1"/>
  <c r="E54"/>
  <c r="H54" s="1"/>
  <c r="I54" l="1"/>
  <c r="J54"/>
  <c r="M54"/>
  <c r="N54" s="1"/>
  <c r="F54"/>
  <c r="K54"/>
  <c r="L54" l="1"/>
  <c r="V54"/>
  <c r="W54" s="1"/>
  <c r="AE54"/>
  <c r="U54" l="1"/>
  <c r="D55" s="1"/>
  <c r="AG55"/>
  <c r="AH55"/>
  <c r="Y53"/>
  <c r="E55" l="1"/>
  <c r="H55" s="1"/>
  <c r="K55" s="1"/>
  <c r="G55"/>
  <c r="F55" l="1"/>
  <c r="V55"/>
  <c r="AE55"/>
  <c r="I55"/>
  <c r="J55"/>
  <c r="M55"/>
  <c r="N55" s="1"/>
  <c r="W55" l="1"/>
  <c r="L55"/>
  <c r="AH56" l="1"/>
  <c r="U55"/>
  <c r="D56" s="1"/>
  <c r="AG56"/>
  <c r="Y54"/>
  <c r="E56" l="1"/>
  <c r="H56" s="1"/>
  <c r="K56" s="1"/>
  <c r="G56"/>
  <c r="F56" l="1"/>
  <c r="I56"/>
  <c r="J56"/>
  <c r="M56"/>
  <c r="N56" s="1"/>
  <c r="V56"/>
  <c r="AE56"/>
  <c r="W56" l="1"/>
  <c r="L56"/>
  <c r="AG57" l="1"/>
  <c r="U56"/>
  <c r="D57" s="1"/>
  <c r="AH57"/>
  <c r="Y55"/>
  <c r="E57" l="1"/>
  <c r="H57" s="1"/>
  <c r="K57" s="1"/>
  <c r="G57"/>
  <c r="F57" l="1"/>
  <c r="I57"/>
  <c r="J57"/>
  <c r="M57"/>
  <c r="N57" s="1"/>
  <c r="V57"/>
  <c r="AE57"/>
  <c r="W57" l="1"/>
  <c r="L57"/>
  <c r="U57" l="1"/>
  <c r="D58" s="1"/>
  <c r="AH58"/>
  <c r="AG58"/>
  <c r="Y56"/>
  <c r="E58" l="1"/>
  <c r="H58" s="1"/>
  <c r="K58" s="1"/>
  <c r="G58"/>
  <c r="F58" l="1"/>
  <c r="V58"/>
  <c r="AE58"/>
  <c r="I58"/>
  <c r="J58"/>
  <c r="M58"/>
  <c r="N58" s="1"/>
  <c r="W58" l="1"/>
  <c r="L58"/>
  <c r="AG59" l="1"/>
  <c r="U58"/>
  <c r="E59" s="1"/>
  <c r="H59" s="1"/>
  <c r="AH59"/>
  <c r="Y57"/>
  <c r="D59" l="1"/>
  <c r="F59" s="1"/>
  <c r="K59"/>
  <c r="G59" l="1"/>
  <c r="M59" s="1"/>
  <c r="N59" s="1"/>
  <c r="V59"/>
  <c r="AE59"/>
  <c r="I59" l="1"/>
  <c r="W59" s="1"/>
  <c r="J59"/>
  <c r="L59" s="1"/>
  <c r="AH60" l="1"/>
  <c r="U59"/>
  <c r="D60" s="1"/>
  <c r="AG60"/>
  <c r="Y58"/>
  <c r="E60" l="1"/>
  <c r="H60" s="1"/>
  <c r="K60" s="1"/>
  <c r="G60"/>
  <c r="F60" l="1"/>
  <c r="I60"/>
  <c r="J60"/>
  <c r="M60"/>
  <c r="N60" s="1"/>
  <c r="V60"/>
  <c r="AE60"/>
  <c r="W60" l="1"/>
  <c r="L60"/>
  <c r="AG61" l="1"/>
  <c r="U60"/>
  <c r="D61" s="1"/>
  <c r="AH61"/>
  <c r="Y59"/>
  <c r="G61" l="1"/>
  <c r="E61"/>
  <c r="H61" s="1"/>
  <c r="F61" l="1"/>
  <c r="I61"/>
  <c r="J61"/>
  <c r="M61"/>
  <c r="N61" s="1"/>
  <c r="K61"/>
  <c r="V61" l="1"/>
  <c r="W61" s="1"/>
  <c r="AE61"/>
  <c r="L61"/>
  <c r="AG62" l="1"/>
  <c r="U61"/>
  <c r="D62" s="1"/>
  <c r="AH62"/>
  <c r="Y60"/>
  <c r="G62" l="1"/>
  <c r="E62"/>
  <c r="H62" s="1"/>
  <c r="F62" l="1"/>
  <c r="I62"/>
  <c r="J62"/>
  <c r="M62"/>
  <c r="N62" s="1"/>
  <c r="K62"/>
  <c r="V62" l="1"/>
  <c r="W62" s="1"/>
  <c r="AE62"/>
  <c r="L62"/>
  <c r="U62" l="1"/>
  <c r="E63" s="1"/>
  <c r="H63" s="1"/>
  <c r="AG63"/>
  <c r="AH63"/>
  <c r="Y61"/>
  <c r="D63" l="1"/>
  <c r="G63" s="1"/>
  <c r="K63"/>
  <c r="F63" l="1"/>
  <c r="I63"/>
  <c r="J63"/>
  <c r="M63"/>
  <c r="N63" s="1"/>
  <c r="V63"/>
  <c r="AE63"/>
  <c r="W63" l="1"/>
  <c r="L63"/>
  <c r="U63" l="1"/>
  <c r="E64" s="1"/>
  <c r="H64" s="1"/>
  <c r="AH64"/>
  <c r="AG64"/>
  <c r="Y62"/>
  <c r="D64" l="1"/>
  <c r="G64" s="1"/>
  <c r="K64"/>
  <c r="F64" l="1"/>
  <c r="V64"/>
  <c r="AE64"/>
  <c r="I64"/>
  <c r="J64"/>
  <c r="M64"/>
  <c r="N64" s="1"/>
  <c r="W64" l="1"/>
  <c r="L64"/>
  <c r="U64" l="1"/>
  <c r="E65" s="1"/>
  <c r="H65" s="1"/>
  <c r="AH65"/>
  <c r="AG65"/>
  <c r="Y63"/>
  <c r="D65" l="1"/>
  <c r="G65" s="1"/>
  <c r="K65"/>
  <c r="F65" l="1"/>
  <c r="V65"/>
  <c r="AE65"/>
  <c r="I65"/>
  <c r="J65"/>
  <c r="M65"/>
  <c r="N65" s="1"/>
  <c r="W65" l="1"/>
  <c r="L65"/>
  <c r="U65" l="1"/>
  <c r="D66" s="1"/>
  <c r="AH66"/>
  <c r="AG66"/>
  <c r="Y64"/>
  <c r="E66" l="1"/>
  <c r="H66" s="1"/>
  <c r="K66" s="1"/>
  <c r="G66"/>
  <c r="F66" l="1"/>
  <c r="I66"/>
  <c r="J66"/>
  <c r="M66"/>
  <c r="N66" s="1"/>
  <c r="V66"/>
  <c r="AE66"/>
  <c r="W66" l="1"/>
  <c r="L66"/>
  <c r="U66" l="1"/>
  <c r="D67" s="1"/>
  <c r="AH67"/>
  <c r="AG67"/>
  <c r="Y65"/>
  <c r="E67" l="1"/>
  <c r="H67" s="1"/>
  <c r="K67" s="1"/>
  <c r="G67"/>
  <c r="F67" l="1"/>
  <c r="I67"/>
  <c r="J67"/>
  <c r="M67"/>
  <c r="N67" s="1"/>
  <c r="V67"/>
  <c r="AE67"/>
  <c r="W67" l="1"/>
  <c r="L67"/>
  <c r="U67" l="1"/>
  <c r="D68" s="1"/>
  <c r="AH68"/>
  <c r="AG68"/>
  <c r="Y66"/>
  <c r="E68" l="1"/>
  <c r="H68" s="1"/>
  <c r="K68" s="1"/>
  <c r="G68"/>
  <c r="F68" l="1"/>
  <c r="I68"/>
  <c r="J68"/>
  <c r="M68"/>
  <c r="N68" s="1"/>
  <c r="V68"/>
  <c r="AE68"/>
  <c r="W68" l="1"/>
  <c r="L68"/>
  <c r="U68" l="1"/>
  <c r="D69" s="1"/>
  <c r="AH69"/>
  <c r="AG69"/>
  <c r="Y67"/>
  <c r="E69" l="1"/>
  <c r="H69" s="1"/>
  <c r="K69" s="1"/>
  <c r="G69"/>
  <c r="F69" l="1"/>
  <c r="I69"/>
  <c r="J69"/>
  <c r="M69"/>
  <c r="N69" s="1"/>
  <c r="V69"/>
  <c r="AE69"/>
  <c r="W69" l="1"/>
  <c r="L69"/>
  <c r="AH70" l="1"/>
  <c r="U69"/>
  <c r="E70" s="1"/>
  <c r="H70" s="1"/>
  <c r="AG70"/>
  <c r="Y68"/>
  <c r="D70" l="1"/>
  <c r="G70" s="1"/>
  <c r="K70"/>
  <c r="F70" l="1"/>
  <c r="I70"/>
  <c r="J70"/>
  <c r="M70"/>
  <c r="N70" s="1"/>
  <c r="V70"/>
  <c r="AE70"/>
  <c r="W70" l="1"/>
  <c r="L70"/>
  <c r="AG71" l="1"/>
  <c r="AH71"/>
  <c r="U70"/>
  <c r="E71" s="1"/>
  <c r="H71" s="1"/>
  <c r="Y69"/>
  <c r="D71" l="1"/>
  <c r="G71" s="1"/>
  <c r="K71"/>
  <c r="F71" l="1"/>
  <c r="I71"/>
  <c r="J71"/>
  <c r="M71"/>
  <c r="N71" s="1"/>
  <c r="V71"/>
  <c r="AE71"/>
  <c r="W71" l="1"/>
  <c r="L71"/>
  <c r="AH72" l="1"/>
  <c r="U71"/>
  <c r="E72" s="1"/>
  <c r="H72" s="1"/>
  <c r="AG72"/>
  <c r="Y70"/>
  <c r="D72" l="1"/>
  <c r="F72" s="1"/>
  <c r="K72"/>
  <c r="G72" l="1"/>
  <c r="M72" s="1"/>
  <c r="N72" s="1"/>
  <c r="V72"/>
  <c r="AE72"/>
  <c r="I72" l="1"/>
  <c r="W72" s="1"/>
  <c r="J72"/>
  <c r="L72" s="1"/>
  <c r="U72" l="1"/>
  <c r="D73" s="1"/>
  <c r="AG73"/>
  <c r="AH73"/>
  <c r="Y71"/>
  <c r="E73" l="1"/>
  <c r="H73" s="1"/>
  <c r="K73" s="1"/>
  <c r="G73"/>
  <c r="F73" l="1"/>
  <c r="I73"/>
  <c r="J73"/>
  <c r="M73"/>
  <c r="N73" s="1"/>
  <c r="V73"/>
  <c r="AE73"/>
  <c r="W73" l="1"/>
  <c r="L73"/>
  <c r="AG74" l="1"/>
  <c r="AH74"/>
  <c r="U73"/>
  <c r="D74" s="1"/>
  <c r="Y72"/>
  <c r="G74" l="1"/>
  <c r="E74"/>
  <c r="H74" s="1"/>
  <c r="I74" l="1"/>
  <c r="J74"/>
  <c r="M74"/>
  <c r="N74" s="1"/>
  <c r="K74"/>
  <c r="F74"/>
  <c r="V74" l="1"/>
  <c r="W74" s="1"/>
  <c r="AE74"/>
  <c r="L74"/>
  <c r="AG75" l="1"/>
  <c r="U74"/>
  <c r="E75" s="1"/>
  <c r="H75" s="1"/>
  <c r="AH75"/>
  <c r="Y73"/>
  <c r="K75" l="1"/>
  <c r="D75"/>
  <c r="V75" l="1"/>
  <c r="AE75"/>
  <c r="F75"/>
  <c r="G75"/>
  <c r="I75" l="1"/>
  <c r="W75" s="1"/>
  <c r="J75"/>
  <c r="M75"/>
  <c r="N75" s="1"/>
  <c r="L75" l="1"/>
  <c r="U75" l="1"/>
  <c r="E76" s="1"/>
  <c r="H76" s="1"/>
  <c r="AH76"/>
  <c r="AG76"/>
  <c r="Y74"/>
  <c r="D76" l="1"/>
  <c r="F76" s="1"/>
  <c r="K76"/>
  <c r="G76" l="1"/>
  <c r="I76" s="1"/>
  <c r="V76"/>
  <c r="AE76"/>
  <c r="J76" l="1"/>
  <c r="L76" s="1"/>
  <c r="M76"/>
  <c r="N76" s="1"/>
  <c r="W76"/>
  <c r="U76" l="1"/>
  <c r="D77" s="1"/>
  <c r="AH77"/>
  <c r="AG77"/>
  <c r="Y75"/>
  <c r="E77" l="1"/>
  <c r="H77" s="1"/>
  <c r="K77" s="1"/>
  <c r="G77"/>
  <c r="F77" l="1"/>
  <c r="I77"/>
  <c r="J77"/>
  <c r="M77"/>
  <c r="N77" s="1"/>
  <c r="V77"/>
  <c r="AE77"/>
  <c r="W77" l="1"/>
  <c r="L77"/>
  <c r="AH78" l="1"/>
  <c r="U77"/>
  <c r="D78" s="1"/>
  <c r="AG78"/>
  <c r="Y76"/>
  <c r="E78" l="1"/>
  <c r="H78" s="1"/>
  <c r="K78" s="1"/>
  <c r="G78"/>
  <c r="F78" l="1"/>
  <c r="I78"/>
  <c r="J78"/>
  <c r="M78"/>
  <c r="N78" s="1"/>
  <c r="V78"/>
  <c r="AE78"/>
  <c r="W78" l="1"/>
  <c r="L78"/>
  <c r="U78" l="1"/>
  <c r="E79" s="1"/>
  <c r="H79" s="1"/>
  <c r="AH79"/>
  <c r="AG79"/>
  <c r="Y77"/>
  <c r="D79" l="1"/>
  <c r="G79" s="1"/>
  <c r="K79"/>
  <c r="F79" l="1"/>
  <c r="I79"/>
  <c r="J79"/>
  <c r="M79"/>
  <c r="N79" s="1"/>
  <c r="V79"/>
  <c r="AE79"/>
  <c r="W79" l="1"/>
  <c r="L79"/>
  <c r="AH80" l="1"/>
  <c r="AG80"/>
  <c r="U79"/>
  <c r="E80" s="1"/>
  <c r="H80" s="1"/>
  <c r="Y78"/>
  <c r="D80" l="1"/>
  <c r="F80" s="1"/>
  <c r="K80"/>
  <c r="G80" l="1"/>
  <c r="I80" s="1"/>
  <c r="V80"/>
  <c r="AE80"/>
  <c r="J80" l="1"/>
  <c r="L80" s="1"/>
  <c r="M80"/>
  <c r="N80" s="1"/>
  <c r="W80"/>
  <c r="U80" l="1"/>
  <c r="E81" s="1"/>
  <c r="H81" s="1"/>
  <c r="AG81"/>
  <c r="AH81"/>
  <c r="Y79"/>
  <c r="D81" l="1"/>
  <c r="G81" s="1"/>
  <c r="K81"/>
  <c r="F81" l="1"/>
  <c r="I81"/>
  <c r="J81"/>
  <c r="M81"/>
  <c r="N81" s="1"/>
  <c r="V81"/>
  <c r="AE81"/>
  <c r="W81" l="1"/>
  <c r="L81"/>
  <c r="AH82" l="1"/>
  <c r="AG82"/>
  <c r="U81"/>
  <c r="E82" s="1"/>
  <c r="H82" s="1"/>
  <c r="Y80"/>
  <c r="D82" l="1"/>
  <c r="G82" s="1"/>
  <c r="K82"/>
  <c r="F82" l="1"/>
  <c r="I82"/>
  <c r="J82"/>
  <c r="M82"/>
  <c r="N82" s="1"/>
  <c r="V82"/>
  <c r="AE82"/>
  <c r="W82" l="1"/>
  <c r="L82"/>
  <c r="AG83" l="1"/>
  <c r="U82"/>
  <c r="D83" s="1"/>
  <c r="AH83"/>
  <c r="Y81"/>
  <c r="E83" l="1"/>
  <c r="H83" s="1"/>
  <c r="K83" s="1"/>
  <c r="G83"/>
  <c r="F83" l="1"/>
  <c r="I83"/>
  <c r="J83"/>
  <c r="M83"/>
  <c r="N83" s="1"/>
  <c r="V83"/>
  <c r="AE83"/>
  <c r="W83" l="1"/>
  <c r="L83"/>
  <c r="AG84" l="1"/>
  <c r="AH84"/>
  <c r="U83"/>
  <c r="D84" s="1"/>
  <c r="Y82"/>
  <c r="G84" l="1"/>
  <c r="E84"/>
  <c r="H84" s="1"/>
  <c r="K84" l="1"/>
  <c r="I84"/>
  <c r="J84"/>
  <c r="M84"/>
  <c r="N84" s="1"/>
  <c r="F84"/>
  <c r="L84" l="1"/>
  <c r="V84"/>
  <c r="W84" s="1"/>
  <c r="AE84"/>
  <c r="AH85" l="1"/>
  <c r="AG85"/>
  <c r="U84"/>
  <c r="D85" s="1"/>
  <c r="Y83"/>
  <c r="E85" l="1"/>
  <c r="H85" s="1"/>
  <c r="K85" s="1"/>
  <c r="G85"/>
  <c r="F85" l="1"/>
  <c r="I85"/>
  <c r="J85"/>
  <c r="M85"/>
  <c r="N85" s="1"/>
  <c r="V85"/>
  <c r="AE85"/>
  <c r="W85" l="1"/>
  <c r="L85"/>
  <c r="AH86" l="1"/>
  <c r="AG86"/>
  <c r="U85"/>
  <c r="E86" s="1"/>
  <c r="H86" s="1"/>
  <c r="Y84"/>
  <c r="D86" l="1"/>
  <c r="F86" s="1"/>
  <c r="K86"/>
  <c r="G86" l="1"/>
  <c r="M86" s="1"/>
  <c r="N86" s="1"/>
  <c r="V86"/>
  <c r="AE86"/>
  <c r="I86" l="1"/>
  <c r="W86" s="1"/>
  <c r="J86"/>
  <c r="L86" s="1"/>
  <c r="U86" l="1"/>
  <c r="E87" s="1"/>
  <c r="H87" s="1"/>
  <c r="AH87"/>
  <c r="AG87"/>
  <c r="Y85"/>
  <c r="D87" l="1"/>
  <c r="G87" s="1"/>
  <c r="K87"/>
  <c r="F87" l="1"/>
  <c r="V87"/>
  <c r="AE87"/>
  <c r="I87"/>
  <c r="J87"/>
  <c r="M87"/>
  <c r="N87" s="1"/>
  <c r="L87" l="1"/>
  <c r="W87"/>
  <c r="U87" l="1"/>
  <c r="E88" s="1"/>
  <c r="H88" s="1"/>
  <c r="AG88"/>
  <c r="AH88"/>
  <c r="Y86"/>
  <c r="D88" l="1"/>
  <c r="G88" s="1"/>
  <c r="K88"/>
  <c r="F88" l="1"/>
  <c r="I88"/>
  <c r="J88"/>
  <c r="M88"/>
  <c r="N88" s="1"/>
  <c r="V88"/>
  <c r="AE88"/>
  <c r="W88" l="1"/>
  <c r="L88"/>
  <c r="AH89" l="1"/>
  <c r="U88"/>
  <c r="E89" s="1"/>
  <c r="H89" s="1"/>
  <c r="AG89"/>
  <c r="Y87"/>
  <c r="K89" l="1"/>
  <c r="D89"/>
  <c r="V89" l="1"/>
  <c r="AE89"/>
  <c r="F89"/>
  <c r="G89"/>
  <c r="I89" l="1"/>
  <c r="W89" s="1"/>
  <c r="J89"/>
  <c r="M89"/>
  <c r="N89" s="1"/>
  <c r="L89" l="1"/>
  <c r="U89" l="1"/>
  <c r="D90" s="1"/>
  <c r="AH90"/>
  <c r="AG90"/>
  <c r="Y88"/>
  <c r="G90" l="1"/>
  <c r="E90"/>
  <c r="H90" s="1"/>
  <c r="F90" l="1"/>
  <c r="I90"/>
  <c r="J90"/>
  <c r="M90"/>
  <c r="N90" s="1"/>
  <c r="K90"/>
  <c r="V90" l="1"/>
  <c r="W90" s="1"/>
  <c r="AE90"/>
  <c r="L90"/>
  <c r="AG91" l="1"/>
  <c r="AH91"/>
  <c r="U90"/>
  <c r="D91" s="1"/>
  <c r="Y89"/>
  <c r="G91" l="1"/>
  <c r="E91"/>
  <c r="H91" s="1"/>
  <c r="F91" l="1"/>
  <c r="I91"/>
  <c r="J91"/>
  <c r="M91"/>
  <c r="N91" s="1"/>
  <c r="K91"/>
  <c r="V91" l="1"/>
  <c r="W91" s="1"/>
  <c r="AE91"/>
  <c r="L91"/>
  <c r="AH92" l="1"/>
  <c r="AG92"/>
  <c r="U91"/>
  <c r="D92" s="1"/>
  <c r="Y90"/>
  <c r="G92" l="1"/>
  <c r="E92"/>
  <c r="H92" s="1"/>
  <c r="F92" l="1"/>
  <c r="I92"/>
  <c r="J92"/>
  <c r="M92"/>
  <c r="N92" s="1"/>
  <c r="K92"/>
  <c r="V92" l="1"/>
  <c r="W92" s="1"/>
  <c r="AE92"/>
  <c r="L92"/>
  <c r="U92" l="1"/>
  <c r="D93" s="1"/>
  <c r="AH93"/>
  <c r="AG93"/>
  <c r="Y91"/>
  <c r="E93" l="1"/>
  <c r="H93" s="1"/>
  <c r="K93" s="1"/>
  <c r="G93"/>
  <c r="F93" l="1"/>
  <c r="I93"/>
  <c r="J93"/>
  <c r="M93"/>
  <c r="N93" s="1"/>
  <c r="V93"/>
  <c r="AE93"/>
  <c r="W93" l="1"/>
  <c r="L93"/>
  <c r="AG94" l="1"/>
  <c r="AH94"/>
  <c r="U93"/>
  <c r="D94" s="1"/>
  <c r="Y92"/>
  <c r="E94" l="1"/>
  <c r="H94" s="1"/>
  <c r="K94" s="1"/>
  <c r="G94"/>
  <c r="F94" l="1"/>
  <c r="I94"/>
  <c r="J94"/>
  <c r="M94"/>
  <c r="N94" s="1"/>
  <c r="V94"/>
  <c r="AE94"/>
  <c r="L94" l="1"/>
  <c r="W94"/>
  <c r="U94" l="1"/>
  <c r="D95" s="1"/>
  <c r="AG95"/>
  <c r="AH95"/>
  <c r="Y93"/>
  <c r="E95" l="1"/>
  <c r="H95" s="1"/>
  <c r="K95" s="1"/>
  <c r="G95"/>
  <c r="F95" l="1"/>
  <c r="I95"/>
  <c r="J95"/>
  <c r="M95"/>
  <c r="N95" s="1"/>
  <c r="V95"/>
  <c r="AE95"/>
  <c r="W95" l="1"/>
  <c r="L95"/>
  <c r="AG96" l="1"/>
  <c r="AH96"/>
  <c r="U95"/>
  <c r="D96" s="1"/>
  <c r="Y94"/>
  <c r="G96" l="1"/>
  <c r="E96"/>
  <c r="H96" s="1"/>
  <c r="F96" l="1"/>
  <c r="I96"/>
  <c r="J96"/>
  <c r="M96"/>
  <c r="N96" s="1"/>
  <c r="K96"/>
  <c r="L96" l="1"/>
  <c r="V96"/>
  <c r="W96" s="1"/>
  <c r="AE96"/>
  <c r="AG97" l="1"/>
  <c r="AH97"/>
  <c r="U96"/>
  <c r="E97" s="1"/>
  <c r="H97" s="1"/>
  <c r="Y95"/>
  <c r="K97" l="1"/>
  <c r="D97"/>
  <c r="V97" l="1"/>
  <c r="AE97"/>
  <c r="F97"/>
  <c r="G97"/>
  <c r="I97" l="1"/>
  <c r="W97" s="1"/>
  <c r="J97"/>
  <c r="M97"/>
  <c r="N97" s="1"/>
  <c r="L97" l="1"/>
  <c r="U97" l="1"/>
  <c r="D98" s="1"/>
  <c r="AH98"/>
  <c r="AG98"/>
  <c r="Y96"/>
  <c r="G98" l="1"/>
  <c r="E98"/>
  <c r="H98" s="1"/>
  <c r="I98" l="1"/>
  <c r="J98"/>
  <c r="M98"/>
  <c r="N98" s="1"/>
  <c r="F98"/>
  <c r="K98"/>
  <c r="L98" l="1"/>
  <c r="V98"/>
  <c r="W98" s="1"/>
  <c r="AE98"/>
  <c r="AG99" l="1"/>
  <c r="AH99"/>
  <c r="U98"/>
  <c r="D99" s="1"/>
  <c r="Y97"/>
  <c r="G99" l="1"/>
  <c r="E99"/>
  <c r="H99" s="1"/>
  <c r="F99" l="1"/>
  <c r="I99"/>
  <c r="J99"/>
  <c r="M99"/>
  <c r="N99" s="1"/>
  <c r="K99"/>
  <c r="V99" l="1"/>
  <c r="W99" s="1"/>
  <c r="AE99"/>
  <c r="L99"/>
  <c r="U99" l="1"/>
  <c r="D100" s="1"/>
  <c r="AH100"/>
  <c r="AG100"/>
  <c r="Y98"/>
  <c r="E100" l="1"/>
  <c r="H100" s="1"/>
  <c r="K100" s="1"/>
  <c r="G100"/>
  <c r="F100" l="1"/>
  <c r="V100"/>
  <c r="AE100"/>
  <c r="I100"/>
  <c r="J100"/>
  <c r="M100"/>
  <c r="N100" s="1"/>
  <c r="W100" l="1"/>
  <c r="L100"/>
  <c r="AH101" l="1"/>
  <c r="U100"/>
  <c r="E101" s="1"/>
  <c r="H101" s="1"/>
  <c r="AG101"/>
  <c r="Y99"/>
  <c r="K101" l="1"/>
  <c r="D101"/>
  <c r="V101" l="1"/>
  <c r="AE101"/>
  <c r="F101"/>
  <c r="G101"/>
  <c r="I101" l="1"/>
  <c r="W101" s="1"/>
  <c r="J101"/>
  <c r="M101"/>
  <c r="N101" s="1"/>
  <c r="L101" l="1"/>
  <c r="AH102" l="1"/>
  <c r="AG102"/>
  <c r="U101"/>
  <c r="E102" s="1"/>
  <c r="H102" s="1"/>
  <c r="Y100"/>
  <c r="K102" l="1"/>
  <c r="D102"/>
  <c r="V102" l="1"/>
  <c r="AE102"/>
  <c r="F102"/>
  <c r="G102"/>
  <c r="I102" l="1"/>
  <c r="W102" s="1"/>
  <c r="J102"/>
  <c r="M102"/>
  <c r="N102" s="1"/>
  <c r="L102" l="1"/>
  <c r="AG103" l="1"/>
  <c r="AH103"/>
  <c r="U102"/>
  <c r="E103" s="1"/>
  <c r="H103" s="1"/>
  <c r="Y101"/>
  <c r="K103" l="1"/>
  <c r="D103"/>
  <c r="V103" l="1"/>
  <c r="AE103"/>
  <c r="F103"/>
  <c r="G103"/>
  <c r="I103" l="1"/>
  <c r="W103" s="1"/>
  <c r="J103"/>
  <c r="M103"/>
  <c r="N103" s="1"/>
  <c r="L103" l="1"/>
  <c r="AG104" l="1"/>
  <c r="AH104"/>
  <c r="U103"/>
  <c r="E104" s="1"/>
  <c r="H104" s="1"/>
  <c r="Y102"/>
  <c r="K104" l="1"/>
  <c r="D104"/>
  <c r="V104" l="1"/>
  <c r="AE104"/>
  <c r="F104"/>
  <c r="G104"/>
  <c r="I104" l="1"/>
  <c r="W104" s="1"/>
  <c r="J104"/>
  <c r="M104"/>
  <c r="N104" s="1"/>
  <c r="L104" l="1"/>
  <c r="AD104"/>
  <c r="U104" l="1"/>
  <c r="E105" s="1"/>
  <c r="H105" s="1"/>
  <c r="AG105"/>
  <c r="AH105"/>
  <c r="Y103"/>
  <c r="D105" l="1"/>
  <c r="G105" s="1"/>
  <c r="K105"/>
  <c r="F105" l="1"/>
  <c r="V105"/>
  <c r="AE105"/>
  <c r="I105"/>
  <c r="J105"/>
  <c r="M105"/>
  <c r="N105" s="1"/>
  <c r="W105" l="1"/>
  <c r="L105"/>
  <c r="AH106" l="1"/>
  <c r="AG106"/>
  <c r="U105"/>
  <c r="D106" s="1"/>
  <c r="Y104"/>
  <c r="E106" l="1"/>
  <c r="H106" s="1"/>
  <c r="K106" s="1"/>
  <c r="G106"/>
  <c r="F106" l="1"/>
  <c r="V106"/>
  <c r="AE106"/>
  <c r="I106"/>
  <c r="J106"/>
  <c r="M106"/>
  <c r="N106" s="1"/>
  <c r="W106" l="1"/>
  <c r="L106"/>
  <c r="AG107" l="1"/>
  <c r="AH107"/>
  <c r="U106"/>
  <c r="E107" s="1"/>
  <c r="H107" s="1"/>
  <c r="Y105"/>
  <c r="K107" l="1"/>
  <c r="D107"/>
  <c r="V107" l="1"/>
  <c r="AE107"/>
  <c r="F107"/>
  <c r="G107"/>
  <c r="I107" l="1"/>
  <c r="W107" s="1"/>
  <c r="J107"/>
  <c r="M107"/>
  <c r="N107" s="1"/>
  <c r="L107" l="1"/>
  <c r="AH108" l="1"/>
  <c r="U107"/>
  <c r="E108" s="1"/>
  <c r="H108" s="1"/>
  <c r="AG108"/>
  <c r="Y106"/>
  <c r="D108" l="1"/>
  <c r="G108" s="1"/>
  <c r="K108"/>
  <c r="F108" l="1"/>
  <c r="I108"/>
  <c r="J108"/>
  <c r="M108"/>
  <c r="N108" s="1"/>
  <c r="V108"/>
  <c r="AE108"/>
  <c r="W108" l="1"/>
  <c r="L108"/>
  <c r="AG109" l="1"/>
  <c r="U108"/>
  <c r="D109" s="1"/>
  <c r="AH109"/>
  <c r="Y107"/>
  <c r="E109" l="1"/>
  <c r="H109" s="1"/>
  <c r="K109" s="1"/>
  <c r="G109"/>
  <c r="F109" l="1"/>
  <c r="V109"/>
  <c r="AE109"/>
  <c r="I109"/>
  <c r="J109"/>
  <c r="M109"/>
  <c r="N109" s="1"/>
  <c r="L109" l="1"/>
  <c r="W109"/>
  <c r="AH110" l="1"/>
  <c r="AG110"/>
  <c r="U109"/>
  <c r="D110" s="1"/>
  <c r="Y108"/>
  <c r="E110" l="1"/>
  <c r="H110" s="1"/>
  <c r="K110" s="1"/>
  <c r="G110"/>
  <c r="F110" l="1"/>
  <c r="I110"/>
  <c r="J110"/>
  <c r="M110"/>
  <c r="N110" s="1"/>
  <c r="V110"/>
  <c r="AE110"/>
  <c r="W110" l="1"/>
  <c r="L110"/>
  <c r="AH111" l="1"/>
  <c r="U110"/>
  <c r="E111" s="1"/>
  <c r="H111" s="1"/>
  <c r="AG111"/>
  <c r="Y109"/>
  <c r="D111" l="1"/>
  <c r="G111" s="1"/>
  <c r="K111"/>
  <c r="F111" l="1"/>
  <c r="I111"/>
  <c r="J111"/>
  <c r="M111"/>
  <c r="N111" s="1"/>
  <c r="V111"/>
  <c r="AE111"/>
  <c r="W111" l="1"/>
  <c r="L111"/>
  <c r="AH112" l="1"/>
  <c r="U111"/>
  <c r="D112" s="1"/>
  <c r="AG112"/>
  <c r="Y110"/>
  <c r="E112" l="1"/>
  <c r="H112" s="1"/>
  <c r="K112" s="1"/>
  <c r="G112"/>
  <c r="F112" l="1"/>
  <c r="V112"/>
  <c r="AE112"/>
  <c r="I112"/>
  <c r="J112"/>
  <c r="M112"/>
  <c r="N112" s="1"/>
  <c r="W112" l="1"/>
  <c r="L112"/>
  <c r="AG113" l="1"/>
  <c r="U112"/>
  <c r="E113" s="1"/>
  <c r="H113" s="1"/>
  <c r="AH113"/>
  <c r="Y111"/>
  <c r="D113" l="1"/>
  <c r="G113" s="1"/>
  <c r="K113"/>
  <c r="F113" l="1"/>
  <c r="V113"/>
  <c r="AE113"/>
  <c r="I113"/>
  <c r="J113"/>
  <c r="M113"/>
  <c r="N113" s="1"/>
  <c r="W113" l="1"/>
  <c r="L113"/>
  <c r="AH114" l="1"/>
  <c r="U113"/>
  <c r="D114" s="1"/>
  <c r="AG114"/>
  <c r="Y112"/>
  <c r="E114" l="1"/>
  <c r="H114" s="1"/>
  <c r="K114" s="1"/>
  <c r="G114"/>
  <c r="F114" l="1"/>
  <c r="I114"/>
  <c r="J114"/>
  <c r="M114"/>
  <c r="N114" s="1"/>
  <c r="V114"/>
  <c r="AE114"/>
  <c r="W114" l="1"/>
  <c r="L114"/>
  <c r="U114" l="1"/>
  <c r="D115" s="1"/>
  <c r="AH115"/>
  <c r="AG115"/>
  <c r="Y113"/>
  <c r="G115" l="1"/>
  <c r="E115"/>
  <c r="H115" s="1"/>
  <c r="F115" l="1"/>
  <c r="I115"/>
  <c r="J115"/>
  <c r="M115"/>
  <c r="N115" s="1"/>
  <c r="K115"/>
  <c r="V115" l="1"/>
  <c r="W115" s="1"/>
  <c r="AE115"/>
  <c r="L115"/>
  <c r="AH116" l="1"/>
  <c r="U115"/>
  <c r="E116" s="1"/>
  <c r="H116" s="1"/>
  <c r="AG116"/>
  <c r="Y114"/>
  <c r="K116" l="1"/>
  <c r="D116"/>
  <c r="V116" l="1"/>
  <c r="AE116"/>
  <c r="F116"/>
  <c r="G116"/>
  <c r="I116" l="1"/>
  <c r="W116" s="1"/>
  <c r="J116"/>
  <c r="M116"/>
  <c r="N116" s="1"/>
  <c r="L116" l="1"/>
  <c r="U116" l="1"/>
  <c r="D117" s="1"/>
  <c r="AH117"/>
  <c r="AG117"/>
  <c r="Y115"/>
  <c r="E117" l="1"/>
  <c r="H117" s="1"/>
  <c r="K117" s="1"/>
  <c r="G117"/>
  <c r="F117" l="1"/>
  <c r="I117"/>
  <c r="J117"/>
  <c r="M117"/>
  <c r="N117" s="1"/>
  <c r="V117"/>
  <c r="AE117"/>
  <c r="W117" l="1"/>
  <c r="L117"/>
  <c r="AG118" l="1"/>
  <c r="U117"/>
  <c r="D118" s="1"/>
  <c r="AH118"/>
  <c r="Y116"/>
  <c r="E118" l="1"/>
  <c r="H118" s="1"/>
  <c r="K118" s="1"/>
  <c r="G118"/>
  <c r="F118" l="1"/>
  <c r="I118"/>
  <c r="J118"/>
  <c r="M118"/>
  <c r="N118" s="1"/>
  <c r="V118"/>
  <c r="AE118"/>
  <c r="L118" l="1"/>
  <c r="W118"/>
  <c r="U118" l="1"/>
  <c r="E119" s="1"/>
  <c r="H119" s="1"/>
  <c r="AG119"/>
  <c r="AH119"/>
  <c r="Y117"/>
  <c r="D119" l="1"/>
  <c r="F119" s="1"/>
  <c r="K119"/>
  <c r="G119" l="1"/>
  <c r="M119" s="1"/>
  <c r="N119" s="1"/>
  <c r="V119"/>
  <c r="AE119"/>
  <c r="I119" l="1"/>
  <c r="W119" s="1"/>
  <c r="J119"/>
  <c r="L119" s="1"/>
  <c r="AH120" l="1"/>
  <c r="U119"/>
  <c r="D120" s="1"/>
  <c r="AG120"/>
  <c r="Y118"/>
  <c r="E120" l="1"/>
  <c r="H120" s="1"/>
  <c r="K120" s="1"/>
  <c r="G120"/>
  <c r="F120" l="1"/>
  <c r="I120"/>
  <c r="J120"/>
  <c r="M120"/>
  <c r="N120" s="1"/>
  <c r="V120"/>
  <c r="AE120"/>
  <c r="W120" l="1"/>
  <c r="L120"/>
  <c r="U120" l="1"/>
  <c r="E121" s="1"/>
  <c r="H121" s="1"/>
  <c r="AH121"/>
  <c r="AG121"/>
  <c r="Y119"/>
  <c r="D121" l="1"/>
  <c r="G121" s="1"/>
  <c r="K121"/>
  <c r="F121" l="1"/>
  <c r="I121"/>
  <c r="J121"/>
  <c r="M121"/>
  <c r="N121" s="1"/>
  <c r="V121"/>
  <c r="AE121"/>
  <c r="L121" l="1"/>
  <c r="W121"/>
  <c r="U121" l="1"/>
  <c r="D122" s="1"/>
  <c r="AG122"/>
  <c r="AH122"/>
  <c r="Y120"/>
  <c r="G122" l="1"/>
  <c r="E122"/>
  <c r="H122" s="1"/>
  <c r="F122" l="1"/>
  <c r="K122"/>
  <c r="I122"/>
  <c r="J122"/>
  <c r="M122"/>
  <c r="N122" s="1"/>
  <c r="L122" l="1"/>
  <c r="V122"/>
  <c r="W122" s="1"/>
  <c r="AE122"/>
  <c r="U122" l="1"/>
  <c r="D123" s="1"/>
  <c r="AH123"/>
  <c r="AG123"/>
  <c r="Y121"/>
  <c r="G123" l="1"/>
  <c r="E123"/>
  <c r="H123" s="1"/>
  <c r="I123" l="1"/>
  <c r="J123"/>
  <c r="M123"/>
  <c r="N123" s="1"/>
  <c r="K123"/>
  <c r="F123"/>
  <c r="V123" l="1"/>
  <c r="W123" s="1"/>
  <c r="AE123"/>
  <c r="L123"/>
  <c r="U123" l="1"/>
  <c r="D124" s="1"/>
  <c r="AH124"/>
  <c r="AG124"/>
  <c r="Y122"/>
  <c r="E124" l="1"/>
  <c r="H124" s="1"/>
  <c r="K124" s="1"/>
  <c r="G124"/>
  <c r="F124" l="1"/>
  <c r="I124"/>
  <c r="J124"/>
  <c r="M124"/>
  <c r="N124" s="1"/>
  <c r="V124"/>
  <c r="AE124"/>
  <c r="W124" l="1"/>
  <c r="L124"/>
  <c r="U124" l="1"/>
  <c r="E125" s="1"/>
  <c r="H125" s="1"/>
  <c r="AH125"/>
  <c r="AG125"/>
  <c r="Y123"/>
  <c r="K125" l="1"/>
  <c r="D125"/>
  <c r="V125" l="1"/>
  <c r="AE125"/>
  <c r="F125"/>
  <c r="G125"/>
  <c r="I125" l="1"/>
  <c r="W125" s="1"/>
  <c r="J125"/>
  <c r="M125"/>
  <c r="N125" s="1"/>
  <c r="L125" l="1"/>
  <c r="AG126" l="1"/>
  <c r="AH126"/>
  <c r="U125"/>
  <c r="D126" s="1"/>
  <c r="Y124"/>
  <c r="E126" l="1"/>
  <c r="H126" s="1"/>
  <c r="K126" s="1"/>
  <c r="G126"/>
  <c r="F126" l="1"/>
  <c r="I126"/>
  <c r="J126"/>
  <c r="M126"/>
  <c r="N126" s="1"/>
  <c r="V126"/>
  <c r="AE126"/>
  <c r="W126" l="1"/>
  <c r="L126"/>
  <c r="U126" l="1"/>
  <c r="E127" s="1"/>
  <c r="H127" s="1"/>
  <c r="AH127"/>
  <c r="AG127"/>
  <c r="Y125"/>
  <c r="D127" l="1"/>
  <c r="G127" s="1"/>
  <c r="K127"/>
  <c r="F127" l="1"/>
  <c r="I127"/>
  <c r="J127"/>
  <c r="M127"/>
  <c r="N127" s="1"/>
  <c r="V127"/>
  <c r="AE127"/>
  <c r="W127" l="1"/>
  <c r="L127"/>
  <c r="AH128" l="1"/>
  <c r="U127"/>
  <c r="E128" s="1"/>
  <c r="H128" s="1"/>
  <c r="AG128"/>
  <c r="Y126"/>
  <c r="D128" l="1"/>
  <c r="G128" s="1"/>
  <c r="K128"/>
  <c r="F128" l="1"/>
  <c r="I128"/>
  <c r="J128"/>
  <c r="M128"/>
  <c r="N128" s="1"/>
  <c r="V128"/>
  <c r="AE128"/>
  <c r="W128" l="1"/>
  <c r="L128"/>
  <c r="AH129" l="1"/>
  <c r="U128"/>
  <c r="D129" s="1"/>
  <c r="AG129"/>
  <c r="Y127"/>
  <c r="G129" l="1"/>
  <c r="E129"/>
  <c r="H129" s="1"/>
  <c r="F129" l="1"/>
  <c r="I129"/>
  <c r="J129"/>
  <c r="M129"/>
  <c r="N129" s="1"/>
  <c r="K129"/>
  <c r="V129" l="1"/>
  <c r="W129" s="1"/>
  <c r="AE129"/>
  <c r="L129"/>
  <c r="U129" l="1"/>
  <c r="E130" s="1"/>
  <c r="H130" s="1"/>
  <c r="AH130"/>
  <c r="AG130"/>
  <c r="Y128"/>
  <c r="D130" l="1"/>
  <c r="G130" s="1"/>
  <c r="K130"/>
  <c r="F130" l="1"/>
  <c r="V130"/>
  <c r="AE130"/>
  <c r="I130"/>
  <c r="J130"/>
  <c r="M130"/>
  <c r="N130" s="1"/>
  <c r="L130" l="1"/>
  <c r="W130"/>
  <c r="U130" l="1"/>
  <c r="E131" s="1"/>
  <c r="H131" s="1"/>
  <c r="AH131"/>
  <c r="AG131"/>
  <c r="Y129"/>
  <c r="D131" l="1"/>
  <c r="F131" s="1"/>
  <c r="K131"/>
  <c r="G131" l="1"/>
  <c r="M131" s="1"/>
  <c r="N131" s="1"/>
  <c r="V131"/>
  <c r="AE131"/>
  <c r="J131" l="1"/>
  <c r="L131" s="1"/>
  <c r="I131"/>
  <c r="W131" s="1"/>
  <c r="U131" l="1"/>
  <c r="E132" s="1"/>
  <c r="H132" s="1"/>
  <c r="AH132"/>
  <c r="AG132"/>
  <c r="Y130"/>
  <c r="K132" l="1"/>
  <c r="D132"/>
  <c r="V132" l="1"/>
  <c r="AE132"/>
  <c r="F132"/>
  <c r="G132"/>
  <c r="I132" l="1"/>
  <c r="W132" s="1"/>
  <c r="J132"/>
  <c r="M132"/>
  <c r="N132" s="1"/>
  <c r="L132" l="1"/>
  <c r="U132" l="1"/>
  <c r="D133" s="1"/>
  <c r="AH133"/>
  <c r="AG133"/>
  <c r="Y131"/>
  <c r="E133" l="1"/>
  <c r="H133" s="1"/>
  <c r="K133" s="1"/>
  <c r="G133"/>
  <c r="F133" l="1"/>
  <c r="V133"/>
  <c r="AE133"/>
  <c r="I133"/>
  <c r="J133"/>
  <c r="M133"/>
  <c r="N133" s="1"/>
  <c r="W133" l="1"/>
  <c r="L133"/>
  <c r="AG134" l="1"/>
  <c r="U133"/>
  <c r="D134" s="1"/>
  <c r="AH134"/>
  <c r="Y132"/>
  <c r="E134" l="1"/>
  <c r="H134" s="1"/>
  <c r="K134" s="1"/>
  <c r="G134"/>
  <c r="F134" l="1"/>
  <c r="I134"/>
  <c r="J134"/>
  <c r="M134"/>
  <c r="N134" s="1"/>
  <c r="V134"/>
  <c r="AE134"/>
  <c r="W134" l="1"/>
  <c r="L134"/>
  <c r="U134" l="1"/>
  <c r="E135" s="1"/>
  <c r="H135" s="1"/>
  <c r="AH135"/>
  <c r="AG135"/>
  <c r="Y133"/>
  <c r="K135" l="1"/>
  <c r="D135"/>
  <c r="V135" l="1"/>
  <c r="AE135"/>
  <c r="F135"/>
  <c r="G135"/>
  <c r="I135" l="1"/>
  <c r="W135" s="1"/>
  <c r="J135"/>
  <c r="M135"/>
  <c r="N135" s="1"/>
  <c r="L135" l="1"/>
  <c r="AH136" l="1"/>
  <c r="U135"/>
  <c r="D136" s="1"/>
  <c r="AG136"/>
  <c r="Y134"/>
  <c r="E136" l="1"/>
  <c r="H136" s="1"/>
  <c r="K136" s="1"/>
  <c r="G136"/>
  <c r="F136" l="1"/>
  <c r="I136"/>
  <c r="J136"/>
  <c r="M136"/>
  <c r="N136" s="1"/>
  <c r="V136"/>
  <c r="AE136"/>
  <c r="W136" l="1"/>
  <c r="L136"/>
  <c r="U136" l="1"/>
  <c r="D137" s="1"/>
  <c r="AH137"/>
  <c r="AG137"/>
  <c r="Y135"/>
  <c r="E137" l="1"/>
  <c r="H137" s="1"/>
  <c r="K137" s="1"/>
  <c r="G137"/>
  <c r="F137" l="1"/>
  <c r="I137"/>
  <c r="J137"/>
  <c r="M137"/>
  <c r="N137" s="1"/>
  <c r="V137"/>
  <c r="AE137"/>
  <c r="W137" l="1"/>
  <c r="L137"/>
  <c r="AH138" l="1"/>
  <c r="U137"/>
  <c r="E138" s="1"/>
  <c r="H138" s="1"/>
  <c r="AG138"/>
  <c r="Y136"/>
  <c r="D138" l="1"/>
  <c r="F138" s="1"/>
  <c r="K138"/>
  <c r="G138" l="1"/>
  <c r="M138" s="1"/>
  <c r="N138" s="1"/>
  <c r="V138"/>
  <c r="AE138"/>
  <c r="I138" l="1"/>
  <c r="W138" s="1"/>
  <c r="J138"/>
  <c r="L138" s="1"/>
  <c r="U138" l="1"/>
  <c r="E139" s="1"/>
  <c r="H139" s="1"/>
  <c r="AG139"/>
  <c r="AH139"/>
  <c r="Y137"/>
  <c r="D139" l="1"/>
  <c r="G139" s="1"/>
  <c r="K139"/>
  <c r="F139" l="1"/>
  <c r="V139"/>
  <c r="AE139"/>
  <c r="I139"/>
  <c r="J139"/>
  <c r="M139"/>
  <c r="N139" s="1"/>
  <c r="W139" l="1"/>
  <c r="L139"/>
  <c r="AG140" l="1"/>
  <c r="U139"/>
  <c r="E140" s="1"/>
  <c r="H140" s="1"/>
  <c r="AH140"/>
  <c r="Y138"/>
  <c r="D140" l="1"/>
  <c r="G140" s="1"/>
  <c r="K140"/>
  <c r="F140" l="1"/>
  <c r="V140"/>
  <c r="AE140"/>
  <c r="I140"/>
  <c r="J140"/>
  <c r="M140"/>
  <c r="N140" s="1"/>
  <c r="W140" l="1"/>
  <c r="L140"/>
  <c r="AG141" l="1"/>
  <c r="U140"/>
  <c r="D141" s="1"/>
  <c r="AH141"/>
  <c r="Y139"/>
  <c r="E141" l="1"/>
  <c r="H141" s="1"/>
  <c r="K141" s="1"/>
  <c r="G141"/>
  <c r="F141" l="1"/>
  <c r="I141"/>
  <c r="J141"/>
  <c r="M141"/>
  <c r="N141" s="1"/>
  <c r="V141"/>
  <c r="AE141"/>
  <c r="W141" l="1"/>
  <c r="L141"/>
  <c r="U141" l="1"/>
  <c r="D142" s="1"/>
  <c r="AH142"/>
  <c r="AG142"/>
  <c r="Y140"/>
  <c r="E142" l="1"/>
  <c r="H142" s="1"/>
  <c r="K142" s="1"/>
  <c r="G142"/>
  <c r="F142" l="1"/>
  <c r="V142"/>
  <c r="AE142"/>
  <c r="I142"/>
  <c r="J142"/>
  <c r="M142"/>
  <c r="N142" s="1"/>
  <c r="W142" l="1"/>
  <c r="L142"/>
  <c r="U142" l="1"/>
  <c r="E143" s="1"/>
  <c r="H143" s="1"/>
  <c r="AG143"/>
  <c r="AH143"/>
  <c r="Y141"/>
  <c r="D143" l="1"/>
  <c r="F143" s="1"/>
  <c r="K143"/>
  <c r="G143" l="1"/>
  <c r="M143" s="1"/>
  <c r="N143" s="1"/>
  <c r="V143"/>
  <c r="AE143"/>
  <c r="J143" l="1"/>
  <c r="L143" s="1"/>
  <c r="I143"/>
  <c r="W143" s="1"/>
  <c r="U143" l="1"/>
  <c r="D144" s="1"/>
  <c r="AG144"/>
  <c r="AH144"/>
  <c r="Y142"/>
  <c r="E144" l="1"/>
  <c r="H144" s="1"/>
  <c r="K144" s="1"/>
  <c r="G144"/>
  <c r="F144" l="1"/>
  <c r="V144"/>
  <c r="AE144"/>
  <c r="I144"/>
  <c r="J144"/>
  <c r="M144"/>
  <c r="N144" s="1"/>
  <c r="W144" l="1"/>
  <c r="L144"/>
  <c r="AH145" l="1"/>
  <c r="AG145"/>
  <c r="U144"/>
  <c r="D145" s="1"/>
  <c r="Y143"/>
  <c r="E145" l="1"/>
  <c r="H145" s="1"/>
  <c r="K145" s="1"/>
  <c r="G145"/>
  <c r="F145" l="1"/>
  <c r="I145"/>
  <c r="J145"/>
  <c r="M145"/>
  <c r="N145" s="1"/>
  <c r="V145"/>
  <c r="AE145"/>
  <c r="W145" l="1"/>
  <c r="L145"/>
  <c r="U145" l="1"/>
  <c r="D146" s="1"/>
  <c r="AH146"/>
  <c r="AG146"/>
  <c r="Y144"/>
  <c r="E146" l="1"/>
  <c r="H146" s="1"/>
  <c r="K146" s="1"/>
  <c r="G146"/>
  <c r="F146" l="1"/>
  <c r="I146"/>
  <c r="J146"/>
  <c r="M146"/>
  <c r="N146" s="1"/>
  <c r="V146"/>
  <c r="AE146"/>
  <c r="W146" l="1"/>
  <c r="L146"/>
  <c r="U146" l="1"/>
  <c r="D147" s="1"/>
  <c r="AG147"/>
  <c r="AH147"/>
  <c r="Y145"/>
  <c r="E147" l="1"/>
  <c r="H147" s="1"/>
  <c r="K147" s="1"/>
  <c r="G147"/>
  <c r="F147" l="1"/>
  <c r="V147"/>
  <c r="AE147"/>
  <c r="I147"/>
  <c r="J147"/>
  <c r="M147"/>
  <c r="N147" s="1"/>
  <c r="W147" l="1"/>
  <c r="L147"/>
  <c r="AG148" l="1"/>
  <c r="U147"/>
  <c r="E148" s="1"/>
  <c r="H148" s="1"/>
  <c r="AH148"/>
  <c r="Y146"/>
  <c r="K148" l="1"/>
  <c r="D148"/>
  <c r="V148" l="1"/>
  <c r="AE148"/>
  <c r="F148"/>
  <c r="G148"/>
  <c r="I148" l="1"/>
  <c r="W148" s="1"/>
  <c r="J148"/>
  <c r="M148"/>
  <c r="N148" s="1"/>
  <c r="L148" l="1"/>
  <c r="AG149" l="1"/>
  <c r="U148"/>
  <c r="D149" s="1"/>
  <c r="AH149"/>
  <c r="Y147"/>
  <c r="E149" l="1"/>
  <c r="H149" s="1"/>
  <c r="K149" s="1"/>
  <c r="G149"/>
  <c r="F149" l="1"/>
  <c r="I149"/>
  <c r="J149"/>
  <c r="M149"/>
  <c r="N149" s="1"/>
  <c r="V149"/>
  <c r="AE149"/>
  <c r="W149" l="1"/>
  <c r="L149"/>
  <c r="AH150" l="1"/>
  <c r="U149"/>
  <c r="D150" s="1"/>
  <c r="AG150"/>
  <c r="Y148"/>
  <c r="E150" l="1"/>
  <c r="H150" s="1"/>
  <c r="K150" s="1"/>
  <c r="G150"/>
  <c r="F150" l="1"/>
  <c r="I150"/>
  <c r="J150"/>
  <c r="M150"/>
  <c r="N150" s="1"/>
  <c r="V150"/>
  <c r="AE150"/>
  <c r="W150" l="1"/>
  <c r="L150"/>
  <c r="AH151" l="1"/>
  <c r="U150"/>
  <c r="E151" s="1"/>
  <c r="H151" s="1"/>
  <c r="AG151"/>
  <c r="Y149"/>
  <c r="D151" l="1"/>
  <c r="G151" s="1"/>
  <c r="K151"/>
  <c r="F151" l="1"/>
  <c r="I151"/>
  <c r="J151"/>
  <c r="M151"/>
  <c r="N151" s="1"/>
  <c r="V151"/>
  <c r="AE151"/>
  <c r="W151" l="1"/>
  <c r="L151"/>
  <c r="AH152" l="1"/>
  <c r="AG152"/>
  <c r="U151"/>
  <c r="E152" s="1"/>
  <c r="H152" s="1"/>
  <c r="Y150"/>
  <c r="D152" l="1"/>
  <c r="G152" s="1"/>
  <c r="K152"/>
  <c r="F152" l="1"/>
  <c r="V152"/>
  <c r="AE152"/>
  <c r="I152"/>
  <c r="J152"/>
  <c r="M152"/>
  <c r="N152" s="1"/>
  <c r="W152" l="1"/>
  <c r="L152"/>
  <c r="AH153" l="1"/>
  <c r="U152"/>
  <c r="D153" s="1"/>
  <c r="AG153"/>
  <c r="Y151"/>
  <c r="G153" l="1"/>
  <c r="E153"/>
  <c r="H153" s="1"/>
  <c r="K153" l="1"/>
  <c r="I153"/>
  <c r="J153"/>
  <c r="M153"/>
  <c r="N153" s="1"/>
  <c r="F153"/>
  <c r="V153" l="1"/>
  <c r="W153" s="1"/>
  <c r="AE153"/>
  <c r="L153"/>
  <c r="U153" l="1"/>
  <c r="D154" s="1"/>
  <c r="AG154"/>
  <c r="AH154"/>
  <c r="Y152"/>
  <c r="E154" l="1"/>
  <c r="H154" s="1"/>
  <c r="K154" s="1"/>
  <c r="G154"/>
  <c r="F154" l="1"/>
  <c r="I154"/>
  <c r="J154"/>
  <c r="M154"/>
  <c r="N154" s="1"/>
  <c r="V154"/>
  <c r="AE154"/>
  <c r="L154" l="1"/>
  <c r="W154"/>
  <c r="U154" l="1"/>
  <c r="E155" s="1"/>
  <c r="H155" s="1"/>
  <c r="AH155"/>
  <c r="AG155"/>
  <c r="Y153"/>
  <c r="D155" l="1"/>
  <c r="G155" s="1"/>
  <c r="K155"/>
  <c r="F155" l="1"/>
  <c r="V155"/>
  <c r="AE155"/>
  <c r="I155"/>
  <c r="J155"/>
  <c r="M155"/>
  <c r="N155" s="1"/>
  <c r="W155" l="1"/>
  <c r="L155"/>
  <c r="AG156" l="1"/>
  <c r="U155"/>
  <c r="D156" s="1"/>
  <c r="AH156"/>
  <c r="Y154"/>
  <c r="E156" l="1"/>
  <c r="H156" s="1"/>
  <c r="K156" s="1"/>
  <c r="G156"/>
  <c r="F156" l="1"/>
  <c r="V156"/>
  <c r="AE156"/>
  <c r="I156"/>
  <c r="J156"/>
  <c r="M156"/>
  <c r="N156" s="1"/>
  <c r="W156" l="1"/>
  <c r="L156"/>
  <c r="U156" l="1"/>
  <c r="E157" s="1"/>
  <c r="H157" s="1"/>
  <c r="AH157"/>
  <c r="AG157"/>
  <c r="Y155"/>
  <c r="D157" l="1"/>
  <c r="G157" s="1"/>
  <c r="K157"/>
  <c r="F157" l="1"/>
  <c r="I157"/>
  <c r="J157"/>
  <c r="M157"/>
  <c r="N157" s="1"/>
  <c r="V157"/>
  <c r="AE157"/>
  <c r="W157" l="1"/>
  <c r="L157"/>
  <c r="U157" l="1"/>
  <c r="E158" s="1"/>
  <c r="H158" s="1"/>
  <c r="AH158"/>
  <c r="AG158"/>
  <c r="Y156"/>
  <c r="D158" l="1"/>
  <c r="F158" s="1"/>
  <c r="K158"/>
  <c r="G158" l="1"/>
  <c r="I158" s="1"/>
  <c r="V158"/>
  <c r="AE158"/>
  <c r="M158" l="1"/>
  <c r="N158" s="1"/>
  <c r="J158"/>
  <c r="L158" s="1"/>
  <c r="W158"/>
  <c r="U158" l="1"/>
  <c r="E159" s="1"/>
  <c r="H159" s="1"/>
  <c r="AG159"/>
  <c r="AH159"/>
  <c r="Y157"/>
  <c r="D159" l="1"/>
  <c r="F159" s="1"/>
  <c r="K159"/>
  <c r="G159" l="1"/>
  <c r="M159" s="1"/>
  <c r="N159" s="1"/>
  <c r="V159"/>
  <c r="AE159"/>
  <c r="I159" l="1"/>
  <c r="W159" s="1"/>
  <c r="J159"/>
  <c r="L159" s="1"/>
  <c r="AH160" l="1"/>
  <c r="U159"/>
  <c r="E160" s="1"/>
  <c r="H160" s="1"/>
  <c r="AG160"/>
  <c r="Y158"/>
  <c r="D160" l="1"/>
  <c r="G160" s="1"/>
  <c r="K160"/>
  <c r="F160" l="1"/>
  <c r="I160"/>
  <c r="J160"/>
  <c r="M160"/>
  <c r="N160" s="1"/>
  <c r="V160"/>
  <c r="AE160"/>
  <c r="W160" l="1"/>
  <c r="L160"/>
  <c r="AG161" l="1"/>
  <c r="AH161"/>
  <c r="U160"/>
  <c r="E161" s="1"/>
  <c r="H161" s="1"/>
  <c r="Y159"/>
  <c r="D161" l="1"/>
  <c r="G161" s="1"/>
  <c r="K161"/>
  <c r="F161" l="1"/>
  <c r="I161"/>
  <c r="J161"/>
  <c r="M161"/>
  <c r="N161" s="1"/>
  <c r="V161"/>
  <c r="AE161"/>
  <c r="W161" l="1"/>
  <c r="L161"/>
  <c r="U161" l="1"/>
  <c r="D162" s="1"/>
  <c r="AG162"/>
  <c r="AH162"/>
  <c r="Y160"/>
  <c r="G162" l="1"/>
  <c r="E162"/>
  <c r="H162" s="1"/>
  <c r="F162" l="1"/>
  <c r="I162"/>
  <c r="J162"/>
  <c r="M162"/>
  <c r="N162" s="1"/>
  <c r="K162"/>
  <c r="V162" l="1"/>
  <c r="W162" s="1"/>
  <c r="AE162"/>
  <c r="L162"/>
  <c r="U162" l="1"/>
  <c r="D163" s="1"/>
  <c r="AH163"/>
  <c r="AG163"/>
  <c r="Y161"/>
  <c r="E163" l="1"/>
  <c r="H163" s="1"/>
  <c r="K163" s="1"/>
  <c r="G163"/>
  <c r="F163" l="1"/>
  <c r="V163"/>
  <c r="AE163"/>
  <c r="I163"/>
  <c r="J163"/>
  <c r="M163"/>
  <c r="N163" s="1"/>
  <c r="W163" l="1"/>
  <c r="L163"/>
  <c r="AH164" l="1"/>
  <c r="U163"/>
  <c r="D164" s="1"/>
  <c r="AG164"/>
  <c r="Y162"/>
  <c r="E164" l="1"/>
  <c r="H164" s="1"/>
  <c r="K164" s="1"/>
  <c r="G164"/>
  <c r="F164" l="1"/>
  <c r="I164"/>
  <c r="J164"/>
  <c r="M164"/>
  <c r="N164" s="1"/>
  <c r="V164"/>
  <c r="AE164"/>
  <c r="W164" l="1"/>
  <c r="L164"/>
  <c r="U164" l="1"/>
  <c r="D165" s="1"/>
  <c r="AG165"/>
  <c r="AH165"/>
  <c r="Y163"/>
  <c r="E165" l="1"/>
  <c r="H165" s="1"/>
  <c r="K165" s="1"/>
  <c r="G165"/>
  <c r="F165" l="1"/>
  <c r="V165"/>
  <c r="AE165"/>
  <c r="I165"/>
  <c r="J165"/>
  <c r="M165"/>
  <c r="N165" s="1"/>
  <c r="L165" l="1"/>
  <c r="W165"/>
  <c r="AH166" l="1"/>
  <c r="U165"/>
  <c r="E166" s="1"/>
  <c r="H166" s="1"/>
  <c r="AG166"/>
  <c r="Y164"/>
  <c r="D166" l="1"/>
  <c r="G166" s="1"/>
  <c r="K166"/>
  <c r="F166" l="1"/>
  <c r="I166"/>
  <c r="J166"/>
  <c r="M166"/>
  <c r="N166" s="1"/>
  <c r="V166"/>
  <c r="AE166"/>
  <c r="W166" l="1"/>
  <c r="L166"/>
  <c r="AH167" l="1"/>
  <c r="AG167"/>
  <c r="U166"/>
  <c r="E167" s="1"/>
  <c r="H167" s="1"/>
  <c r="Y165"/>
  <c r="K167" l="1"/>
  <c r="D167"/>
  <c r="V167" l="1"/>
  <c r="AE167"/>
  <c r="F167"/>
  <c r="G167"/>
  <c r="I167" l="1"/>
  <c r="W167" s="1"/>
  <c r="J167"/>
  <c r="M167"/>
  <c r="N167" s="1"/>
  <c r="L167" l="1"/>
  <c r="AH168" l="1"/>
  <c r="U167"/>
  <c r="E168" s="1"/>
  <c r="H168" s="1"/>
  <c r="AG168"/>
  <c r="Y166"/>
  <c r="D168" l="1"/>
  <c r="F168" s="1"/>
  <c r="K168"/>
  <c r="G168" l="1"/>
  <c r="I168" s="1"/>
  <c r="V168"/>
  <c r="AE168"/>
  <c r="M168" l="1"/>
  <c r="N168" s="1"/>
  <c r="J168"/>
  <c r="L168" s="1"/>
  <c r="W168"/>
  <c r="U168" l="1"/>
  <c r="E169" s="1"/>
  <c r="H169" s="1"/>
  <c r="AH169"/>
  <c r="AG169"/>
  <c r="Y167"/>
  <c r="D169" l="1"/>
  <c r="F169" s="1"/>
  <c r="K169"/>
  <c r="G169" l="1"/>
  <c r="I169" s="1"/>
  <c r="V169"/>
  <c r="AE169"/>
  <c r="M169" l="1"/>
  <c r="N169" s="1"/>
  <c r="J169"/>
  <c r="L169" s="1"/>
  <c r="W169"/>
  <c r="AH170" l="1"/>
  <c r="U169"/>
  <c r="E170" s="1"/>
  <c r="H170" s="1"/>
  <c r="AG170"/>
  <c r="Y168"/>
  <c r="D170" l="1"/>
  <c r="G170" s="1"/>
  <c r="K170"/>
  <c r="F170" l="1"/>
  <c r="I170"/>
  <c r="J170"/>
  <c r="M170"/>
  <c r="N170" s="1"/>
  <c r="V170"/>
  <c r="AE170"/>
  <c r="W170" l="1"/>
  <c r="L170"/>
  <c r="AG171" l="1"/>
  <c r="U170"/>
  <c r="E171" s="1"/>
  <c r="H171" s="1"/>
  <c r="AH171"/>
  <c r="Y169"/>
  <c r="K171" l="1"/>
  <c r="D171"/>
  <c r="F171" l="1"/>
  <c r="G171"/>
  <c r="V171"/>
  <c r="AE171"/>
  <c r="I171" l="1"/>
  <c r="W171" s="1"/>
  <c r="J171"/>
  <c r="M171"/>
  <c r="N171" s="1"/>
  <c r="L171" l="1"/>
  <c r="U171" l="1"/>
  <c r="E172" s="1"/>
  <c r="H172" s="1"/>
  <c r="AH172"/>
  <c r="AG172"/>
  <c r="Y170"/>
  <c r="K172" l="1"/>
  <c r="D172"/>
  <c r="V172" l="1"/>
  <c r="AE172"/>
  <c r="F172"/>
  <c r="G172"/>
  <c r="I172" l="1"/>
  <c r="W172" s="1"/>
  <c r="J172"/>
  <c r="M172"/>
  <c r="N172" s="1"/>
  <c r="L172" l="1"/>
  <c r="U172" l="1"/>
  <c r="E173" s="1"/>
  <c r="H173" s="1"/>
  <c r="AH173"/>
  <c r="AG173"/>
  <c r="Y171"/>
  <c r="D173" l="1"/>
  <c r="G173" s="1"/>
  <c r="K173"/>
  <c r="F173" l="1"/>
  <c r="I173"/>
  <c r="J173"/>
  <c r="M173"/>
  <c r="N173" s="1"/>
  <c r="V173"/>
  <c r="AE173"/>
  <c r="L173" l="1"/>
  <c r="W173"/>
  <c r="U173" l="1"/>
  <c r="E174" s="1"/>
  <c r="H174" s="1"/>
  <c r="AG174"/>
  <c r="AH174"/>
  <c r="Y172"/>
  <c r="D174" l="1"/>
  <c r="G174" s="1"/>
  <c r="K174"/>
  <c r="F174" l="1"/>
  <c r="V174"/>
  <c r="AE174"/>
  <c r="I174"/>
  <c r="J174"/>
  <c r="M174"/>
  <c r="N174" s="1"/>
  <c r="W174" l="1"/>
  <c r="L174"/>
  <c r="U174" l="1"/>
  <c r="D175" s="1"/>
  <c r="AG175"/>
  <c r="AH175"/>
  <c r="Y173"/>
  <c r="E175" l="1"/>
  <c r="H175" s="1"/>
  <c r="K175" s="1"/>
  <c r="G175"/>
  <c r="F175" l="1"/>
  <c r="I175"/>
  <c r="J175"/>
  <c r="M175"/>
  <c r="N175" s="1"/>
  <c r="V175"/>
  <c r="AE175"/>
  <c r="W175" l="1"/>
  <c r="L175"/>
  <c r="U175" l="1"/>
  <c r="E176" s="1"/>
  <c r="H176" s="1"/>
  <c r="AG176"/>
  <c r="AH176"/>
  <c r="Y174"/>
  <c r="D176" l="1"/>
  <c r="G176" s="1"/>
  <c r="K176"/>
  <c r="F176" l="1"/>
  <c r="I176"/>
  <c r="J176"/>
  <c r="M176"/>
  <c r="N176" s="1"/>
  <c r="V176"/>
  <c r="AE176"/>
  <c r="W176" l="1"/>
  <c r="L176"/>
  <c r="AH177" l="1"/>
  <c r="U176"/>
  <c r="D177" s="1"/>
  <c r="AG177"/>
  <c r="Y175"/>
  <c r="G177" l="1"/>
  <c r="E177"/>
  <c r="H177" s="1"/>
  <c r="F177" l="1"/>
  <c r="I177"/>
  <c r="J177"/>
  <c r="M177"/>
  <c r="N177" s="1"/>
  <c r="K177"/>
  <c r="V177" l="1"/>
  <c r="W177" s="1"/>
  <c r="AE177"/>
  <c r="L177"/>
  <c r="AH178" l="1"/>
  <c r="U177"/>
  <c r="E178" s="1"/>
  <c r="H178" s="1"/>
  <c r="AG178"/>
  <c r="Y176"/>
  <c r="D178" l="1"/>
  <c r="G178" s="1"/>
  <c r="K178"/>
  <c r="F178" l="1"/>
  <c r="I178"/>
  <c r="J178"/>
  <c r="M178"/>
  <c r="N178" s="1"/>
  <c r="V178"/>
  <c r="AE178"/>
  <c r="W178" l="1"/>
  <c r="L178"/>
  <c r="U178" l="1"/>
  <c r="E179" s="1"/>
  <c r="H179" s="1"/>
  <c r="AG179"/>
  <c r="AH179"/>
  <c r="Y177"/>
  <c r="D179" l="1"/>
  <c r="G179" s="1"/>
  <c r="K179"/>
  <c r="F179" l="1"/>
  <c r="V179"/>
  <c r="AE179"/>
  <c r="I179"/>
  <c r="J179"/>
  <c r="M179"/>
  <c r="N179" s="1"/>
  <c r="W179" l="1"/>
  <c r="L179"/>
  <c r="AG180" l="1"/>
  <c r="U179"/>
  <c r="D180" s="1"/>
  <c r="AH180"/>
  <c r="Y178"/>
  <c r="E180" l="1"/>
  <c r="H180" s="1"/>
  <c r="K180" s="1"/>
  <c r="G180"/>
  <c r="F180" l="1"/>
  <c r="I180"/>
  <c r="J180"/>
  <c r="M180"/>
  <c r="N180" s="1"/>
  <c r="V180"/>
  <c r="AE180"/>
  <c r="L180" l="1"/>
  <c r="W180"/>
  <c r="U180" l="1"/>
  <c r="E181" s="1"/>
  <c r="H181" s="1"/>
  <c r="AH181"/>
  <c r="AG181"/>
  <c r="Y179"/>
  <c r="D181" l="1"/>
  <c r="G181" s="1"/>
  <c r="K181"/>
  <c r="F181" l="1"/>
  <c r="I181"/>
  <c r="J181"/>
  <c r="M181"/>
  <c r="N181" s="1"/>
  <c r="V181"/>
  <c r="AE181"/>
  <c r="W181" l="1"/>
  <c r="L181"/>
  <c r="AH182" l="1"/>
  <c r="U181"/>
  <c r="E182" s="1"/>
  <c r="H182" s="1"/>
  <c r="AG182"/>
  <c r="Y180"/>
  <c r="K182" l="1"/>
  <c r="D182"/>
  <c r="V182" l="1"/>
  <c r="AE182"/>
  <c r="F182"/>
  <c r="G182"/>
  <c r="I182" l="1"/>
  <c r="W182" s="1"/>
  <c r="J182"/>
  <c r="M182"/>
  <c r="N182" s="1"/>
  <c r="L182" l="1"/>
  <c r="U182" l="1"/>
  <c r="E183" s="1"/>
  <c r="H183" s="1"/>
  <c r="AH183"/>
  <c r="AG183"/>
  <c r="Y181"/>
  <c r="D183" l="1"/>
  <c r="G183" s="1"/>
  <c r="K183"/>
  <c r="F183" l="1"/>
  <c r="I183"/>
  <c r="J183"/>
  <c r="M183"/>
  <c r="N183" s="1"/>
  <c r="V183"/>
  <c r="AE183"/>
  <c r="W183" l="1"/>
  <c r="L183"/>
  <c r="U183" l="1"/>
  <c r="D184" s="1"/>
  <c r="AG184"/>
  <c r="AH184"/>
  <c r="Y182"/>
  <c r="G184" l="1"/>
  <c r="E184"/>
  <c r="H184" s="1"/>
  <c r="K184" l="1"/>
  <c r="I184"/>
  <c r="J184"/>
  <c r="M184"/>
  <c r="N184" s="1"/>
  <c r="F184"/>
  <c r="V184" l="1"/>
  <c r="W184" s="1"/>
  <c r="AE184"/>
  <c r="L184"/>
  <c r="AH185" l="1"/>
  <c r="AG185"/>
  <c r="U184"/>
  <c r="D185" s="1"/>
  <c r="Y183"/>
  <c r="E185" l="1"/>
  <c r="H185" s="1"/>
  <c r="K185" s="1"/>
  <c r="G185"/>
  <c r="F185" l="1"/>
  <c r="I185"/>
  <c r="J185"/>
  <c r="M185"/>
  <c r="N185" s="1"/>
  <c r="V185"/>
  <c r="AE185"/>
  <c r="W185" l="1"/>
  <c r="L185"/>
  <c r="U185" l="1"/>
  <c r="E186" s="1"/>
  <c r="H186" s="1"/>
  <c r="AH186"/>
  <c r="AG186"/>
  <c r="Y184"/>
  <c r="D186" l="1"/>
  <c r="G186" s="1"/>
  <c r="K186"/>
  <c r="F186" l="1"/>
  <c r="V186"/>
  <c r="AE186"/>
  <c r="I186"/>
  <c r="J186"/>
  <c r="M186"/>
  <c r="N186" s="1"/>
  <c r="L186" l="1"/>
  <c r="W186"/>
  <c r="AG187" l="1"/>
  <c r="AH187"/>
  <c r="U186"/>
  <c r="D187" s="1"/>
  <c r="Y185"/>
  <c r="G187" l="1"/>
  <c r="E187"/>
  <c r="H187" s="1"/>
  <c r="I187" l="1"/>
  <c r="J187"/>
  <c r="M187"/>
  <c r="N187" s="1"/>
  <c r="F187"/>
  <c r="K187"/>
  <c r="L187" l="1"/>
  <c r="V187"/>
  <c r="W187" s="1"/>
  <c r="AE187"/>
  <c r="AG188" l="1"/>
  <c r="U187"/>
  <c r="E188" s="1"/>
  <c r="H188" s="1"/>
  <c r="AH188"/>
  <c r="Y186"/>
  <c r="D188" l="1"/>
  <c r="G188" s="1"/>
  <c r="K188"/>
  <c r="F188" l="1"/>
  <c r="I188"/>
  <c r="J188"/>
  <c r="M188"/>
  <c r="N188" s="1"/>
  <c r="V188"/>
  <c r="AE188"/>
  <c r="W188" l="1"/>
  <c r="L188"/>
  <c r="U188" l="1"/>
  <c r="E189" s="1"/>
  <c r="H189" s="1"/>
  <c r="AH189"/>
  <c r="AG189"/>
  <c r="Y187"/>
  <c r="D189" l="1"/>
  <c r="G189" s="1"/>
  <c r="K189"/>
  <c r="F189" l="1"/>
  <c r="I189"/>
  <c r="J189"/>
  <c r="M189"/>
  <c r="N189" s="1"/>
  <c r="V189"/>
  <c r="AE189"/>
  <c r="W189" l="1"/>
  <c r="L189"/>
  <c r="AH190" l="1"/>
  <c r="U189"/>
  <c r="D190" s="1"/>
  <c r="AG190"/>
  <c r="Y188"/>
  <c r="G190" l="1"/>
  <c r="E190"/>
  <c r="H190" s="1"/>
  <c r="K190" l="1"/>
  <c r="I190"/>
  <c r="J190"/>
  <c r="M190"/>
  <c r="N190" s="1"/>
  <c r="F190"/>
  <c r="L190" l="1"/>
  <c r="V190"/>
  <c r="W190" s="1"/>
  <c r="AE190"/>
  <c r="AG191" l="1"/>
  <c r="U190"/>
  <c r="E191" s="1"/>
  <c r="H191" s="1"/>
  <c r="AH191"/>
  <c r="Y189"/>
  <c r="K191" l="1"/>
  <c r="D191"/>
  <c r="V191" l="1"/>
  <c r="AE191"/>
  <c r="F191"/>
  <c r="G191"/>
  <c r="I191" l="1"/>
  <c r="W191" s="1"/>
  <c r="J191"/>
  <c r="M191"/>
  <c r="N191" s="1"/>
  <c r="L191" l="1"/>
  <c r="AG192" l="1"/>
  <c r="U191"/>
  <c r="E192" s="1"/>
  <c r="H192" s="1"/>
  <c r="AH192"/>
  <c r="Y190"/>
  <c r="D192" l="1"/>
  <c r="G192" s="1"/>
  <c r="K192"/>
  <c r="F192" l="1"/>
  <c r="I192"/>
  <c r="J192"/>
  <c r="M192"/>
  <c r="N192" s="1"/>
  <c r="V192"/>
  <c r="AE192"/>
  <c r="W192" l="1"/>
  <c r="L192"/>
  <c r="U192" l="1"/>
  <c r="D193" s="1"/>
  <c r="AG193"/>
  <c r="AH193"/>
  <c r="Y191"/>
  <c r="G193" l="1"/>
  <c r="E193"/>
  <c r="H193" s="1"/>
  <c r="K193" l="1"/>
  <c r="I193"/>
  <c r="J193"/>
  <c r="M193"/>
  <c r="N193" s="1"/>
  <c r="F193"/>
  <c r="L193" l="1"/>
  <c r="V193"/>
  <c r="W193" s="1"/>
  <c r="AE193"/>
  <c r="AH194" l="1"/>
  <c r="AG194"/>
  <c r="U193"/>
  <c r="D194" s="1"/>
  <c r="Y192"/>
  <c r="E194" l="1"/>
  <c r="H194" s="1"/>
  <c r="K194" s="1"/>
  <c r="G194"/>
  <c r="F194" l="1"/>
  <c r="V194"/>
  <c r="AE194"/>
  <c r="I194"/>
  <c r="J194"/>
  <c r="M194"/>
  <c r="N194" s="1"/>
  <c r="W194" l="1"/>
  <c r="L194"/>
  <c r="U194" l="1"/>
  <c r="D195" s="1"/>
  <c r="AH195"/>
  <c r="AG195"/>
  <c r="Y193"/>
  <c r="E195" l="1"/>
  <c r="H195" s="1"/>
  <c r="K195" s="1"/>
  <c r="G195"/>
  <c r="F195" l="1"/>
  <c r="V195"/>
  <c r="AE195"/>
  <c r="I195"/>
  <c r="J195"/>
  <c r="M195"/>
  <c r="N195" s="1"/>
  <c r="W195" l="1"/>
  <c r="L195"/>
  <c r="AH196" l="1"/>
  <c r="U195"/>
  <c r="D196" s="1"/>
  <c r="AG196"/>
  <c r="Y194"/>
  <c r="E196" l="1"/>
  <c r="H196" s="1"/>
  <c r="K196" s="1"/>
  <c r="G196"/>
  <c r="F196" l="1"/>
  <c r="I196"/>
  <c r="J196"/>
  <c r="M196"/>
  <c r="N196" s="1"/>
  <c r="V196"/>
  <c r="AE196"/>
  <c r="L196" l="1"/>
  <c r="W196"/>
  <c r="U196" l="1"/>
  <c r="E197" s="1"/>
  <c r="H197" s="1"/>
  <c r="AG197"/>
  <c r="AH197"/>
  <c r="Y195"/>
  <c r="D197" l="1"/>
  <c r="G197" s="1"/>
  <c r="K197"/>
  <c r="F197" l="1"/>
  <c r="I197"/>
  <c r="J197"/>
  <c r="M197"/>
  <c r="N197" s="1"/>
  <c r="V197"/>
  <c r="AE197"/>
  <c r="W197" l="1"/>
  <c r="L197"/>
  <c r="AG198" l="1"/>
  <c r="AH198"/>
  <c r="U197"/>
  <c r="E198" s="1"/>
  <c r="H198" s="1"/>
  <c r="Y196"/>
  <c r="K198" l="1"/>
  <c r="D198"/>
  <c r="V198" l="1"/>
  <c r="AE198"/>
  <c r="F198"/>
  <c r="G198"/>
  <c r="I198" l="1"/>
  <c r="W198" s="1"/>
  <c r="J198"/>
  <c r="M198"/>
  <c r="N198" s="1"/>
  <c r="L198" l="1"/>
  <c r="AG199" l="1"/>
  <c r="U198"/>
  <c r="E199" s="1"/>
  <c r="H199" s="1"/>
  <c r="AH199"/>
  <c r="Y197"/>
  <c r="K199" l="1"/>
  <c r="D199"/>
  <c r="V199" l="1"/>
  <c r="AE199"/>
  <c r="F199"/>
  <c r="G199"/>
  <c r="I199" l="1"/>
  <c r="W199" s="1"/>
  <c r="J199"/>
  <c r="M199"/>
  <c r="N199" s="1"/>
  <c r="L199" l="1"/>
  <c r="AH200" l="1"/>
  <c r="AG200"/>
  <c r="U199"/>
  <c r="E200" s="1"/>
  <c r="H200" s="1"/>
  <c r="Y198"/>
  <c r="K200" l="1"/>
  <c r="D200"/>
  <c r="V200" l="1"/>
  <c r="AE200"/>
  <c r="F200"/>
  <c r="G200"/>
  <c r="I200" l="1"/>
  <c r="W200" s="1"/>
  <c r="J200"/>
  <c r="M200"/>
  <c r="N200" s="1"/>
  <c r="L200" l="1"/>
  <c r="AG201" l="1"/>
  <c r="U200"/>
  <c r="E201" s="1"/>
  <c r="H201" s="1"/>
  <c r="AH201"/>
  <c r="Y199"/>
  <c r="D201" l="1"/>
  <c r="G201" s="1"/>
  <c r="K201"/>
  <c r="F201" l="1"/>
  <c r="I201"/>
  <c r="J201"/>
  <c r="M201"/>
  <c r="N201" s="1"/>
  <c r="V201"/>
  <c r="AE201"/>
  <c r="W201" l="1"/>
  <c r="L201"/>
  <c r="U201" l="1"/>
  <c r="E202" s="1"/>
  <c r="H202" s="1"/>
  <c r="AG202"/>
  <c r="AH202"/>
  <c r="Y200"/>
  <c r="D202" l="1"/>
  <c r="G202" s="1"/>
  <c r="K202"/>
  <c r="F202" l="1"/>
  <c r="V202"/>
  <c r="AE202"/>
  <c r="I202"/>
  <c r="J202"/>
  <c r="M202"/>
  <c r="N202" s="1"/>
  <c r="W202" l="1"/>
  <c r="L202"/>
  <c r="U202" l="1"/>
  <c r="E203" s="1"/>
  <c r="H203" s="1"/>
  <c r="AH203"/>
  <c r="AG203"/>
  <c r="Y201"/>
  <c r="D203" l="1"/>
  <c r="G203" s="1"/>
  <c r="K203"/>
  <c r="F203" l="1"/>
  <c r="I203"/>
  <c r="J203"/>
  <c r="M203"/>
  <c r="N203" s="1"/>
  <c r="V203"/>
  <c r="AE203"/>
  <c r="W203" l="1"/>
  <c r="L203"/>
  <c r="U203" l="1"/>
  <c r="E204" s="1"/>
  <c r="H204" s="1"/>
  <c r="AH204"/>
  <c r="AG204"/>
  <c r="Y202"/>
  <c r="D204" l="1"/>
  <c r="G204" s="1"/>
  <c r="K204"/>
  <c r="F204" l="1"/>
  <c r="I204"/>
  <c r="J204"/>
  <c r="M204"/>
  <c r="N204" s="1"/>
  <c r="V204"/>
  <c r="A205"/>
  <c r="B205" s="1"/>
  <c r="AE204"/>
  <c r="W204" l="1"/>
  <c r="L204"/>
  <c r="AD204"/>
  <c r="AC205"/>
  <c r="P205"/>
  <c r="Q205" s="1"/>
  <c r="R205" s="1"/>
  <c r="S205" s="1"/>
  <c r="Z205"/>
  <c r="AA205"/>
  <c r="AD205"/>
  <c r="U204" l="1"/>
  <c r="Y203"/>
  <c r="T205"/>
  <c r="AH205" s="1"/>
  <c r="E205" l="1"/>
  <c r="H205" s="1"/>
  <c r="D205"/>
  <c r="AG205"/>
  <c r="K205" l="1"/>
  <c r="F205"/>
  <c r="G205"/>
  <c r="V205" l="1"/>
  <c r="A206"/>
  <c r="B206" s="1"/>
  <c r="AE205"/>
  <c r="I205"/>
  <c r="J205"/>
  <c r="M205"/>
  <c r="N205" s="1"/>
  <c r="W205" l="1"/>
  <c r="L205"/>
  <c r="AC206"/>
  <c r="P206"/>
  <c r="Q206" s="1"/>
  <c r="R206" s="1"/>
  <c r="S206" s="1"/>
  <c r="Z206"/>
  <c r="AA206"/>
  <c r="AD206"/>
  <c r="T206" l="1"/>
  <c r="AH206" s="1"/>
  <c r="U205"/>
  <c r="Y204"/>
  <c r="AG206" l="1"/>
  <c r="D206"/>
  <c r="E206"/>
  <c r="H206" s="1"/>
  <c r="F206" l="1"/>
  <c r="G206"/>
  <c r="K206"/>
  <c r="I206" l="1"/>
  <c r="J206"/>
  <c r="M206"/>
  <c r="N206" s="1"/>
  <c r="V206"/>
  <c r="A207"/>
  <c r="B207" s="1"/>
  <c r="AE206"/>
  <c r="W206" l="1"/>
  <c r="L206"/>
  <c r="AD207"/>
  <c r="P207"/>
  <c r="Q207" s="1"/>
  <c r="R207" s="1"/>
  <c r="S207" s="1"/>
  <c r="AC207"/>
  <c r="Z207"/>
  <c r="AA207"/>
  <c r="T207" l="1"/>
  <c r="U206"/>
  <c r="Y205"/>
  <c r="D207" l="1"/>
  <c r="G207" s="1"/>
  <c r="AH207"/>
  <c r="E207"/>
  <c r="H207" s="1"/>
  <c r="AG207"/>
  <c r="F207" l="1"/>
  <c r="I207"/>
  <c r="J207"/>
  <c r="M207"/>
  <c r="N207" s="1"/>
  <c r="K207"/>
  <c r="V207" l="1"/>
  <c r="W207" s="1"/>
  <c r="AE207"/>
  <c r="A208"/>
  <c r="B208" s="1"/>
  <c r="L207"/>
  <c r="Z208" l="1"/>
  <c r="AC208"/>
  <c r="AA208"/>
  <c r="P208"/>
  <c r="Q208" s="1"/>
  <c r="R208" s="1"/>
  <c r="S208" s="1"/>
  <c r="AD208"/>
  <c r="U207"/>
  <c r="Y206"/>
  <c r="T208" l="1"/>
  <c r="AG208" s="1"/>
  <c r="AH208" l="1"/>
  <c r="D208"/>
  <c r="G208" s="1"/>
  <c r="E208"/>
  <c r="H208" s="1"/>
  <c r="K208" s="1"/>
  <c r="F208" l="1"/>
  <c r="I208"/>
  <c r="J208"/>
  <c r="M208"/>
  <c r="N208" s="1"/>
  <c r="V208"/>
  <c r="A209"/>
  <c r="B209" s="1"/>
  <c r="AE208"/>
  <c r="W208" l="1"/>
  <c r="L208"/>
  <c r="P209"/>
  <c r="Q209" s="1"/>
  <c r="R209" s="1"/>
  <c r="S209" s="1"/>
  <c r="AC209"/>
  <c r="AD209"/>
  <c r="AA209"/>
  <c r="Z209"/>
  <c r="U208" l="1"/>
  <c r="Y207"/>
  <c r="T209"/>
  <c r="AH209" s="1"/>
  <c r="AG209" l="1"/>
  <c r="D209"/>
  <c r="G209" s="1"/>
  <c r="E209"/>
  <c r="H209" s="1"/>
  <c r="F209" l="1"/>
  <c r="K209"/>
  <c r="I209"/>
  <c r="J209"/>
  <c r="M209"/>
  <c r="N209" s="1"/>
  <c r="L209" l="1"/>
  <c r="V209"/>
  <c r="W209" s="1"/>
  <c r="A210"/>
  <c r="B210" s="1"/>
  <c r="AE209"/>
  <c r="AC210" l="1"/>
  <c r="Z210"/>
  <c r="P210"/>
  <c r="Q210" s="1"/>
  <c r="R210" s="1"/>
  <c r="S210" s="1"/>
  <c r="AA210"/>
  <c r="AD210"/>
  <c r="U209"/>
  <c r="Y208"/>
  <c r="T210" l="1"/>
  <c r="AG210" s="1"/>
  <c r="AH210" l="1"/>
  <c r="D210"/>
  <c r="E210"/>
  <c r="H210" s="1"/>
  <c r="F210" l="1"/>
  <c r="G210"/>
  <c r="K210"/>
  <c r="V210" l="1"/>
  <c r="AE210"/>
  <c r="A211"/>
  <c r="B211" s="1"/>
  <c r="I210"/>
  <c r="J210"/>
  <c r="M210"/>
  <c r="N210" s="1"/>
  <c r="W210" l="1"/>
  <c r="AC211"/>
  <c r="Z211"/>
  <c r="P211"/>
  <c r="Q211" s="1"/>
  <c r="R211" s="1"/>
  <c r="S211" s="1"/>
  <c r="AA211"/>
  <c r="AD211"/>
  <c r="L210"/>
  <c r="T211" l="1"/>
  <c r="AG211" s="1"/>
  <c r="U210"/>
  <c r="Y209"/>
  <c r="E211" l="1"/>
  <c r="H211" s="1"/>
  <c r="D211"/>
  <c r="AH211"/>
  <c r="K211" l="1"/>
  <c r="F211"/>
  <c r="G211"/>
  <c r="I211" l="1"/>
  <c r="J211"/>
  <c r="M211"/>
  <c r="N211" s="1"/>
  <c r="V211"/>
  <c r="AE211"/>
  <c r="A212"/>
  <c r="B212" s="1"/>
  <c r="W211" l="1"/>
  <c r="AA212"/>
  <c r="Z212"/>
  <c r="P212"/>
  <c r="Q212" s="1"/>
  <c r="R212" s="1"/>
  <c r="S212" s="1"/>
  <c r="AC212"/>
  <c r="AD212"/>
  <c r="L211"/>
  <c r="U211" l="1"/>
  <c r="Y210"/>
  <c r="T212"/>
  <c r="E212" l="1"/>
  <c r="H212" s="1"/>
  <c r="K212" s="1"/>
  <c r="AH212"/>
  <c r="AG212"/>
  <c r="D212"/>
  <c r="F212" l="1"/>
  <c r="G212"/>
  <c r="V212"/>
  <c r="A213"/>
  <c r="B213" s="1"/>
  <c r="AE212"/>
  <c r="AD213" l="1"/>
  <c r="AC213"/>
  <c r="P213"/>
  <c r="Q213" s="1"/>
  <c r="R213" s="1"/>
  <c r="S213" s="1"/>
  <c r="AA213"/>
  <c r="Z213"/>
  <c r="I212"/>
  <c r="W212" s="1"/>
  <c r="J212"/>
  <c r="M212"/>
  <c r="N212" s="1"/>
  <c r="T213" l="1"/>
  <c r="L212"/>
  <c r="U212" l="1"/>
  <c r="E213" s="1"/>
  <c r="H213" s="1"/>
  <c r="AH213"/>
  <c r="AG213"/>
  <c r="Y211"/>
  <c r="D213" l="1"/>
  <c r="G213" s="1"/>
  <c r="K213"/>
  <c r="F213" l="1"/>
  <c r="I213"/>
  <c r="J213"/>
  <c r="M213"/>
  <c r="N213" s="1"/>
  <c r="V213"/>
  <c r="A214"/>
  <c r="B214" s="1"/>
  <c r="AE213"/>
  <c r="W213" l="1"/>
  <c r="L213"/>
  <c r="P214"/>
  <c r="Q214" s="1"/>
  <c r="R214" s="1"/>
  <c r="S214" s="1"/>
  <c r="AC214"/>
  <c r="AA214"/>
  <c r="Z214"/>
  <c r="U213" l="1"/>
  <c r="Y212"/>
  <c r="T214"/>
  <c r="D214" l="1"/>
  <c r="G214" s="1"/>
  <c r="E214"/>
  <c r="H214" s="1"/>
  <c r="AG214"/>
  <c r="AH214"/>
  <c r="F214" l="1"/>
  <c r="I214"/>
  <c r="J214"/>
  <c r="M214"/>
  <c r="N214" s="1"/>
  <c r="K214"/>
  <c r="AE214" s="1"/>
  <c r="V214" l="1"/>
  <c r="W214" s="1"/>
  <c r="A215"/>
  <c r="B215" s="1"/>
  <c r="L214"/>
  <c r="AD214"/>
  <c r="U214" l="1"/>
  <c r="Y213"/>
  <c r="AC215"/>
  <c r="AD215"/>
  <c r="Z215"/>
  <c r="P215"/>
  <c r="Q215" s="1"/>
  <c r="R215" s="1"/>
  <c r="S215" s="1"/>
  <c r="AA215"/>
  <c r="T215" l="1"/>
  <c r="AH215" s="1"/>
  <c r="D215" l="1"/>
  <c r="G215" s="1"/>
  <c r="E215"/>
  <c r="H215" s="1"/>
  <c r="K215" s="1"/>
  <c r="AE215" s="1"/>
  <c r="AG215"/>
  <c r="F215" l="1"/>
  <c r="V215"/>
  <c r="A216"/>
  <c r="B216" s="1"/>
  <c r="I215"/>
  <c r="J215"/>
  <c r="M215"/>
  <c r="N215" s="1"/>
  <c r="W215" l="1"/>
  <c r="L215"/>
  <c r="P216"/>
  <c r="Q216" s="1"/>
  <c r="R216" s="1"/>
  <c r="S216" s="1"/>
  <c r="Z216"/>
  <c r="AC216"/>
  <c r="AD216"/>
  <c r="AA216"/>
  <c r="U215" l="1"/>
  <c r="Y214"/>
  <c r="T216"/>
  <c r="AH216" s="1"/>
  <c r="D216" l="1"/>
  <c r="G216" s="1"/>
  <c r="AG216"/>
  <c r="E216"/>
  <c r="H216" s="1"/>
  <c r="K216" l="1"/>
  <c r="AE216" s="1"/>
  <c r="I216"/>
  <c r="J216"/>
  <c r="M216"/>
  <c r="N216" s="1"/>
  <c r="F216"/>
  <c r="V216" l="1"/>
  <c r="W216" s="1"/>
  <c r="A217"/>
  <c r="B217" s="1"/>
  <c r="L216"/>
  <c r="U216" l="1"/>
  <c r="Y215"/>
  <c r="P217"/>
  <c r="Q217" s="1"/>
  <c r="R217" s="1"/>
  <c r="S217" s="1"/>
  <c r="AC217"/>
  <c r="AA217"/>
  <c r="Z217"/>
  <c r="AD217"/>
  <c r="T217" l="1"/>
  <c r="D217" s="1"/>
  <c r="G217" l="1"/>
  <c r="AG217"/>
  <c r="AH217"/>
  <c r="E217"/>
  <c r="H217" s="1"/>
  <c r="I217" l="1"/>
  <c r="J217"/>
  <c r="M217"/>
  <c r="N217" s="1"/>
  <c r="K217"/>
  <c r="AE217" s="1"/>
  <c r="F217"/>
  <c r="V217" l="1"/>
  <c r="W217" s="1"/>
  <c r="A218"/>
  <c r="B218" s="1"/>
  <c r="L217"/>
  <c r="U217" l="1"/>
  <c r="Y216"/>
  <c r="AC218"/>
  <c r="AA218"/>
  <c r="Z218"/>
  <c r="P218"/>
  <c r="Q218" s="1"/>
  <c r="R218" s="1"/>
  <c r="S218" s="1"/>
  <c r="AD218"/>
  <c r="T218" l="1"/>
  <c r="AG218" s="1"/>
  <c r="AH218" l="1"/>
  <c r="E218"/>
  <c r="H218" s="1"/>
  <c r="K218" s="1"/>
  <c r="AE218" s="1"/>
  <c r="D218"/>
  <c r="G218" s="1"/>
  <c r="F218" l="1"/>
  <c r="I218"/>
  <c r="J218"/>
  <c r="M218"/>
  <c r="N218" s="1"/>
  <c r="V218"/>
  <c r="A219"/>
  <c r="B219" s="1"/>
  <c r="W218" l="1"/>
  <c r="L218"/>
  <c r="P219"/>
  <c r="Q219" s="1"/>
  <c r="R219" s="1"/>
  <c r="S219" s="1"/>
  <c r="AD219"/>
  <c r="AC219"/>
  <c r="AA219"/>
  <c r="Z219"/>
  <c r="U218" l="1"/>
  <c r="Y217"/>
  <c r="T219"/>
  <c r="AG219" s="1"/>
  <c r="D219" l="1"/>
  <c r="E219"/>
  <c r="H219" s="1"/>
  <c r="AH219"/>
  <c r="F219" l="1"/>
  <c r="G219"/>
  <c r="K219"/>
  <c r="AE219" s="1"/>
  <c r="I219" l="1"/>
  <c r="J219"/>
  <c r="M219"/>
  <c r="N219" s="1"/>
  <c r="V219"/>
  <c r="A220"/>
  <c r="B220" s="1"/>
  <c r="W219" l="1"/>
  <c r="L219"/>
  <c r="AC220"/>
  <c r="AD220"/>
  <c r="Z220"/>
  <c r="P220"/>
  <c r="Q220" s="1"/>
  <c r="R220" s="1"/>
  <c r="S220" s="1"/>
  <c r="AA220"/>
  <c r="U219" l="1"/>
  <c r="Y218"/>
  <c r="T220"/>
  <c r="E220" l="1"/>
  <c r="H220" s="1"/>
  <c r="K220" s="1"/>
  <c r="AE220" s="1"/>
  <c r="D220"/>
  <c r="G220" s="1"/>
  <c r="AG220"/>
  <c r="AH220"/>
  <c r="F220" l="1"/>
  <c r="I220"/>
  <c r="J220"/>
  <c r="M220"/>
  <c r="N220" s="1"/>
  <c r="V220"/>
  <c r="A221"/>
  <c r="B221" s="1"/>
  <c r="W220" l="1"/>
  <c r="L220"/>
  <c r="AA221"/>
  <c r="AC221"/>
  <c r="AD221"/>
  <c r="P221"/>
  <c r="Q221" s="1"/>
  <c r="R221" s="1"/>
  <c r="S221" s="1"/>
  <c r="Z221"/>
  <c r="T221" l="1"/>
  <c r="U220"/>
  <c r="Y219"/>
  <c r="D221" l="1"/>
  <c r="G221" s="1"/>
  <c r="AH221"/>
  <c r="AG221"/>
  <c r="E221"/>
  <c r="H221" s="1"/>
  <c r="K221" l="1"/>
  <c r="AE221" s="1"/>
  <c r="I221"/>
  <c r="J221"/>
  <c r="M221"/>
  <c r="N221" s="1"/>
  <c r="F221"/>
  <c r="L221" l="1"/>
  <c r="V221"/>
  <c r="W221" s="1"/>
  <c r="A222"/>
  <c r="B222" s="1"/>
  <c r="P222" l="1"/>
  <c r="Q222" s="1"/>
  <c r="R222" s="1"/>
  <c r="S222" s="1"/>
  <c r="AC222"/>
  <c r="Z222"/>
  <c r="AA222"/>
  <c r="AD222"/>
  <c r="U221"/>
  <c r="Y220"/>
  <c r="T222" l="1"/>
  <c r="AH222" s="1"/>
  <c r="E222" l="1"/>
  <c r="H222" s="1"/>
  <c r="AG222"/>
  <c r="D222"/>
  <c r="F222" l="1"/>
  <c r="G222"/>
  <c r="K222"/>
  <c r="AE222" s="1"/>
  <c r="I222" l="1"/>
  <c r="J222"/>
  <c r="M222"/>
  <c r="N222" s="1"/>
  <c r="V222"/>
  <c r="A223"/>
  <c r="B223" s="1"/>
  <c r="W222" l="1"/>
  <c r="L222"/>
  <c r="P223"/>
  <c r="Q223" s="1"/>
  <c r="R223" s="1"/>
  <c r="S223" s="1"/>
  <c r="Z223"/>
  <c r="AC223"/>
  <c r="AD223"/>
  <c r="AA223"/>
  <c r="U222" l="1"/>
  <c r="Y221"/>
  <c r="T223"/>
  <c r="D223" l="1"/>
  <c r="G223" s="1"/>
  <c r="AG223"/>
  <c r="AH223"/>
  <c r="E223"/>
  <c r="H223" s="1"/>
  <c r="K223" s="1"/>
  <c r="AE223" s="1"/>
  <c r="F223" l="1"/>
  <c r="I223"/>
  <c r="J223"/>
  <c r="M223"/>
  <c r="N223" s="1"/>
  <c r="V223"/>
  <c r="A224"/>
  <c r="B224" s="1"/>
  <c r="W223" l="1"/>
  <c r="L223"/>
  <c r="Z224"/>
  <c r="P224"/>
  <c r="Q224" s="1"/>
  <c r="R224" s="1"/>
  <c r="S224" s="1"/>
  <c r="AC224"/>
  <c r="AA224"/>
  <c r="U223" l="1"/>
  <c r="Y222"/>
  <c r="T224"/>
  <c r="D224" l="1"/>
  <c r="G224" s="1"/>
  <c r="AG224"/>
  <c r="AH224"/>
  <c r="E224"/>
  <c r="H224" s="1"/>
  <c r="K224" s="1"/>
  <c r="AE224" s="1"/>
  <c r="F224" l="1"/>
  <c r="I224"/>
  <c r="J224"/>
  <c r="M224"/>
  <c r="N224" s="1"/>
  <c r="V224"/>
  <c r="A225"/>
  <c r="B225" s="1"/>
  <c r="W224" l="1"/>
  <c r="L224"/>
  <c r="AD224"/>
  <c r="AC225"/>
  <c r="P225"/>
  <c r="Q225" s="1"/>
  <c r="R225" s="1"/>
  <c r="S225" s="1"/>
  <c r="AA225"/>
  <c r="AD225"/>
  <c r="Z225"/>
  <c r="U224" l="1"/>
  <c r="Y223"/>
  <c r="T225"/>
  <c r="AG225" s="1"/>
  <c r="AH225" l="1"/>
  <c r="E225"/>
  <c r="H225" s="1"/>
  <c r="D225"/>
  <c r="K225" l="1"/>
  <c r="AE225" s="1"/>
  <c r="F225"/>
  <c r="G225"/>
  <c r="I225" l="1"/>
  <c r="J225"/>
  <c r="M225"/>
  <c r="N225" s="1"/>
  <c r="V225"/>
  <c r="A226"/>
  <c r="B226" s="1"/>
  <c r="W225" l="1"/>
  <c r="L225"/>
  <c r="AD226"/>
  <c r="Z226"/>
  <c r="AA226"/>
  <c r="P226"/>
  <c r="Q226" s="1"/>
  <c r="R226" s="1"/>
  <c r="S226" s="1"/>
  <c r="AC226"/>
  <c r="U225" l="1"/>
  <c r="Y224"/>
  <c r="T226"/>
  <c r="D226" l="1"/>
  <c r="G226" s="1"/>
  <c r="AH226"/>
  <c r="AG226"/>
  <c r="E226"/>
  <c r="H226" s="1"/>
  <c r="F226" l="1"/>
  <c r="I226"/>
  <c r="J226"/>
  <c r="M226"/>
  <c r="N226" s="1"/>
  <c r="K226"/>
  <c r="AE226" s="1"/>
  <c r="V226" l="1"/>
  <c r="W226" s="1"/>
  <c r="A227"/>
  <c r="B227" s="1"/>
  <c r="L226"/>
  <c r="U226" l="1"/>
  <c r="Y225"/>
  <c r="P227"/>
  <c r="Q227" s="1"/>
  <c r="R227" s="1"/>
  <c r="S227" s="1"/>
  <c r="AA227"/>
  <c r="Z227"/>
  <c r="AD227"/>
  <c r="AC227"/>
  <c r="T227" l="1"/>
  <c r="D227" s="1"/>
  <c r="E227" l="1"/>
  <c r="H227" s="1"/>
  <c r="K227" s="1"/>
  <c r="AE227" s="1"/>
  <c r="AH227"/>
  <c r="AG227"/>
  <c r="G227"/>
  <c r="F227" l="1"/>
  <c r="V227"/>
  <c r="A228"/>
  <c r="B228" s="1"/>
  <c r="I227"/>
  <c r="J227"/>
  <c r="M227"/>
  <c r="N227" s="1"/>
  <c r="L227" l="1"/>
  <c r="W227"/>
  <c r="AD228"/>
  <c r="AA228"/>
  <c r="Z228"/>
  <c r="P228"/>
  <c r="Q228" s="1"/>
  <c r="R228" s="1"/>
  <c r="S228" s="1"/>
  <c r="AC228"/>
  <c r="T228" l="1"/>
  <c r="AG228" s="1"/>
  <c r="U227"/>
  <c r="Y226"/>
  <c r="AH228" l="1"/>
  <c r="E228"/>
  <c r="H228" s="1"/>
  <c r="D228"/>
  <c r="K228" l="1"/>
  <c r="AE228" s="1"/>
  <c r="F228"/>
  <c r="G228"/>
  <c r="V228" l="1"/>
  <c r="A229"/>
  <c r="B229" s="1"/>
  <c r="I228"/>
  <c r="J228"/>
  <c r="M228"/>
  <c r="N228" s="1"/>
  <c r="W228" l="1"/>
  <c r="L228"/>
  <c r="AA229"/>
  <c r="AD229"/>
  <c r="AC229"/>
  <c r="P229"/>
  <c r="Q229" s="1"/>
  <c r="R229" s="1"/>
  <c r="S229" s="1"/>
  <c r="Z229"/>
  <c r="U228" l="1"/>
  <c r="Y227"/>
  <c r="T229"/>
  <c r="AH229" s="1"/>
  <c r="D229" l="1"/>
  <c r="E229"/>
  <c r="H229" s="1"/>
  <c r="AG229"/>
  <c r="K229" l="1"/>
  <c r="AE229" s="1"/>
  <c r="F229"/>
  <c r="G229"/>
  <c r="V229" l="1"/>
  <c r="A230"/>
  <c r="B230" s="1"/>
  <c r="I229"/>
  <c r="J229"/>
  <c r="M229"/>
  <c r="N229" s="1"/>
  <c r="L229" l="1"/>
  <c r="W229"/>
  <c r="P230"/>
  <c r="Q230" s="1"/>
  <c r="R230" s="1"/>
  <c r="S230" s="1"/>
  <c r="AA230"/>
  <c r="AC230"/>
  <c r="AD230"/>
  <c r="Z230"/>
  <c r="U229" l="1"/>
  <c r="Y228"/>
  <c r="T230"/>
  <c r="AH230" s="1"/>
  <c r="AG230" l="1"/>
  <c r="D230"/>
  <c r="E230"/>
  <c r="H230" s="1"/>
  <c r="K230" l="1"/>
  <c r="AE230" s="1"/>
  <c r="F230"/>
  <c r="G230"/>
  <c r="I230" l="1"/>
  <c r="J230"/>
  <c r="M230"/>
  <c r="N230" s="1"/>
  <c r="V230"/>
  <c r="A231"/>
  <c r="B231" s="1"/>
  <c r="W230" l="1"/>
  <c r="L230"/>
  <c r="AD231"/>
  <c r="P231"/>
  <c r="Q231" s="1"/>
  <c r="R231" s="1"/>
  <c r="S231" s="1"/>
  <c r="AA231"/>
  <c r="Z231"/>
  <c r="AC231"/>
  <c r="T231" l="1"/>
  <c r="U230"/>
  <c r="Y229"/>
  <c r="D231" l="1"/>
  <c r="G231" s="1"/>
  <c r="E231"/>
  <c r="H231" s="1"/>
  <c r="K231" s="1"/>
  <c r="AE231" s="1"/>
  <c r="AG231"/>
  <c r="AH231"/>
  <c r="F231" l="1"/>
  <c r="V231"/>
  <c r="A232"/>
  <c r="B232" s="1"/>
  <c r="I231"/>
  <c r="J231"/>
  <c r="M231"/>
  <c r="N231" s="1"/>
  <c r="L231" l="1"/>
  <c r="W231"/>
  <c r="P232"/>
  <c r="Q232" s="1"/>
  <c r="R232" s="1"/>
  <c r="S232" s="1"/>
  <c r="AD232"/>
  <c r="Z232"/>
  <c r="AA232"/>
  <c r="AC232"/>
  <c r="U231" l="1"/>
  <c r="Y230"/>
  <c r="T232"/>
  <c r="D232" l="1"/>
  <c r="G232" s="1"/>
  <c r="AG232"/>
  <c r="E232"/>
  <c r="H232" s="1"/>
  <c r="AH232"/>
  <c r="F232" l="1"/>
  <c r="I232"/>
  <c r="J232"/>
  <c r="M232"/>
  <c r="N232" s="1"/>
  <c r="K232"/>
  <c r="AE232" s="1"/>
  <c r="V232" l="1"/>
  <c r="W232" s="1"/>
  <c r="A233"/>
  <c r="B233" s="1"/>
  <c r="L232"/>
  <c r="U232" l="1"/>
  <c r="Y231"/>
  <c r="AA233"/>
  <c r="AD233"/>
  <c r="AC233"/>
  <c r="P233"/>
  <c r="Q233" s="1"/>
  <c r="R233" s="1"/>
  <c r="S233" s="1"/>
  <c r="Z233"/>
  <c r="T233" l="1"/>
  <c r="D233" s="1"/>
  <c r="AG233" l="1"/>
  <c r="AH233"/>
  <c r="E233"/>
  <c r="H233" s="1"/>
  <c r="K233" s="1"/>
  <c r="AE233" s="1"/>
  <c r="G233"/>
  <c r="F233" l="1"/>
  <c r="I233"/>
  <c r="J233"/>
  <c r="M233"/>
  <c r="N233" s="1"/>
  <c r="V233"/>
  <c r="A234"/>
  <c r="B234" s="1"/>
  <c r="W233" l="1"/>
  <c r="L233"/>
  <c r="Z234"/>
  <c r="P234"/>
  <c r="Q234" s="1"/>
  <c r="R234" s="1"/>
  <c r="S234" s="1"/>
  <c r="AC234"/>
  <c r="AA234"/>
  <c r="U233" l="1"/>
  <c r="Y232"/>
  <c r="T234"/>
  <c r="E234" l="1"/>
  <c r="H234" s="1"/>
  <c r="K234" s="1"/>
  <c r="AE234" s="1"/>
  <c r="AG234"/>
  <c r="AH234"/>
  <c r="D234"/>
  <c r="G234" s="1"/>
  <c r="F234" l="1"/>
  <c r="I234"/>
  <c r="J234"/>
  <c r="M234"/>
  <c r="N234" s="1"/>
  <c r="V234"/>
  <c r="A235"/>
  <c r="B235" s="1"/>
  <c r="L234" l="1"/>
  <c r="AD234"/>
  <c r="W234"/>
  <c r="AC235"/>
  <c r="AA235"/>
  <c r="Z235"/>
  <c r="P235"/>
  <c r="Q235" s="1"/>
  <c r="R235" s="1"/>
  <c r="S235" s="1"/>
  <c r="AD235"/>
  <c r="U234" l="1"/>
  <c r="Y233"/>
  <c r="T235"/>
  <c r="E235" l="1"/>
  <c r="H235" s="1"/>
  <c r="K235" s="1"/>
  <c r="AE235" s="1"/>
  <c r="AG235"/>
  <c r="D235"/>
  <c r="AH235"/>
  <c r="F235" l="1"/>
  <c r="G235"/>
  <c r="V235"/>
  <c r="A236"/>
  <c r="B236" s="1"/>
  <c r="AD236" l="1"/>
  <c r="P236"/>
  <c r="Q236" s="1"/>
  <c r="R236" s="1"/>
  <c r="S236" s="1"/>
  <c r="AA236"/>
  <c r="Z236"/>
  <c r="AC236"/>
  <c r="I235"/>
  <c r="W235" s="1"/>
  <c r="J235"/>
  <c r="M235"/>
  <c r="N235" s="1"/>
  <c r="T236" l="1"/>
  <c r="L235"/>
  <c r="U235" l="1"/>
  <c r="D236" s="1"/>
  <c r="AH236"/>
  <c r="AG236"/>
  <c r="Y234"/>
  <c r="E236" l="1"/>
  <c r="H236" s="1"/>
  <c r="K236" s="1"/>
  <c r="AE236" s="1"/>
  <c r="G236"/>
  <c r="F236" l="1"/>
  <c r="I236"/>
  <c r="J236"/>
  <c r="M236"/>
  <c r="N236" s="1"/>
  <c r="V236"/>
  <c r="A237"/>
  <c r="B237" s="1"/>
  <c r="W236" l="1"/>
  <c r="L236"/>
  <c r="P237"/>
  <c r="Q237" s="1"/>
  <c r="R237" s="1"/>
  <c r="S237" s="1"/>
  <c r="AA237"/>
  <c r="Z237"/>
  <c r="AD237"/>
  <c r="AC237"/>
  <c r="U236" l="1"/>
  <c r="Y235"/>
  <c r="T237"/>
  <c r="AH237" s="1"/>
  <c r="E237" l="1"/>
  <c r="H237" s="1"/>
  <c r="K237" s="1"/>
  <c r="AE237" s="1"/>
  <c r="AG237"/>
  <c r="D237"/>
  <c r="F237" l="1"/>
  <c r="G237"/>
  <c r="M237" s="1"/>
  <c r="N237" s="1"/>
  <c r="V237"/>
  <c r="A238"/>
  <c r="B238" s="1"/>
  <c r="I237" l="1"/>
  <c r="W237" s="1"/>
  <c r="J237"/>
  <c r="L237" s="1"/>
  <c r="P238"/>
  <c r="Q238" s="1"/>
  <c r="R238" s="1"/>
  <c r="S238" s="1"/>
  <c r="Z238"/>
  <c r="AC238"/>
  <c r="AA238"/>
  <c r="AD238"/>
  <c r="T238" l="1"/>
  <c r="AG238" s="1"/>
  <c r="U237"/>
  <c r="Y236"/>
  <c r="AH238" l="1"/>
  <c r="E238"/>
  <c r="H238" s="1"/>
  <c r="K238" s="1"/>
  <c r="AE238" s="1"/>
  <c r="D238"/>
  <c r="F238" l="1"/>
  <c r="G238"/>
  <c r="M238" s="1"/>
  <c r="N238" s="1"/>
  <c r="V238"/>
  <c r="A239"/>
  <c r="B239" s="1"/>
  <c r="I238" l="1"/>
  <c r="W238" s="1"/>
  <c r="J238"/>
  <c r="L238" s="1"/>
  <c r="AD239"/>
  <c r="P239"/>
  <c r="Q239" s="1"/>
  <c r="R239" s="1"/>
  <c r="S239" s="1"/>
  <c r="AC239"/>
  <c r="Z239"/>
  <c r="AA239"/>
  <c r="T239" l="1"/>
  <c r="U238"/>
  <c r="Y237"/>
  <c r="D239" l="1"/>
  <c r="G239" s="1"/>
  <c r="E239"/>
  <c r="H239" s="1"/>
  <c r="K239" s="1"/>
  <c r="AE239" s="1"/>
  <c r="AG239"/>
  <c r="AH239"/>
  <c r="F239" l="1"/>
  <c r="I239"/>
  <c r="J239"/>
  <c r="M239"/>
  <c r="N239" s="1"/>
  <c r="V239"/>
  <c r="A240"/>
  <c r="B240" s="1"/>
  <c r="W239" l="1"/>
  <c r="L239"/>
  <c r="Z240"/>
  <c r="P240"/>
  <c r="Q240" s="1"/>
  <c r="R240" s="1"/>
  <c r="S240" s="1"/>
  <c r="AD240"/>
  <c r="AA240"/>
  <c r="AC240"/>
  <c r="U239" l="1"/>
  <c r="Y238"/>
  <c r="T240"/>
  <c r="E240" l="1"/>
  <c r="H240" s="1"/>
  <c r="K240" s="1"/>
  <c r="AE240" s="1"/>
  <c r="D240"/>
  <c r="AG240"/>
  <c r="AH240"/>
  <c r="V240" l="1"/>
  <c r="A241"/>
  <c r="B241" s="1"/>
  <c r="F240"/>
  <c r="G240"/>
  <c r="I240" l="1"/>
  <c r="W240" s="1"/>
  <c r="J240"/>
  <c r="M240"/>
  <c r="N240" s="1"/>
  <c r="Z241"/>
  <c r="AD241"/>
  <c r="AC241"/>
  <c r="P241"/>
  <c r="Q241" s="1"/>
  <c r="R241" s="1"/>
  <c r="S241" s="1"/>
  <c r="AA241"/>
  <c r="T241" l="1"/>
  <c r="L240"/>
  <c r="AG241" l="1"/>
  <c r="AH241"/>
  <c r="U240"/>
  <c r="D241" s="1"/>
  <c r="Y239"/>
  <c r="G241" l="1"/>
  <c r="E241"/>
  <c r="H241" s="1"/>
  <c r="F241" l="1"/>
  <c r="I241"/>
  <c r="J241"/>
  <c r="M241"/>
  <c r="N241" s="1"/>
  <c r="K241"/>
  <c r="AE241" s="1"/>
  <c r="V241" l="1"/>
  <c r="W241" s="1"/>
  <c r="A242"/>
  <c r="B242" s="1"/>
  <c r="L241"/>
  <c r="U241" l="1"/>
  <c r="Y240"/>
  <c r="Z242"/>
  <c r="AA242"/>
  <c r="P242"/>
  <c r="Q242" s="1"/>
  <c r="R242" s="1"/>
  <c r="S242" s="1"/>
  <c r="AD242"/>
  <c r="AC242"/>
  <c r="T242" l="1"/>
  <c r="D242" s="1"/>
  <c r="E242" l="1"/>
  <c r="H242" s="1"/>
  <c r="K242" s="1"/>
  <c r="AE242" s="1"/>
  <c r="G242"/>
  <c r="AH242"/>
  <c r="AG242"/>
  <c r="F242" l="1"/>
  <c r="I242"/>
  <c r="J242"/>
  <c r="M242"/>
  <c r="N242" s="1"/>
  <c r="V242"/>
  <c r="A243"/>
  <c r="B243" s="1"/>
  <c r="W242" l="1"/>
  <c r="L242"/>
  <c r="AA243"/>
  <c r="AC243"/>
  <c r="Z243"/>
  <c r="P243"/>
  <c r="Q243" s="1"/>
  <c r="R243" s="1"/>
  <c r="S243" s="1"/>
  <c r="AD243"/>
  <c r="U242" l="1"/>
  <c r="Y241"/>
  <c r="T243"/>
  <c r="AH243" s="1"/>
  <c r="D243" l="1"/>
  <c r="G243" s="1"/>
  <c r="E243"/>
  <c r="H243" s="1"/>
  <c r="K243" s="1"/>
  <c r="AE243" s="1"/>
  <c r="AG243"/>
  <c r="F243" l="1"/>
  <c r="I243"/>
  <c r="J243"/>
  <c r="M243"/>
  <c r="N243" s="1"/>
  <c r="V243"/>
  <c r="A244"/>
  <c r="B244" s="1"/>
  <c r="W243" l="1"/>
  <c r="L243"/>
  <c r="AA244"/>
  <c r="P244"/>
  <c r="Q244" s="1"/>
  <c r="R244" s="1"/>
  <c r="S244" s="1"/>
  <c r="Z244"/>
  <c r="AC244"/>
  <c r="U243" l="1"/>
  <c r="Y242"/>
  <c r="T244"/>
  <c r="D244" l="1"/>
  <c r="G244" s="1"/>
  <c r="E244"/>
  <c r="H244" s="1"/>
  <c r="AG244"/>
  <c r="AH244"/>
  <c r="I244" l="1"/>
  <c r="J244"/>
  <c r="M244"/>
  <c r="N244" s="1"/>
  <c r="F244"/>
  <c r="K244"/>
  <c r="AE244" s="1"/>
  <c r="L244" l="1"/>
  <c r="AD244"/>
  <c r="V244"/>
  <c r="W244" s="1"/>
  <c r="A245"/>
  <c r="B245" s="1"/>
  <c r="U244" l="1"/>
  <c r="Y243"/>
  <c r="Z245"/>
  <c r="AD245"/>
  <c r="AA245"/>
  <c r="P245"/>
  <c r="Q245" s="1"/>
  <c r="R245" s="1"/>
  <c r="S245" s="1"/>
  <c r="AC245"/>
  <c r="T245" l="1"/>
  <c r="AG245" s="1"/>
  <c r="D245" l="1"/>
  <c r="G245" s="1"/>
  <c r="AH245"/>
  <c r="E245"/>
  <c r="H245" s="1"/>
  <c r="F245" l="1"/>
  <c r="I245"/>
  <c r="J245"/>
  <c r="M245"/>
  <c r="N245" s="1"/>
  <c r="K245"/>
  <c r="AE245" s="1"/>
  <c r="V245" l="1"/>
  <c r="W245" s="1"/>
  <c r="A246"/>
  <c r="B246" s="1"/>
  <c r="L245"/>
  <c r="U245" l="1"/>
  <c r="Y244"/>
  <c r="P246"/>
  <c r="Q246" s="1"/>
  <c r="R246" s="1"/>
  <c r="S246" s="1"/>
  <c r="AC246"/>
  <c r="Z246"/>
  <c r="AD246"/>
  <c r="AA246"/>
  <c r="T246" l="1"/>
  <c r="D246" s="1"/>
  <c r="E246" l="1"/>
  <c r="H246" s="1"/>
  <c r="K246" s="1"/>
  <c r="AE246" s="1"/>
  <c r="AG246"/>
  <c r="AH246"/>
  <c r="G246"/>
  <c r="F246" l="1"/>
  <c r="I246"/>
  <c r="J246"/>
  <c r="M246"/>
  <c r="N246" s="1"/>
  <c r="V246"/>
  <c r="A247"/>
  <c r="B247" s="1"/>
  <c r="W246" l="1"/>
  <c r="L246"/>
  <c r="P247"/>
  <c r="Q247" s="1"/>
  <c r="R247" s="1"/>
  <c r="S247" s="1"/>
  <c r="AA247"/>
  <c r="AC247"/>
  <c r="Z247"/>
  <c r="AD247"/>
  <c r="U246" l="1"/>
  <c r="Y245"/>
  <c r="T247"/>
  <c r="AG247" s="1"/>
  <c r="AH247" l="1"/>
  <c r="D247"/>
  <c r="E247"/>
  <c r="H247" s="1"/>
  <c r="K247" s="1"/>
  <c r="AE247" s="1"/>
  <c r="F247" l="1"/>
  <c r="G247"/>
  <c r="M247" s="1"/>
  <c r="N247" s="1"/>
  <c r="V247"/>
  <c r="A248"/>
  <c r="B248" s="1"/>
  <c r="I247" l="1"/>
  <c r="W247" s="1"/>
  <c r="J247"/>
  <c r="L247" s="1"/>
  <c r="Z248"/>
  <c r="P248"/>
  <c r="Q248" s="1"/>
  <c r="R248" s="1"/>
  <c r="S248" s="1"/>
  <c r="AA248"/>
  <c r="AC248"/>
  <c r="AD248"/>
  <c r="U247" l="1"/>
  <c r="Y246"/>
  <c r="T248"/>
  <c r="AG248" s="1"/>
  <c r="E248" l="1"/>
  <c r="H248" s="1"/>
  <c r="K248" s="1"/>
  <c r="AE248" s="1"/>
  <c r="AH248"/>
  <c r="D248"/>
  <c r="G248" s="1"/>
  <c r="F248" l="1"/>
  <c r="I248"/>
  <c r="J248"/>
  <c r="M248"/>
  <c r="N248" s="1"/>
  <c r="V248"/>
  <c r="A249"/>
  <c r="B249" s="1"/>
  <c r="W248" l="1"/>
  <c r="L248"/>
  <c r="AC249"/>
  <c r="P249"/>
  <c r="Q249" s="1"/>
  <c r="R249" s="1"/>
  <c r="S249" s="1"/>
  <c r="Z249"/>
  <c r="AD249"/>
  <c r="AA249"/>
  <c r="U248" l="1"/>
  <c r="Y247"/>
  <c r="T249"/>
  <c r="AG249" s="1"/>
  <c r="D249" l="1"/>
  <c r="G249" s="1"/>
  <c r="AH249"/>
  <c r="E249"/>
  <c r="H249" s="1"/>
  <c r="K249" s="1"/>
  <c r="AE249" s="1"/>
  <c r="F249" l="1"/>
  <c r="I249"/>
  <c r="J249"/>
  <c r="M249"/>
  <c r="N249" s="1"/>
  <c r="V249"/>
  <c r="A250"/>
  <c r="B250" s="1"/>
  <c r="W249" l="1"/>
  <c r="L249"/>
  <c r="AC250"/>
  <c r="AA250"/>
  <c r="P250"/>
  <c r="Q250" s="1"/>
  <c r="R250" s="1"/>
  <c r="S250" s="1"/>
  <c r="AD250"/>
  <c r="Z250"/>
  <c r="T250" l="1"/>
  <c r="AG250" s="1"/>
  <c r="U249"/>
  <c r="Y248"/>
  <c r="D250" l="1"/>
  <c r="E250"/>
  <c r="H250" s="1"/>
  <c r="AH250"/>
  <c r="F250" l="1"/>
  <c r="G250"/>
  <c r="K250"/>
  <c r="AE250" s="1"/>
  <c r="V250" l="1"/>
  <c r="A251"/>
  <c r="B251" s="1"/>
  <c r="I250"/>
  <c r="J250"/>
  <c r="M250"/>
  <c r="N250" s="1"/>
  <c r="W250" l="1"/>
  <c r="L250"/>
  <c r="P251"/>
  <c r="Q251" s="1"/>
  <c r="R251" s="1"/>
  <c r="S251" s="1"/>
  <c r="AC251"/>
  <c r="AA251"/>
  <c r="Z251"/>
  <c r="AD251"/>
  <c r="U250" l="1"/>
  <c r="Y249"/>
  <c r="T251"/>
  <c r="D251" l="1"/>
  <c r="G251" s="1"/>
  <c r="AG251"/>
  <c r="AH251"/>
  <c r="E251"/>
  <c r="H251" s="1"/>
  <c r="I251" l="1"/>
  <c r="J251"/>
  <c r="M251"/>
  <c r="N251" s="1"/>
  <c r="K251"/>
  <c r="AE251" s="1"/>
  <c r="F251"/>
  <c r="V251" l="1"/>
  <c r="W251" s="1"/>
  <c r="A252"/>
  <c r="B252" s="1"/>
  <c r="L251"/>
  <c r="U251" l="1"/>
  <c r="Y250"/>
  <c r="AD252"/>
  <c r="Z252"/>
  <c r="AA252"/>
  <c r="P252"/>
  <c r="Q252" s="1"/>
  <c r="R252" s="1"/>
  <c r="S252" s="1"/>
  <c r="AC252"/>
  <c r="T252" l="1"/>
  <c r="AH252" s="1"/>
  <c r="E252" l="1"/>
  <c r="H252" s="1"/>
  <c r="K252" s="1"/>
  <c r="AE252" s="1"/>
  <c r="AG252"/>
  <c r="D252"/>
  <c r="F252" l="1"/>
  <c r="G252"/>
  <c r="V252"/>
  <c r="A253"/>
  <c r="B253" s="1"/>
  <c r="AC253" l="1"/>
  <c r="AA253"/>
  <c r="AD253"/>
  <c r="P253"/>
  <c r="Q253" s="1"/>
  <c r="R253" s="1"/>
  <c r="S253" s="1"/>
  <c r="Z253"/>
  <c r="I252"/>
  <c r="W252" s="1"/>
  <c r="J252"/>
  <c r="M252"/>
  <c r="N252" s="1"/>
  <c r="L252" l="1"/>
  <c r="T253"/>
  <c r="AH253" l="1"/>
  <c r="U252"/>
  <c r="E253" s="1"/>
  <c r="H253" s="1"/>
  <c r="AG253"/>
  <c r="Y251"/>
  <c r="D253" l="1"/>
  <c r="F253" s="1"/>
  <c r="K253"/>
  <c r="AE253" s="1"/>
  <c r="G253" l="1"/>
  <c r="J253" s="1"/>
  <c r="V253"/>
  <c r="A254"/>
  <c r="B254" s="1"/>
  <c r="M253" l="1"/>
  <c r="N253" s="1"/>
  <c r="I253"/>
  <c r="W253" s="1"/>
  <c r="L253"/>
  <c r="AA254"/>
  <c r="AC254"/>
  <c r="P254"/>
  <c r="Q254" s="1"/>
  <c r="R254" s="1"/>
  <c r="S254" s="1"/>
  <c r="Z254"/>
  <c r="U253" l="1"/>
  <c r="Y252"/>
  <c r="T254"/>
  <c r="AH254" s="1"/>
  <c r="D254" l="1"/>
  <c r="G254" s="1"/>
  <c r="E254"/>
  <c r="H254" s="1"/>
  <c r="K254" s="1"/>
  <c r="AE254" s="1"/>
  <c r="AG254"/>
  <c r="F254" l="1"/>
  <c r="I254"/>
  <c r="J254"/>
  <c r="M254"/>
  <c r="N254" s="1"/>
  <c r="V254"/>
  <c r="A255"/>
  <c r="B255" s="1"/>
  <c r="W254" l="1"/>
  <c r="L254"/>
  <c r="AD254"/>
  <c r="AA255"/>
  <c r="AC255"/>
  <c r="AD255"/>
  <c r="Z255"/>
  <c r="P255"/>
  <c r="Q255" s="1"/>
  <c r="R255" s="1"/>
  <c r="S255" s="1"/>
  <c r="U254" l="1"/>
  <c r="Y253"/>
  <c r="T255"/>
  <c r="D255" l="1"/>
  <c r="G255" s="1"/>
  <c r="AG255"/>
  <c r="AH255"/>
  <c r="E255"/>
  <c r="H255" s="1"/>
  <c r="K255" s="1"/>
  <c r="AE255" s="1"/>
  <c r="F255" l="1"/>
  <c r="I255"/>
  <c r="J255"/>
  <c r="M255"/>
  <c r="N255" s="1"/>
  <c r="V255"/>
  <c r="A256"/>
  <c r="B256" s="1"/>
  <c r="W255" l="1"/>
  <c r="L255"/>
  <c r="AA256"/>
  <c r="AD256"/>
  <c r="P256"/>
  <c r="Q256" s="1"/>
  <c r="R256" s="1"/>
  <c r="S256" s="1"/>
  <c r="Z256"/>
  <c r="AC256"/>
  <c r="U255" l="1"/>
  <c r="Y254"/>
  <c r="T256"/>
  <c r="D256" l="1"/>
  <c r="G256" s="1"/>
  <c r="E256"/>
  <c r="H256" s="1"/>
  <c r="AH256"/>
  <c r="AG256"/>
  <c r="F256" l="1"/>
  <c r="I256"/>
  <c r="J256"/>
  <c r="M256"/>
  <c r="N256" s="1"/>
  <c r="K256"/>
  <c r="AE256" s="1"/>
  <c r="L256" l="1"/>
  <c r="V256"/>
  <c r="W256" s="1"/>
  <c r="A257"/>
  <c r="B257" s="1"/>
  <c r="U256" l="1"/>
  <c r="Y255"/>
  <c r="AD257"/>
  <c r="AC257"/>
  <c r="Z257"/>
  <c r="P257"/>
  <c r="Q257" s="1"/>
  <c r="R257" s="1"/>
  <c r="S257" s="1"/>
  <c r="AA257"/>
  <c r="T257" l="1"/>
  <c r="D257" s="1"/>
  <c r="E257" l="1"/>
  <c r="H257" s="1"/>
  <c r="K257" s="1"/>
  <c r="AE257" s="1"/>
  <c r="AG257"/>
  <c r="AH257"/>
  <c r="G257"/>
  <c r="F257" l="1"/>
  <c r="V257"/>
  <c r="A258"/>
  <c r="B258" s="1"/>
  <c r="I257"/>
  <c r="J257"/>
  <c r="M257"/>
  <c r="N257" s="1"/>
  <c r="W257" l="1"/>
  <c r="L257"/>
  <c r="AC258"/>
  <c r="AD258"/>
  <c r="Z258"/>
  <c r="P258"/>
  <c r="Q258" s="1"/>
  <c r="R258" s="1"/>
  <c r="S258" s="1"/>
  <c r="AA258"/>
  <c r="U257" l="1"/>
  <c r="Y256"/>
  <c r="T258"/>
  <c r="AG258" s="1"/>
  <c r="E258" l="1"/>
  <c r="H258" s="1"/>
  <c r="D258"/>
  <c r="AH258"/>
  <c r="F258" l="1"/>
  <c r="G258"/>
  <c r="K258"/>
  <c r="AE258" s="1"/>
  <c r="V258" l="1"/>
  <c r="A259"/>
  <c r="B259" s="1"/>
  <c r="I258"/>
  <c r="J258"/>
  <c r="M258"/>
  <c r="N258" s="1"/>
  <c r="L258" l="1"/>
  <c r="AC259"/>
  <c r="P259"/>
  <c r="Q259" s="1"/>
  <c r="R259" s="1"/>
  <c r="S259" s="1"/>
  <c r="Z259"/>
  <c r="AD259"/>
  <c r="AA259"/>
  <c r="W258"/>
  <c r="U258" l="1"/>
  <c r="Y257"/>
  <c r="T259"/>
  <c r="AH259" s="1"/>
  <c r="D259" l="1"/>
  <c r="G259" s="1"/>
  <c r="AG259"/>
  <c r="E259"/>
  <c r="H259" s="1"/>
  <c r="K259" s="1"/>
  <c r="AE259" s="1"/>
  <c r="F259" l="1"/>
  <c r="I259"/>
  <c r="J259"/>
  <c r="M259"/>
  <c r="N259" s="1"/>
  <c r="V259"/>
  <c r="A260"/>
  <c r="B260" s="1"/>
  <c r="W259" l="1"/>
  <c r="L259"/>
  <c r="AA260"/>
  <c r="P260"/>
  <c r="Q260" s="1"/>
  <c r="R260" s="1"/>
  <c r="S260" s="1"/>
  <c r="AD260"/>
  <c r="Z260"/>
  <c r="AC260"/>
  <c r="U259" l="1"/>
  <c r="Y258"/>
  <c r="T260"/>
  <c r="AH260" s="1"/>
  <c r="AG260" l="1"/>
  <c r="D260"/>
  <c r="E260"/>
  <c r="H260" s="1"/>
  <c r="K260" l="1"/>
  <c r="AE260" s="1"/>
  <c r="F260"/>
  <c r="G260"/>
  <c r="I260" l="1"/>
  <c r="J260"/>
  <c r="M260"/>
  <c r="N260" s="1"/>
  <c r="V260"/>
  <c r="A261"/>
  <c r="B261" s="1"/>
  <c r="W260" l="1"/>
  <c r="L260"/>
  <c r="Z261"/>
  <c r="AA261"/>
  <c r="AD261"/>
  <c r="P261"/>
  <c r="Q261" s="1"/>
  <c r="R261" s="1"/>
  <c r="S261" s="1"/>
  <c r="AC261"/>
  <c r="U260" l="1"/>
  <c r="Y259"/>
  <c r="T261"/>
  <c r="AH261" s="1"/>
  <c r="E261" l="1"/>
  <c r="H261" s="1"/>
  <c r="D261"/>
  <c r="AG261"/>
  <c r="K261" l="1"/>
  <c r="AE261" s="1"/>
  <c r="F261"/>
  <c r="G261"/>
  <c r="I261" l="1"/>
  <c r="J261"/>
  <c r="M261"/>
  <c r="N261" s="1"/>
  <c r="V261"/>
  <c r="A262"/>
  <c r="B262" s="1"/>
  <c r="W261" l="1"/>
  <c r="L261"/>
  <c r="AA262"/>
  <c r="Z262"/>
  <c r="P262"/>
  <c r="Q262" s="1"/>
  <c r="R262" s="1"/>
  <c r="S262" s="1"/>
  <c r="AC262"/>
  <c r="AD262"/>
  <c r="T262" l="1"/>
  <c r="AG262" s="1"/>
  <c r="U261"/>
  <c r="Y260"/>
  <c r="E262" l="1"/>
  <c r="H262" s="1"/>
  <c r="K262" s="1"/>
  <c r="AE262" s="1"/>
  <c r="AH262"/>
  <c r="D262"/>
  <c r="F262" l="1"/>
  <c r="G262"/>
  <c r="V262"/>
  <c r="A263"/>
  <c r="B263" s="1"/>
  <c r="P263" l="1"/>
  <c r="Q263" s="1"/>
  <c r="R263" s="1"/>
  <c r="S263" s="1"/>
  <c r="AA263"/>
  <c r="Z263"/>
  <c r="AD263"/>
  <c r="AC263"/>
  <c r="I262"/>
  <c r="W262" s="1"/>
  <c r="J262"/>
  <c r="M262"/>
  <c r="N262" s="1"/>
  <c r="L262" l="1"/>
  <c r="T263"/>
  <c r="U262" l="1"/>
  <c r="E263" s="1"/>
  <c r="H263" s="1"/>
  <c r="AH263"/>
  <c r="AG263"/>
  <c r="Y261"/>
  <c r="D263" l="1"/>
  <c r="G263" s="1"/>
  <c r="K263"/>
  <c r="AE263" s="1"/>
  <c r="F263" l="1"/>
  <c r="V263"/>
  <c r="A264"/>
  <c r="B264" s="1"/>
  <c r="I263"/>
  <c r="J263"/>
  <c r="M263"/>
  <c r="N263" s="1"/>
  <c r="W263" l="1"/>
  <c r="L263"/>
  <c r="P264"/>
  <c r="Q264" s="1"/>
  <c r="R264" s="1"/>
  <c r="S264" s="1"/>
  <c r="AA264"/>
  <c r="AC264"/>
  <c r="Z264"/>
  <c r="U263" l="1"/>
  <c r="Y262"/>
  <c r="T264"/>
  <c r="AH264" s="1"/>
  <c r="AG264" l="1"/>
  <c r="D264"/>
  <c r="G264" s="1"/>
  <c r="E264"/>
  <c r="H264" s="1"/>
  <c r="K264" l="1"/>
  <c r="AE264" s="1"/>
  <c r="I264"/>
  <c r="J264"/>
  <c r="AD264" s="1"/>
  <c r="M264"/>
  <c r="N264" s="1"/>
  <c r="F264"/>
  <c r="L264" l="1"/>
  <c r="V264"/>
  <c r="W264" s="1"/>
  <c r="A265"/>
  <c r="B265" s="1"/>
  <c r="U264" l="1"/>
  <c r="Y263"/>
  <c r="P265"/>
  <c r="Q265" s="1"/>
  <c r="R265" s="1"/>
  <c r="S265" s="1"/>
  <c r="AA265"/>
  <c r="AD265"/>
  <c r="Z265"/>
  <c r="AC265"/>
  <c r="T265" l="1"/>
  <c r="AG265" l="1"/>
  <c r="AH265"/>
  <c r="D265"/>
  <c r="E265"/>
  <c r="H265" s="1"/>
  <c r="F265" l="1"/>
  <c r="G265"/>
  <c r="K265"/>
  <c r="AE265" s="1"/>
  <c r="I265" l="1"/>
  <c r="J265"/>
  <c r="M265"/>
  <c r="N265" s="1"/>
  <c r="V265"/>
  <c r="A266"/>
  <c r="B266" s="1"/>
  <c r="L265" l="1"/>
  <c r="W265"/>
  <c r="P266"/>
  <c r="Q266" s="1"/>
  <c r="R266" s="1"/>
  <c r="S266" s="1"/>
  <c r="AC266"/>
  <c r="Z266"/>
  <c r="AA266"/>
  <c r="AD266"/>
  <c r="T266" l="1"/>
  <c r="U265"/>
  <c r="Y264"/>
  <c r="E266" l="1"/>
  <c r="H266" s="1"/>
  <c r="K266" s="1"/>
  <c r="AE266" s="1"/>
  <c r="AH266"/>
  <c r="AG266"/>
  <c r="D266"/>
  <c r="V266" l="1"/>
  <c r="A267"/>
  <c r="B267" s="1"/>
  <c r="F266"/>
  <c r="G266"/>
  <c r="I266" l="1"/>
  <c r="W266" s="1"/>
  <c r="J266"/>
  <c r="M266"/>
  <c r="N266" s="1"/>
  <c r="AC267"/>
  <c r="P267"/>
  <c r="Q267" s="1"/>
  <c r="R267" s="1"/>
  <c r="S267" s="1"/>
  <c r="AA267"/>
  <c r="Z267"/>
  <c r="AD267"/>
  <c r="T267" l="1"/>
  <c r="L266"/>
  <c r="AH267" l="1"/>
  <c r="AG267"/>
  <c r="U266"/>
  <c r="E267" s="1"/>
  <c r="H267" s="1"/>
  <c r="Y265"/>
  <c r="K267" l="1"/>
  <c r="AE267" s="1"/>
  <c r="D267"/>
  <c r="V267" l="1"/>
  <c r="A268"/>
  <c r="B268" s="1"/>
  <c r="F267"/>
  <c r="G267"/>
  <c r="I267" l="1"/>
  <c r="W267" s="1"/>
  <c r="J267"/>
  <c r="M267"/>
  <c r="N267" s="1"/>
  <c r="AC268"/>
  <c r="P268"/>
  <c r="Q268" s="1"/>
  <c r="R268" s="1"/>
  <c r="S268" s="1"/>
  <c r="Z268"/>
  <c r="AA268"/>
  <c r="AD268"/>
  <c r="T268" l="1"/>
  <c r="L267"/>
  <c r="U267" l="1"/>
  <c r="E268" s="1"/>
  <c r="H268" s="1"/>
  <c r="AH268"/>
  <c r="AG268"/>
  <c r="Y266"/>
  <c r="K268" l="1"/>
  <c r="AE268" s="1"/>
  <c r="D268"/>
  <c r="V268" l="1"/>
  <c r="A269"/>
  <c r="B269" s="1"/>
  <c r="F268"/>
  <c r="G268"/>
  <c r="I268" l="1"/>
  <c r="W268" s="1"/>
  <c r="J268"/>
  <c r="M268"/>
  <c r="N268" s="1"/>
  <c r="AD269"/>
  <c r="P269"/>
  <c r="Q269" s="1"/>
  <c r="R269" s="1"/>
  <c r="S269" s="1"/>
  <c r="AA269"/>
  <c r="Z269"/>
  <c r="AC269"/>
  <c r="T269" l="1"/>
  <c r="L268"/>
  <c r="U268" l="1"/>
  <c r="D269" s="1"/>
  <c r="AH269"/>
  <c r="AG269"/>
  <c r="Y267"/>
  <c r="G269" l="1"/>
  <c r="E269"/>
  <c r="H269" s="1"/>
  <c r="F269" l="1"/>
  <c r="I269"/>
  <c r="J269"/>
  <c r="M269"/>
  <c r="N269" s="1"/>
  <c r="K269"/>
  <c r="AE269" s="1"/>
  <c r="V269" l="1"/>
  <c r="W269" s="1"/>
  <c r="A270"/>
  <c r="B270" s="1"/>
  <c r="L269"/>
  <c r="U269" l="1"/>
  <c r="Y268"/>
  <c r="AA270"/>
  <c r="Z270"/>
  <c r="P270"/>
  <c r="Q270" s="1"/>
  <c r="R270" s="1"/>
  <c r="S270" s="1"/>
  <c r="AC270"/>
  <c r="AD270"/>
  <c r="T270" l="1"/>
  <c r="AG270" s="1"/>
  <c r="AH270" l="1"/>
  <c r="E270"/>
  <c r="H270" s="1"/>
  <c r="K270" s="1"/>
  <c r="AE270" s="1"/>
  <c r="D270"/>
  <c r="G270" s="1"/>
  <c r="F270" l="1"/>
  <c r="V270"/>
  <c r="A271"/>
  <c r="B271" s="1"/>
  <c r="I270"/>
  <c r="J270"/>
  <c r="M270"/>
  <c r="N270" s="1"/>
  <c r="L270" l="1"/>
  <c r="Z271"/>
  <c r="AA271"/>
  <c r="P271"/>
  <c r="Q271" s="1"/>
  <c r="R271" s="1"/>
  <c r="S271" s="1"/>
  <c r="AC271"/>
  <c r="AD271"/>
  <c r="W270"/>
  <c r="U270" l="1"/>
  <c r="Y269"/>
  <c r="T271"/>
  <c r="AH271" s="1"/>
  <c r="AG271" l="1"/>
  <c r="D271"/>
  <c r="E271"/>
  <c r="H271" s="1"/>
  <c r="K271" l="1"/>
  <c r="AE271" s="1"/>
  <c r="F271"/>
  <c r="G271"/>
  <c r="I271" l="1"/>
  <c r="J271"/>
  <c r="M271"/>
  <c r="N271" s="1"/>
  <c r="V271"/>
  <c r="A272"/>
  <c r="B272" s="1"/>
  <c r="W271" l="1"/>
  <c r="L271"/>
  <c r="AD272"/>
  <c r="Z272"/>
  <c r="AA272"/>
  <c r="P272"/>
  <c r="Q272" s="1"/>
  <c r="R272" s="1"/>
  <c r="S272" s="1"/>
  <c r="AC272"/>
  <c r="T272" l="1"/>
  <c r="U271"/>
  <c r="Y270"/>
  <c r="D272" l="1"/>
  <c r="G272" s="1"/>
  <c r="E272"/>
  <c r="H272" s="1"/>
  <c r="K272" s="1"/>
  <c r="AE272" s="1"/>
  <c r="AG272"/>
  <c r="AH272"/>
  <c r="F272" l="1"/>
  <c r="I272"/>
  <c r="J272"/>
  <c r="M272"/>
  <c r="N272" s="1"/>
  <c r="V272"/>
  <c r="A273"/>
  <c r="B273" s="1"/>
  <c r="W272" l="1"/>
  <c r="L272"/>
  <c r="AA273"/>
  <c r="P273"/>
  <c r="Q273" s="1"/>
  <c r="R273" s="1"/>
  <c r="S273" s="1"/>
  <c r="Z273"/>
  <c r="AC273"/>
  <c r="AD273"/>
  <c r="T273" l="1"/>
  <c r="AG273" s="1"/>
  <c r="U272"/>
  <c r="Y271"/>
  <c r="D273" l="1"/>
  <c r="G273" s="1"/>
  <c r="AH273"/>
  <c r="E273"/>
  <c r="H273" s="1"/>
  <c r="F273" l="1"/>
  <c r="I273"/>
  <c r="J273"/>
  <c r="M273"/>
  <c r="N273" s="1"/>
  <c r="K273"/>
  <c r="AE273" s="1"/>
  <c r="L273" l="1"/>
  <c r="V273"/>
  <c r="W273" s="1"/>
  <c r="A274"/>
  <c r="B274" s="1"/>
  <c r="P274" l="1"/>
  <c r="Q274" s="1"/>
  <c r="R274" s="1"/>
  <c r="S274" s="1"/>
  <c r="AC274"/>
  <c r="Z274"/>
  <c r="AA274"/>
  <c r="U273"/>
  <c r="Y272"/>
  <c r="T274" l="1"/>
  <c r="AG274" s="1"/>
  <c r="D274" l="1"/>
  <c r="G274" s="1"/>
  <c r="AH274"/>
  <c r="E274"/>
  <c r="H274" s="1"/>
  <c r="I274" l="1"/>
  <c r="J274"/>
  <c r="AD274" s="1"/>
  <c r="M274"/>
  <c r="N274" s="1"/>
  <c r="K274"/>
  <c r="AE274" s="1"/>
  <c r="F274"/>
  <c r="L274" l="1"/>
  <c r="V274"/>
  <c r="W274" s="1"/>
  <c r="A275"/>
  <c r="B275" s="1"/>
  <c r="U274" l="1"/>
  <c r="Y273"/>
  <c r="AA275"/>
  <c r="P275"/>
  <c r="Q275" s="1"/>
  <c r="R275" s="1"/>
  <c r="S275" s="1"/>
  <c r="AD275"/>
  <c r="Z275"/>
  <c r="AC275"/>
  <c r="T275" l="1"/>
  <c r="AH275" s="1"/>
  <c r="E275" l="1"/>
  <c r="H275" s="1"/>
  <c r="AG275"/>
  <c r="D275"/>
  <c r="F275" l="1"/>
  <c r="G275"/>
  <c r="K275"/>
  <c r="AE275" s="1"/>
  <c r="I275" l="1"/>
  <c r="J275"/>
  <c r="M275"/>
  <c r="N275" s="1"/>
  <c r="V275"/>
  <c r="A276"/>
  <c r="B276" s="1"/>
  <c r="W275" l="1"/>
  <c r="L275"/>
  <c r="AA276"/>
  <c r="Z276"/>
  <c r="P276"/>
  <c r="Q276" s="1"/>
  <c r="R276" s="1"/>
  <c r="S276" s="1"/>
  <c r="AC276"/>
  <c r="AD276"/>
  <c r="U275" l="1"/>
  <c r="Y274"/>
  <c r="T276"/>
  <c r="AH276" s="1"/>
  <c r="D276" l="1"/>
  <c r="AG276"/>
  <c r="E276"/>
  <c r="H276" s="1"/>
  <c r="F276" l="1"/>
  <c r="G276"/>
  <c r="K276"/>
  <c r="AE276" s="1"/>
  <c r="I276" l="1"/>
  <c r="J276"/>
  <c r="M276"/>
  <c r="N276" s="1"/>
  <c r="V276"/>
  <c r="A277"/>
  <c r="B277" s="1"/>
  <c r="W276" l="1"/>
  <c r="L276"/>
  <c r="P277"/>
  <c r="Q277" s="1"/>
  <c r="R277" s="1"/>
  <c r="S277" s="1"/>
  <c r="AC277"/>
  <c r="Z277"/>
  <c r="AD277"/>
  <c r="AA277"/>
  <c r="U276" l="1"/>
  <c r="Y275"/>
  <c r="T277"/>
  <c r="AG277" s="1"/>
  <c r="D277" l="1"/>
  <c r="G277" s="1"/>
  <c r="E277"/>
  <c r="H277" s="1"/>
  <c r="K277" s="1"/>
  <c r="AE277" s="1"/>
  <c r="AH277"/>
  <c r="F277" l="1"/>
  <c r="V277"/>
  <c r="A278"/>
  <c r="B278" s="1"/>
  <c r="I277"/>
  <c r="J277"/>
  <c r="M277"/>
  <c r="N277" s="1"/>
  <c r="W277" l="1"/>
  <c r="L277"/>
  <c r="AD278"/>
  <c r="AC278"/>
  <c r="Z278"/>
  <c r="P278"/>
  <c r="Q278" s="1"/>
  <c r="R278" s="1"/>
  <c r="S278" s="1"/>
  <c r="AA278"/>
  <c r="T278" l="1"/>
  <c r="U277"/>
  <c r="Y276"/>
  <c r="E278" l="1"/>
  <c r="H278" s="1"/>
  <c r="K278" s="1"/>
  <c r="AE278" s="1"/>
  <c r="D278"/>
  <c r="AH278"/>
  <c r="AG278"/>
  <c r="V278" l="1"/>
  <c r="A279"/>
  <c r="B279" s="1"/>
  <c r="F278"/>
  <c r="G278"/>
  <c r="I278" l="1"/>
  <c r="W278" s="1"/>
  <c r="J278"/>
  <c r="M278"/>
  <c r="N278" s="1"/>
  <c r="P279"/>
  <c r="Q279" s="1"/>
  <c r="R279" s="1"/>
  <c r="S279" s="1"/>
  <c r="AA279"/>
  <c r="AD279"/>
  <c r="Z279"/>
  <c r="AC279"/>
  <c r="T279" l="1"/>
  <c r="L278"/>
  <c r="U278" l="1"/>
  <c r="D279" s="1"/>
  <c r="AG279"/>
  <c r="AH279"/>
  <c r="Y277"/>
  <c r="G279" l="1"/>
  <c r="E279"/>
  <c r="H279" s="1"/>
  <c r="I279" l="1"/>
  <c r="J279"/>
  <c r="M279"/>
  <c r="N279" s="1"/>
  <c r="F279"/>
  <c r="K279"/>
  <c r="AE279" s="1"/>
  <c r="V279" l="1"/>
  <c r="W279" s="1"/>
  <c r="A280"/>
  <c r="B280" s="1"/>
  <c r="L279"/>
  <c r="U279" l="1"/>
  <c r="Y278"/>
  <c r="AA280"/>
  <c r="P280"/>
  <c r="Q280" s="1"/>
  <c r="R280" s="1"/>
  <c r="S280" s="1"/>
  <c r="AD280"/>
  <c r="AC280"/>
  <c r="Z280"/>
  <c r="T280" l="1"/>
  <c r="AH280" s="1"/>
  <c r="D280" l="1"/>
  <c r="G280" s="1"/>
  <c r="E280"/>
  <c r="H280" s="1"/>
  <c r="K280" s="1"/>
  <c r="AE280" s="1"/>
  <c r="AG280"/>
  <c r="F280" l="1"/>
  <c r="I280"/>
  <c r="J280"/>
  <c r="M280"/>
  <c r="N280" s="1"/>
  <c r="V280"/>
  <c r="A281"/>
  <c r="B281" s="1"/>
  <c r="L280" l="1"/>
  <c r="W280"/>
  <c r="AC281"/>
  <c r="AA281"/>
  <c r="P281"/>
  <c r="Q281" s="1"/>
  <c r="R281" s="1"/>
  <c r="S281" s="1"/>
  <c r="AD281"/>
  <c r="Z281"/>
  <c r="T281" l="1"/>
  <c r="AG281" s="1"/>
  <c r="U280"/>
  <c r="Y279"/>
  <c r="D281" l="1"/>
  <c r="E281"/>
  <c r="H281" s="1"/>
  <c r="AH281"/>
  <c r="F281" l="1"/>
  <c r="G281"/>
  <c r="K281"/>
  <c r="AE281" s="1"/>
  <c r="I281" l="1"/>
  <c r="J281"/>
  <c r="M281"/>
  <c r="N281" s="1"/>
  <c r="V281"/>
  <c r="A282"/>
  <c r="B282" s="1"/>
  <c r="W281" l="1"/>
  <c r="L281"/>
  <c r="AC282"/>
  <c r="Z282"/>
  <c r="AD282"/>
  <c r="P282"/>
  <c r="Q282" s="1"/>
  <c r="R282" s="1"/>
  <c r="S282" s="1"/>
  <c r="AA282"/>
  <c r="U281" l="1"/>
  <c r="Y280"/>
  <c r="T282"/>
  <c r="D282" l="1"/>
  <c r="G282" s="1"/>
  <c r="E282"/>
  <c r="H282" s="1"/>
  <c r="AH282"/>
  <c r="AG282"/>
  <c r="F282" l="1"/>
  <c r="I282"/>
  <c r="J282"/>
  <c r="M282"/>
  <c r="N282" s="1"/>
  <c r="K282"/>
  <c r="AE282" s="1"/>
  <c r="V282" l="1"/>
  <c r="W282" s="1"/>
  <c r="A283"/>
  <c r="B283" s="1"/>
  <c r="L282"/>
  <c r="U282" l="1"/>
  <c r="Y281"/>
  <c r="Z283"/>
  <c r="AC283"/>
  <c r="AD283"/>
  <c r="P283"/>
  <c r="Q283" s="1"/>
  <c r="R283" s="1"/>
  <c r="S283" s="1"/>
  <c r="AA283"/>
  <c r="T283" l="1"/>
  <c r="AH283" s="1"/>
  <c r="AG283" l="1"/>
  <c r="E283"/>
  <c r="H283" s="1"/>
  <c r="K283" s="1"/>
  <c r="AE283" s="1"/>
  <c r="D283"/>
  <c r="F283" l="1"/>
  <c r="G283"/>
  <c r="J283" s="1"/>
  <c r="V283"/>
  <c r="A284"/>
  <c r="B284" s="1"/>
  <c r="M283" l="1"/>
  <c r="N283" s="1"/>
  <c r="I283"/>
  <c r="W283" s="1"/>
  <c r="L283"/>
  <c r="AC284"/>
  <c r="AA284"/>
  <c r="P284"/>
  <c r="Q284" s="1"/>
  <c r="R284" s="1"/>
  <c r="S284" s="1"/>
  <c r="Z284"/>
  <c r="T284" l="1"/>
  <c r="AH284" s="1"/>
  <c r="U283"/>
  <c r="Y282"/>
  <c r="AG284" l="1"/>
  <c r="D284"/>
  <c r="E284"/>
  <c r="H284" s="1"/>
  <c r="F284" l="1"/>
  <c r="G284"/>
  <c r="K284"/>
  <c r="AE284" s="1"/>
  <c r="V284" l="1"/>
  <c r="A285"/>
  <c r="B285" s="1"/>
  <c r="I284"/>
  <c r="J284"/>
  <c r="AD284" s="1"/>
  <c r="M284"/>
  <c r="N284" s="1"/>
  <c r="W284" l="1"/>
  <c r="L284"/>
  <c r="AD285"/>
  <c r="AA285"/>
  <c r="P285"/>
  <c r="Q285" s="1"/>
  <c r="R285" s="1"/>
  <c r="S285" s="1"/>
  <c r="Z285"/>
  <c r="AC285"/>
  <c r="U284" l="1"/>
  <c r="Y283"/>
  <c r="T285"/>
  <c r="E285" l="1"/>
  <c r="H285" s="1"/>
  <c r="K285" s="1"/>
  <c r="AE285" s="1"/>
  <c r="AH285"/>
  <c r="D285"/>
  <c r="G285" s="1"/>
  <c r="AG285"/>
  <c r="F285" l="1"/>
  <c r="V285"/>
  <c r="A286"/>
  <c r="B286" s="1"/>
  <c r="I285"/>
  <c r="J285"/>
  <c r="M285"/>
  <c r="N285" s="1"/>
  <c r="W285" l="1"/>
  <c r="L285"/>
  <c r="AA286"/>
  <c r="P286"/>
  <c r="Q286" s="1"/>
  <c r="R286" s="1"/>
  <c r="S286" s="1"/>
  <c r="AD286"/>
  <c r="AC286"/>
  <c r="Z286"/>
  <c r="T286" l="1"/>
  <c r="AH286" s="1"/>
  <c r="U285"/>
  <c r="Y284"/>
  <c r="D286" l="1"/>
  <c r="G286" s="1"/>
  <c r="AG286"/>
  <c r="E286"/>
  <c r="H286" s="1"/>
  <c r="F286" l="1"/>
  <c r="I286"/>
  <c r="J286"/>
  <c r="M286"/>
  <c r="N286" s="1"/>
  <c r="K286"/>
  <c r="AE286" s="1"/>
  <c r="V286" l="1"/>
  <c r="W286" s="1"/>
  <c r="A287"/>
  <c r="B287" s="1"/>
  <c r="L286"/>
  <c r="U286" l="1"/>
  <c r="Y285"/>
  <c r="P287"/>
  <c r="Q287" s="1"/>
  <c r="R287" s="1"/>
  <c r="S287" s="1"/>
  <c r="AA287"/>
  <c r="Z287"/>
  <c r="AD287"/>
  <c r="AC287"/>
  <c r="T287" l="1"/>
  <c r="D287" s="1"/>
  <c r="G287" l="1"/>
  <c r="AH287"/>
  <c r="AG287"/>
  <c r="E287"/>
  <c r="H287" s="1"/>
  <c r="F287" l="1"/>
  <c r="K287"/>
  <c r="AE287" s="1"/>
  <c r="I287"/>
  <c r="J287"/>
  <c r="M287"/>
  <c r="N287" s="1"/>
  <c r="L287" l="1"/>
  <c r="V287"/>
  <c r="W287" s="1"/>
  <c r="A288"/>
  <c r="B288" s="1"/>
  <c r="U287" l="1"/>
  <c r="Y286"/>
  <c r="P288"/>
  <c r="Q288" s="1"/>
  <c r="R288" s="1"/>
  <c r="S288" s="1"/>
  <c r="AA288"/>
  <c r="AC288"/>
  <c r="AD288"/>
  <c r="Z288"/>
  <c r="T288" l="1"/>
  <c r="D288" s="1"/>
  <c r="AG288" l="1"/>
  <c r="AH288"/>
  <c r="E288"/>
  <c r="H288" s="1"/>
  <c r="K288" s="1"/>
  <c r="AE288" s="1"/>
  <c r="G288"/>
  <c r="F288" l="1"/>
  <c r="I288"/>
  <c r="J288"/>
  <c r="M288"/>
  <c r="N288" s="1"/>
  <c r="V288"/>
  <c r="A289"/>
  <c r="B289" s="1"/>
  <c r="W288" l="1"/>
  <c r="L288"/>
  <c r="AD289"/>
  <c r="P289"/>
  <c r="Q289" s="1"/>
  <c r="R289" s="1"/>
  <c r="S289" s="1"/>
  <c r="AA289"/>
  <c r="AC289"/>
  <c r="Z289"/>
  <c r="T289" l="1"/>
  <c r="U288"/>
  <c r="Y287"/>
  <c r="E289" l="1"/>
  <c r="H289" s="1"/>
  <c r="K289" s="1"/>
  <c r="AE289" s="1"/>
  <c r="AH289"/>
  <c r="AG289"/>
  <c r="D289"/>
  <c r="V289" l="1"/>
  <c r="A290"/>
  <c r="B290" s="1"/>
  <c r="F289"/>
  <c r="G289"/>
  <c r="I289" l="1"/>
  <c r="W289" s="1"/>
  <c r="J289"/>
  <c r="M289"/>
  <c r="N289" s="1"/>
  <c r="AA290"/>
  <c r="AC290"/>
  <c r="Z290"/>
  <c r="P290"/>
  <c r="Q290" s="1"/>
  <c r="R290" s="1"/>
  <c r="S290" s="1"/>
  <c r="AD290"/>
  <c r="T290" l="1"/>
  <c r="L289"/>
  <c r="U289" l="1"/>
  <c r="E290" s="1"/>
  <c r="H290" s="1"/>
  <c r="AH290"/>
  <c r="AG290"/>
  <c r="Y288"/>
  <c r="D290" l="1"/>
  <c r="G290" s="1"/>
  <c r="K290"/>
  <c r="AE290" s="1"/>
  <c r="F290" l="1"/>
  <c r="I290"/>
  <c r="J290"/>
  <c r="M290"/>
  <c r="N290" s="1"/>
  <c r="V290"/>
  <c r="A291"/>
  <c r="B291" s="1"/>
  <c r="L290" l="1"/>
  <c r="W290"/>
  <c r="P291"/>
  <c r="Q291" s="1"/>
  <c r="R291" s="1"/>
  <c r="S291" s="1"/>
  <c r="AD291"/>
  <c r="Z291"/>
  <c r="AA291"/>
  <c r="AC291"/>
  <c r="U290" l="1"/>
  <c r="Y289"/>
  <c r="T291"/>
  <c r="AG291" s="1"/>
  <c r="D291" l="1"/>
  <c r="E291"/>
  <c r="H291" s="1"/>
  <c r="AH291"/>
  <c r="K291" l="1"/>
  <c r="AE291" s="1"/>
  <c r="F291"/>
  <c r="G291"/>
  <c r="I291" l="1"/>
  <c r="J291"/>
  <c r="M291"/>
  <c r="N291" s="1"/>
  <c r="V291"/>
  <c r="A292"/>
  <c r="B292" s="1"/>
  <c r="W291" l="1"/>
  <c r="L291"/>
  <c r="Z292"/>
  <c r="AC292"/>
  <c r="AD292"/>
  <c r="AA292"/>
  <c r="P292"/>
  <c r="Q292" s="1"/>
  <c r="R292" s="1"/>
  <c r="S292" s="1"/>
  <c r="U291" l="1"/>
  <c r="Y290"/>
  <c r="T292"/>
  <c r="E292" l="1"/>
  <c r="H292" s="1"/>
  <c r="K292" s="1"/>
  <c r="AE292" s="1"/>
  <c r="D292"/>
  <c r="AG292"/>
  <c r="AH292"/>
  <c r="V292" l="1"/>
  <c r="A293"/>
  <c r="B293" s="1"/>
  <c r="F292"/>
  <c r="G292"/>
  <c r="I292" l="1"/>
  <c r="W292" s="1"/>
  <c r="J292"/>
  <c r="M292"/>
  <c r="N292" s="1"/>
  <c r="Z293"/>
  <c r="AC293"/>
  <c r="AD293"/>
  <c r="P293"/>
  <c r="Q293" s="1"/>
  <c r="R293" s="1"/>
  <c r="S293" s="1"/>
  <c r="AA293"/>
  <c r="L292" l="1"/>
  <c r="T293"/>
  <c r="U292" l="1"/>
  <c r="E293" s="1"/>
  <c r="H293" s="1"/>
  <c r="AH293"/>
  <c r="AG293"/>
  <c r="Y291"/>
  <c r="K293" l="1"/>
  <c r="AE293" s="1"/>
  <c r="D293"/>
  <c r="V293" l="1"/>
  <c r="A294"/>
  <c r="B294" s="1"/>
  <c r="F293"/>
  <c r="G293"/>
  <c r="I293" l="1"/>
  <c r="W293" s="1"/>
  <c r="J293"/>
  <c r="M293"/>
  <c r="N293" s="1"/>
  <c r="AA294"/>
  <c r="P294"/>
  <c r="Q294" s="1"/>
  <c r="R294" s="1"/>
  <c r="S294" s="1"/>
  <c r="Z294"/>
  <c r="AC294"/>
  <c r="L293" l="1"/>
  <c r="T294"/>
  <c r="AG294" l="1"/>
  <c r="U293"/>
  <c r="E294" s="1"/>
  <c r="H294" s="1"/>
  <c r="AH294"/>
  <c r="Y292"/>
  <c r="D294" l="1"/>
  <c r="G294" s="1"/>
  <c r="K294"/>
  <c r="AE294" s="1"/>
  <c r="F294" l="1"/>
  <c r="I294"/>
  <c r="J294"/>
  <c r="AD294" s="1"/>
  <c r="M294"/>
  <c r="N294" s="1"/>
  <c r="V294"/>
  <c r="A295"/>
  <c r="B295" s="1"/>
  <c r="L294" l="1"/>
  <c r="W294"/>
  <c r="AA295"/>
  <c r="AD295"/>
  <c r="P295"/>
  <c r="Q295" s="1"/>
  <c r="R295" s="1"/>
  <c r="S295" s="1"/>
  <c r="AC295"/>
  <c r="Z295"/>
  <c r="U294" l="1"/>
  <c r="Y293"/>
  <c r="T295"/>
  <c r="AG295" s="1"/>
  <c r="D295" l="1"/>
  <c r="AH295"/>
  <c r="E295"/>
  <c r="H295" s="1"/>
  <c r="F295" l="1"/>
  <c r="G295"/>
  <c r="K295"/>
  <c r="AE295" s="1"/>
  <c r="V295" l="1"/>
  <c r="A296"/>
  <c r="B296" s="1"/>
  <c r="I295"/>
  <c r="J295"/>
  <c r="M295"/>
  <c r="N295" s="1"/>
  <c r="L295" l="1"/>
  <c r="AC296"/>
  <c r="Z296"/>
  <c r="AD296"/>
  <c r="P296"/>
  <c r="Q296" s="1"/>
  <c r="R296" s="1"/>
  <c r="S296" s="1"/>
  <c r="AA296"/>
  <c r="W295"/>
  <c r="T296" l="1"/>
  <c r="U295"/>
  <c r="Y294"/>
  <c r="D296" l="1"/>
  <c r="G296" s="1"/>
  <c r="AG296"/>
  <c r="AH296"/>
  <c r="E296"/>
  <c r="H296" s="1"/>
  <c r="F296" l="1"/>
  <c r="I296"/>
  <c r="J296"/>
  <c r="M296"/>
  <c r="N296" s="1"/>
  <c r="K296"/>
  <c r="AE296" s="1"/>
  <c r="V296" l="1"/>
  <c r="W296" s="1"/>
  <c r="A297"/>
  <c r="B297" s="1"/>
  <c r="L296"/>
  <c r="U296" l="1"/>
  <c r="Y295"/>
  <c r="AA297"/>
  <c r="P297"/>
  <c r="Q297" s="1"/>
  <c r="R297" s="1"/>
  <c r="S297" s="1"/>
  <c r="Z297"/>
  <c r="AC297"/>
  <c r="AD297"/>
  <c r="T297" l="1"/>
  <c r="E297" s="1"/>
  <c r="H297" s="1"/>
  <c r="D297" l="1"/>
  <c r="F297" s="1"/>
  <c r="AG297"/>
  <c r="K297"/>
  <c r="AE297" s="1"/>
  <c r="AH297"/>
  <c r="G297" l="1"/>
  <c r="M297" s="1"/>
  <c r="N297" s="1"/>
  <c r="V297"/>
  <c r="A298"/>
  <c r="B298" s="1"/>
  <c r="J297" l="1"/>
  <c r="L297" s="1"/>
  <c r="I297"/>
  <c r="W297" s="1"/>
  <c r="Z298"/>
  <c r="AD298"/>
  <c r="P298"/>
  <c r="Q298" s="1"/>
  <c r="R298" s="1"/>
  <c r="S298" s="1"/>
  <c r="AA298"/>
  <c r="AC298"/>
  <c r="T298" l="1"/>
  <c r="U297"/>
  <c r="Y296"/>
  <c r="E298" l="1"/>
  <c r="H298" s="1"/>
  <c r="K298" s="1"/>
  <c r="AE298" s="1"/>
  <c r="AH298"/>
  <c r="D298"/>
  <c r="AG298"/>
  <c r="F298" l="1"/>
  <c r="G298"/>
  <c r="V298"/>
  <c r="A299"/>
  <c r="B299" s="1"/>
  <c r="I298" l="1"/>
  <c r="W298" s="1"/>
  <c r="J298"/>
  <c r="M298"/>
  <c r="N298" s="1"/>
  <c r="Z299"/>
  <c r="AD299"/>
  <c r="P299"/>
  <c r="Q299" s="1"/>
  <c r="R299" s="1"/>
  <c r="S299" s="1"/>
  <c r="AA299"/>
  <c r="AC299"/>
  <c r="L298" l="1"/>
  <c r="T299"/>
  <c r="AG299" l="1"/>
  <c r="U298"/>
  <c r="E299" s="1"/>
  <c r="H299" s="1"/>
  <c r="AH299"/>
  <c r="Y297"/>
  <c r="D299" l="1"/>
  <c r="G299" s="1"/>
  <c r="K299"/>
  <c r="AE299" s="1"/>
  <c r="F299" l="1"/>
  <c r="I299"/>
  <c r="J299"/>
  <c r="M299"/>
  <c r="N299" s="1"/>
  <c r="V299"/>
  <c r="A300"/>
  <c r="B300" s="1"/>
  <c r="W299" l="1"/>
  <c r="L299"/>
  <c r="Z300"/>
  <c r="P300"/>
  <c r="Q300" s="1"/>
  <c r="R300" s="1"/>
  <c r="S300" s="1"/>
  <c r="AD300"/>
  <c r="AA300"/>
  <c r="AC300"/>
  <c r="U299" l="1"/>
  <c r="Y298"/>
  <c r="T300"/>
  <c r="E300" l="1"/>
  <c r="H300" s="1"/>
  <c r="K300" s="1"/>
  <c r="AE300" s="1"/>
  <c r="AH300"/>
  <c r="AG300"/>
  <c r="D300"/>
  <c r="F300" l="1"/>
  <c r="G300"/>
  <c r="V300"/>
  <c r="A301"/>
  <c r="B301" s="1"/>
  <c r="I300" l="1"/>
  <c r="W300" s="1"/>
  <c r="J300"/>
  <c r="M300"/>
  <c r="N300" s="1"/>
  <c r="AC301"/>
  <c r="Z301"/>
  <c r="AD301"/>
  <c r="AA301"/>
  <c r="P301"/>
  <c r="Q301" s="1"/>
  <c r="R301" s="1"/>
  <c r="S301" s="1"/>
  <c r="L300" l="1"/>
  <c r="T301"/>
  <c r="AH301" l="1"/>
  <c r="U300"/>
  <c r="D301" s="1"/>
  <c r="AG301"/>
  <c r="Y299"/>
  <c r="E301" l="1"/>
  <c r="H301" s="1"/>
  <c r="K301" s="1"/>
  <c r="AE301" s="1"/>
  <c r="G301"/>
  <c r="F301" l="1"/>
  <c r="I301"/>
  <c r="J301"/>
  <c r="M301"/>
  <c r="N301" s="1"/>
  <c r="V301"/>
  <c r="A302"/>
  <c r="B302" s="1"/>
  <c r="W301" l="1"/>
  <c r="L301"/>
  <c r="P302"/>
  <c r="Q302" s="1"/>
  <c r="R302" s="1"/>
  <c r="S302" s="1"/>
  <c r="AA302"/>
  <c r="AC302"/>
  <c r="AD302"/>
  <c r="Z302"/>
  <c r="U301" l="1"/>
  <c r="Y300"/>
  <c r="T302"/>
  <c r="AG302" s="1"/>
  <c r="AH302" l="1"/>
  <c r="D302"/>
  <c r="E302"/>
  <c r="H302" s="1"/>
  <c r="K302" s="1"/>
  <c r="AE302" s="1"/>
  <c r="F302" l="1"/>
  <c r="G302"/>
  <c r="M302" s="1"/>
  <c r="N302" s="1"/>
  <c r="V302"/>
  <c r="A303"/>
  <c r="B303" s="1"/>
  <c r="I302" l="1"/>
  <c r="W302" s="1"/>
  <c r="J302"/>
  <c r="L302" s="1"/>
  <c r="AD303"/>
  <c r="Z303"/>
  <c r="P303"/>
  <c r="Q303" s="1"/>
  <c r="R303" s="1"/>
  <c r="S303" s="1"/>
  <c r="AA303"/>
  <c r="AC303"/>
  <c r="T303" l="1"/>
  <c r="U302"/>
  <c r="Y301"/>
  <c r="E303" l="1"/>
  <c r="H303" s="1"/>
  <c r="K303" s="1"/>
  <c r="AE303" s="1"/>
  <c r="D303"/>
  <c r="G303" s="1"/>
  <c r="AH303"/>
  <c r="AG303"/>
  <c r="F303" l="1"/>
  <c r="I303"/>
  <c r="J303"/>
  <c r="M303"/>
  <c r="N303" s="1"/>
  <c r="V303"/>
  <c r="A304"/>
  <c r="B304" s="1"/>
  <c r="W303" l="1"/>
  <c r="L303"/>
  <c r="Z304"/>
  <c r="P304"/>
  <c r="Q304" s="1"/>
  <c r="R304" s="1"/>
  <c r="S304" s="1"/>
  <c r="AC304"/>
  <c r="AA304"/>
  <c r="U303" l="1"/>
  <c r="Y302"/>
  <c r="T304"/>
  <c r="AH304" s="1"/>
  <c r="AG304" l="1"/>
  <c r="D304"/>
  <c r="G304" s="1"/>
  <c r="E304"/>
  <c r="H304" s="1"/>
  <c r="K304" s="1"/>
  <c r="AE304" s="1"/>
  <c r="F304" l="1"/>
  <c r="I304"/>
  <c r="J304"/>
  <c r="AD304" s="1"/>
  <c r="M304"/>
  <c r="N304" s="1"/>
  <c r="V304"/>
  <c r="A305"/>
  <c r="B305" s="1"/>
  <c r="W304" l="1"/>
  <c r="L304"/>
  <c r="Z305"/>
  <c r="AA305"/>
  <c r="P305"/>
  <c r="Q305" s="1"/>
  <c r="R305" s="1"/>
  <c r="S305" s="1"/>
  <c r="AC305"/>
  <c r="AD305"/>
  <c r="U304" l="1"/>
  <c r="Y303"/>
  <c r="T305"/>
  <c r="AG305" s="1"/>
  <c r="AH305" l="1"/>
  <c r="E305"/>
  <c r="H305" s="1"/>
  <c r="K305" s="1"/>
  <c r="AE305" s="1"/>
  <c r="D305"/>
  <c r="V305" l="1"/>
  <c r="A306"/>
  <c r="B306" s="1"/>
  <c r="F305"/>
  <c r="G305"/>
  <c r="I305" l="1"/>
  <c r="W305" s="1"/>
  <c r="J305"/>
  <c r="M305"/>
  <c r="N305" s="1"/>
  <c r="AA306"/>
  <c r="Z306"/>
  <c r="P306"/>
  <c r="Q306" s="1"/>
  <c r="R306" s="1"/>
  <c r="S306" s="1"/>
  <c r="AC306"/>
  <c r="AD306"/>
  <c r="T306" l="1"/>
  <c r="L305"/>
  <c r="U305" l="1"/>
  <c r="E306" s="1"/>
  <c r="H306" s="1"/>
  <c r="AH306"/>
  <c r="AG306"/>
  <c r="Y304"/>
  <c r="D306" l="1"/>
  <c r="G306" s="1"/>
  <c r="K306"/>
  <c r="AE306" s="1"/>
  <c r="F306" l="1"/>
  <c r="I306"/>
  <c r="J306"/>
  <c r="M306"/>
  <c r="N306" s="1"/>
  <c r="V306"/>
  <c r="A307"/>
  <c r="B307" s="1"/>
  <c r="W306" l="1"/>
  <c r="L306"/>
  <c r="AC307"/>
  <c r="P307"/>
  <c r="Q307" s="1"/>
  <c r="R307" s="1"/>
  <c r="S307" s="1"/>
  <c r="AA307"/>
  <c r="Z307"/>
  <c r="AD307"/>
  <c r="T307" l="1"/>
  <c r="AH307" s="1"/>
  <c r="U306"/>
  <c r="Y305"/>
  <c r="D307" l="1"/>
  <c r="E307"/>
  <c r="H307" s="1"/>
  <c r="AG307"/>
  <c r="F307" l="1"/>
  <c r="G307"/>
  <c r="K307"/>
  <c r="AE307" s="1"/>
  <c r="I307" l="1"/>
  <c r="J307"/>
  <c r="M307"/>
  <c r="N307" s="1"/>
  <c r="V307"/>
  <c r="A308"/>
  <c r="B308" s="1"/>
  <c r="L307" l="1"/>
  <c r="Z308"/>
  <c r="AD308"/>
  <c r="AA308"/>
  <c r="P308"/>
  <c r="Q308" s="1"/>
  <c r="R308" s="1"/>
  <c r="S308" s="1"/>
  <c r="AC308"/>
  <c r="W307"/>
  <c r="T308" l="1"/>
  <c r="U307"/>
  <c r="Y306"/>
  <c r="E308" l="1"/>
  <c r="H308" s="1"/>
  <c r="K308" s="1"/>
  <c r="AE308" s="1"/>
  <c r="AH308"/>
  <c r="AG308"/>
  <c r="D308"/>
  <c r="F308" l="1"/>
  <c r="G308"/>
  <c r="V308"/>
  <c r="A309"/>
  <c r="B309" s="1"/>
  <c r="I308" l="1"/>
  <c r="W308" s="1"/>
  <c r="J308"/>
  <c r="M308"/>
  <c r="N308" s="1"/>
  <c r="AC309"/>
  <c r="AD309"/>
  <c r="P309"/>
  <c r="Q309" s="1"/>
  <c r="R309" s="1"/>
  <c r="S309" s="1"/>
  <c r="AA309"/>
  <c r="Z309"/>
  <c r="T309" l="1"/>
  <c r="L308"/>
  <c r="AG309" l="1"/>
  <c r="AH309"/>
  <c r="U308"/>
  <c r="E309" s="1"/>
  <c r="H309" s="1"/>
  <c r="Y307"/>
  <c r="D309" l="1"/>
  <c r="G309" s="1"/>
  <c r="K309"/>
  <c r="AE309" s="1"/>
  <c r="F309" l="1"/>
  <c r="V309"/>
  <c r="A310"/>
  <c r="B310" s="1"/>
  <c r="I309"/>
  <c r="J309"/>
  <c r="M309"/>
  <c r="N309" s="1"/>
  <c r="W309" l="1"/>
  <c r="L309"/>
  <c r="AC310"/>
  <c r="AD310"/>
  <c r="Z310"/>
  <c r="AA310"/>
  <c r="P310"/>
  <c r="Q310" s="1"/>
  <c r="R310" s="1"/>
  <c r="S310" s="1"/>
  <c r="T310" l="1"/>
  <c r="AH310" s="1"/>
  <c r="U309"/>
  <c r="Y308"/>
  <c r="AG310" l="1"/>
  <c r="E310"/>
  <c r="H310" s="1"/>
  <c r="D310"/>
  <c r="K310" l="1"/>
  <c r="AE310" s="1"/>
  <c r="F310"/>
  <c r="G310"/>
  <c r="I310" l="1"/>
  <c r="J310"/>
  <c r="M310"/>
  <c r="N310" s="1"/>
  <c r="V310"/>
  <c r="A311"/>
  <c r="B311" s="1"/>
  <c r="W310" l="1"/>
  <c r="L310"/>
  <c r="AA311"/>
  <c r="Z311"/>
  <c r="P311"/>
  <c r="Q311" s="1"/>
  <c r="R311" s="1"/>
  <c r="S311" s="1"/>
  <c r="AC311"/>
  <c r="AD311"/>
  <c r="T311" l="1"/>
  <c r="AH311" s="1"/>
  <c r="U310"/>
  <c r="Y309"/>
  <c r="D311" l="1"/>
  <c r="G311" s="1"/>
  <c r="E311"/>
  <c r="H311" s="1"/>
  <c r="AG311"/>
  <c r="I311" l="1"/>
  <c r="J311"/>
  <c r="M311"/>
  <c r="N311" s="1"/>
  <c r="K311"/>
  <c r="AE311" s="1"/>
  <c r="F311"/>
  <c r="V311" l="1"/>
  <c r="W311" s="1"/>
  <c r="A312"/>
  <c r="B312" s="1"/>
  <c r="L311"/>
  <c r="U311" l="1"/>
  <c r="Y310"/>
  <c r="AA312"/>
  <c r="Z312"/>
  <c r="AD312"/>
  <c r="P312"/>
  <c r="Q312" s="1"/>
  <c r="R312" s="1"/>
  <c r="S312" s="1"/>
  <c r="AC312"/>
  <c r="T312" l="1"/>
  <c r="AG312" s="1"/>
  <c r="E312" l="1"/>
  <c r="H312" s="1"/>
  <c r="K312" s="1"/>
  <c r="AE312" s="1"/>
  <c r="D312"/>
  <c r="AH312"/>
  <c r="V312" l="1"/>
  <c r="A313"/>
  <c r="B313" s="1"/>
  <c r="F312"/>
  <c r="G312"/>
  <c r="I312" l="1"/>
  <c r="W312" s="1"/>
  <c r="J312"/>
  <c r="M312"/>
  <c r="N312" s="1"/>
  <c r="Z313"/>
  <c r="AC313"/>
  <c r="P313"/>
  <c r="Q313" s="1"/>
  <c r="R313" s="1"/>
  <c r="S313" s="1"/>
  <c r="AD313"/>
  <c r="AA313"/>
  <c r="T313" l="1"/>
  <c r="L312"/>
  <c r="AG313" l="1"/>
  <c r="AH313"/>
  <c r="U312"/>
  <c r="D313" s="1"/>
  <c r="Y311"/>
  <c r="E313" l="1"/>
  <c r="H313" s="1"/>
  <c r="K313" s="1"/>
  <c r="AE313" s="1"/>
  <c r="G313"/>
  <c r="F313" l="1"/>
  <c r="I313"/>
  <c r="J313"/>
  <c r="M313"/>
  <c r="N313" s="1"/>
  <c r="V313"/>
  <c r="A314"/>
  <c r="B314" s="1"/>
  <c r="Z314" l="1"/>
  <c r="AC314"/>
  <c r="AA314"/>
  <c r="P314"/>
  <c r="Q314" s="1"/>
  <c r="R314" s="1"/>
  <c r="S314" s="1"/>
  <c r="L313"/>
  <c r="W313"/>
  <c r="U313" l="1"/>
  <c r="Y312"/>
  <c r="T314"/>
  <c r="D314" l="1"/>
  <c r="G314" s="1"/>
  <c r="AG314"/>
  <c r="AH314"/>
  <c r="E314"/>
  <c r="H314" s="1"/>
  <c r="F314" l="1"/>
  <c r="I314"/>
  <c r="J314"/>
  <c r="AD314" s="1"/>
  <c r="M314"/>
  <c r="N314" s="1"/>
  <c r="K314"/>
  <c r="AE314" s="1"/>
  <c r="V314" l="1"/>
  <c r="W314" s="1"/>
  <c r="A315"/>
  <c r="B315" s="1"/>
  <c r="L314"/>
  <c r="U314" l="1"/>
  <c r="Y313"/>
  <c r="Z315"/>
  <c r="P315"/>
  <c r="Q315" s="1"/>
  <c r="R315" s="1"/>
  <c r="S315" s="1"/>
  <c r="AD315"/>
  <c r="AA315"/>
  <c r="AC315"/>
  <c r="T315" l="1"/>
  <c r="D315" s="1"/>
  <c r="AH315" l="1"/>
  <c r="AG315"/>
  <c r="E315"/>
  <c r="H315" s="1"/>
  <c r="K315" s="1"/>
  <c r="AE315" s="1"/>
  <c r="G315"/>
  <c r="F315" l="1"/>
  <c r="I315"/>
  <c r="J315"/>
  <c r="M315"/>
  <c r="N315" s="1"/>
  <c r="V315"/>
  <c r="A316"/>
  <c r="B316" s="1"/>
  <c r="W315" l="1"/>
  <c r="L315"/>
  <c r="Z316"/>
  <c r="AC316"/>
  <c r="P316"/>
  <c r="Q316" s="1"/>
  <c r="R316" s="1"/>
  <c r="S316" s="1"/>
  <c r="AD316"/>
  <c r="AA316"/>
  <c r="U315" l="1"/>
  <c r="Y314"/>
  <c r="T316"/>
  <c r="AG316" s="1"/>
  <c r="D316" l="1"/>
  <c r="AH316"/>
  <c r="E316"/>
  <c r="H316" s="1"/>
  <c r="F316" l="1"/>
  <c r="G316"/>
  <c r="K316"/>
  <c r="AE316" s="1"/>
  <c r="V316" l="1"/>
  <c r="A317"/>
  <c r="B317" s="1"/>
  <c r="I316"/>
  <c r="J316"/>
  <c r="M316"/>
  <c r="N316" s="1"/>
  <c r="W316" l="1"/>
  <c r="L316"/>
  <c r="Z317"/>
  <c r="AA317"/>
  <c r="P317"/>
  <c r="Q317" s="1"/>
  <c r="R317" s="1"/>
  <c r="S317" s="1"/>
  <c r="AD317"/>
  <c r="AC317"/>
  <c r="T317" l="1"/>
  <c r="AG317" s="1"/>
  <c r="U316"/>
  <c r="Y315"/>
  <c r="E317" l="1"/>
  <c r="H317" s="1"/>
  <c r="K317" s="1"/>
  <c r="AE317" s="1"/>
  <c r="D317"/>
  <c r="AH317"/>
  <c r="V317" l="1"/>
  <c r="A318"/>
  <c r="B318" s="1"/>
  <c r="F317"/>
  <c r="G317"/>
  <c r="I317" l="1"/>
  <c r="W317" s="1"/>
  <c r="J317"/>
  <c r="M317"/>
  <c r="N317" s="1"/>
  <c r="AA318"/>
  <c r="P318"/>
  <c r="Q318" s="1"/>
  <c r="R318" s="1"/>
  <c r="S318" s="1"/>
  <c r="Z318"/>
  <c r="AC318"/>
  <c r="AD318"/>
  <c r="T318" l="1"/>
  <c r="L317"/>
  <c r="AH318" l="1"/>
  <c r="AG318"/>
  <c r="U317"/>
  <c r="E318" s="1"/>
  <c r="H318" s="1"/>
  <c r="Y316"/>
  <c r="K318" l="1"/>
  <c r="AE318" s="1"/>
  <c r="D318"/>
  <c r="V318" l="1"/>
  <c r="A319"/>
  <c r="B319" s="1"/>
  <c r="F318"/>
  <c r="G318"/>
  <c r="I318" l="1"/>
  <c r="W318" s="1"/>
  <c r="J318"/>
  <c r="M318"/>
  <c r="N318" s="1"/>
  <c r="Z319"/>
  <c r="AC319"/>
  <c r="P319"/>
  <c r="Q319" s="1"/>
  <c r="R319" s="1"/>
  <c r="S319" s="1"/>
  <c r="AD319"/>
  <c r="AA319"/>
  <c r="T319" l="1"/>
  <c r="L318"/>
  <c r="U318" l="1"/>
  <c r="E319" s="1"/>
  <c r="H319" s="1"/>
  <c r="AH319"/>
  <c r="AG319"/>
  <c r="Y317"/>
  <c r="D319" l="1"/>
  <c r="G319" s="1"/>
  <c r="K319"/>
  <c r="AE319" s="1"/>
  <c r="F319" l="1"/>
  <c r="V319"/>
  <c r="A320"/>
  <c r="B320" s="1"/>
  <c r="I319"/>
  <c r="J319"/>
  <c r="M319"/>
  <c r="N319" s="1"/>
  <c r="L319" l="1"/>
  <c r="W319"/>
  <c r="AA320"/>
  <c r="AC320"/>
  <c r="P320"/>
  <c r="Q320" s="1"/>
  <c r="R320" s="1"/>
  <c r="S320" s="1"/>
  <c r="Z320"/>
  <c r="AD320"/>
  <c r="U319" l="1"/>
  <c r="Y318"/>
  <c r="T320"/>
  <c r="AH320" s="1"/>
  <c r="D320" l="1"/>
  <c r="AG320"/>
  <c r="E320"/>
  <c r="H320" s="1"/>
  <c r="F320" l="1"/>
  <c r="G320"/>
  <c r="K320"/>
  <c r="AE320" s="1"/>
  <c r="I320" l="1"/>
  <c r="J320"/>
  <c r="M320"/>
  <c r="N320" s="1"/>
  <c r="V320"/>
  <c r="A321"/>
  <c r="B321" s="1"/>
  <c r="W320" l="1"/>
  <c r="L320"/>
  <c r="AC321"/>
  <c r="AA321"/>
  <c r="Z321"/>
  <c r="P321"/>
  <c r="Q321" s="1"/>
  <c r="R321" s="1"/>
  <c r="S321" s="1"/>
  <c r="AD321"/>
  <c r="U320" l="1"/>
  <c r="Y319"/>
  <c r="T321"/>
  <c r="D321" l="1"/>
  <c r="G321" s="1"/>
  <c r="AH321"/>
  <c r="E321"/>
  <c r="H321" s="1"/>
  <c r="AG321"/>
  <c r="F321" l="1"/>
  <c r="I321"/>
  <c r="J321"/>
  <c r="M321"/>
  <c r="N321" s="1"/>
  <c r="K321"/>
  <c r="AE321" s="1"/>
  <c r="V321" l="1"/>
  <c r="W321" s="1"/>
  <c r="A322"/>
  <c r="B322" s="1"/>
  <c r="L321"/>
  <c r="U321" l="1"/>
  <c r="Y320"/>
  <c r="P322"/>
  <c r="Q322" s="1"/>
  <c r="R322" s="1"/>
  <c r="S322" s="1"/>
  <c r="Z322"/>
  <c r="AC322"/>
  <c r="AD322"/>
  <c r="AA322"/>
  <c r="T322" l="1"/>
  <c r="AH322" s="1"/>
  <c r="E322" l="1"/>
  <c r="H322" s="1"/>
  <c r="K322" s="1"/>
  <c r="AE322" s="1"/>
  <c r="AG322"/>
  <c r="D322"/>
  <c r="V322" l="1"/>
  <c r="A323"/>
  <c r="B323" s="1"/>
  <c r="F322"/>
  <c r="G322"/>
  <c r="I322" l="1"/>
  <c r="W322" s="1"/>
  <c r="J322"/>
  <c r="M322"/>
  <c r="N322" s="1"/>
  <c r="P323"/>
  <c r="Q323" s="1"/>
  <c r="R323" s="1"/>
  <c r="S323" s="1"/>
  <c r="AA323"/>
  <c r="Z323"/>
  <c r="AD323"/>
  <c r="AC323"/>
  <c r="T323" l="1"/>
  <c r="L322"/>
  <c r="AH323" l="1"/>
  <c r="U322"/>
  <c r="D323" s="1"/>
  <c r="AG323"/>
  <c r="Y321"/>
  <c r="G323" l="1"/>
  <c r="E323"/>
  <c r="H323" s="1"/>
  <c r="F323" l="1"/>
  <c r="K323"/>
  <c r="AE323" s="1"/>
  <c r="I323"/>
  <c r="J323"/>
  <c r="M323"/>
  <c r="N323" s="1"/>
  <c r="L323" l="1"/>
  <c r="V323"/>
  <c r="W323" s="1"/>
  <c r="A324"/>
  <c r="B324" s="1"/>
  <c r="U323" l="1"/>
  <c r="Y322"/>
  <c r="Z324"/>
  <c r="P324"/>
  <c r="Q324" s="1"/>
  <c r="R324" s="1"/>
  <c r="S324" s="1"/>
  <c r="AA324"/>
  <c r="AC324"/>
  <c r="T324" l="1"/>
  <c r="AG324" s="1"/>
  <c r="E324" l="1"/>
  <c r="H324" s="1"/>
  <c r="K324" s="1"/>
  <c r="AE324" s="1"/>
  <c r="AH324"/>
  <c r="D324"/>
  <c r="V324" l="1"/>
  <c r="A325"/>
  <c r="B325" s="1"/>
  <c r="F324"/>
  <c r="G324"/>
  <c r="I324" l="1"/>
  <c r="W324" s="1"/>
  <c r="J324"/>
  <c r="AD324" s="1"/>
  <c r="M324"/>
  <c r="N324" s="1"/>
  <c r="P325"/>
  <c r="Q325" s="1"/>
  <c r="R325" s="1"/>
  <c r="S325" s="1"/>
  <c r="AC325"/>
  <c r="Z325"/>
  <c r="AA325"/>
  <c r="T325" l="1"/>
  <c r="L324"/>
  <c r="AG325" l="1"/>
  <c r="U324"/>
  <c r="D325" s="1"/>
  <c r="AH325"/>
  <c r="Y323"/>
  <c r="E325" l="1"/>
  <c r="H325" s="1"/>
  <c r="K325" s="1"/>
  <c r="AE325" s="1"/>
  <c r="G325"/>
  <c r="F325" l="1"/>
  <c r="V325"/>
  <c r="A326"/>
  <c r="B326" s="1"/>
  <c r="I325"/>
  <c r="J325"/>
  <c r="AD325" s="1"/>
  <c r="M325"/>
  <c r="N325" s="1"/>
  <c r="L325" l="1"/>
  <c r="W325"/>
  <c r="P326"/>
  <c r="Q326" s="1"/>
  <c r="R326" s="1"/>
  <c r="S326" s="1"/>
  <c r="AA326"/>
  <c r="AC326"/>
  <c r="Z326"/>
  <c r="U325" l="1"/>
  <c r="Y324"/>
  <c r="T326"/>
  <c r="AH326" s="1"/>
  <c r="E326" l="1"/>
  <c r="H326" s="1"/>
  <c r="K326" s="1"/>
  <c r="AE326" s="1"/>
  <c r="AG326"/>
  <c r="D326"/>
  <c r="G326" s="1"/>
  <c r="F326" l="1"/>
  <c r="I326"/>
  <c r="J326"/>
  <c r="AD326" s="1"/>
  <c r="M326"/>
  <c r="N326" s="1"/>
  <c r="V326"/>
  <c r="A327"/>
  <c r="B327" s="1"/>
  <c r="W326" l="1"/>
  <c r="L326"/>
  <c r="Z327"/>
  <c r="AA327"/>
  <c r="P327"/>
  <c r="Q327" s="1"/>
  <c r="R327" s="1"/>
  <c r="S327" s="1"/>
  <c r="AC327"/>
  <c r="U326" l="1"/>
  <c r="Y325"/>
  <c r="T327"/>
  <c r="AH327" s="1"/>
  <c r="E327" l="1"/>
  <c r="H327" s="1"/>
  <c r="K327" s="1"/>
  <c r="AE327" s="1"/>
  <c r="D327"/>
  <c r="AG327"/>
  <c r="F327" l="1"/>
  <c r="G327"/>
  <c r="M327" s="1"/>
  <c r="N327" s="1"/>
  <c r="V327"/>
  <c r="A328"/>
  <c r="B328" s="1"/>
  <c r="I327" l="1"/>
  <c r="W327" s="1"/>
  <c r="J327"/>
  <c r="Z328"/>
  <c r="P328"/>
  <c r="Q328" s="1"/>
  <c r="R328" s="1"/>
  <c r="S328" s="1"/>
  <c r="AA328"/>
  <c r="AC328"/>
  <c r="L327" l="1"/>
  <c r="U327" s="1"/>
  <c r="AD327"/>
  <c r="T328"/>
  <c r="AG328" l="1"/>
  <c r="Y326"/>
  <c r="AH328"/>
  <c r="E328"/>
  <c r="H328" s="1"/>
  <c r="K328" s="1"/>
  <c r="AE328" s="1"/>
  <c r="D328"/>
  <c r="V328" l="1"/>
  <c r="A329"/>
  <c r="B329" s="1"/>
  <c r="F328"/>
  <c r="G328"/>
  <c r="I328" l="1"/>
  <c r="W328" s="1"/>
  <c r="J328"/>
  <c r="AD328" s="1"/>
  <c r="M328"/>
  <c r="N328" s="1"/>
  <c r="P329"/>
  <c r="Q329" s="1"/>
  <c r="R329" s="1"/>
  <c r="S329" s="1"/>
  <c r="Z329"/>
  <c r="AC329"/>
  <c r="AA329"/>
  <c r="T329" l="1"/>
  <c r="L328"/>
  <c r="AH329" l="1"/>
  <c r="U328"/>
  <c r="D329" s="1"/>
  <c r="AG329"/>
  <c r="Y327"/>
  <c r="E329" l="1"/>
  <c r="H329" s="1"/>
  <c r="K329" s="1"/>
  <c r="AE329" s="1"/>
  <c r="G329"/>
  <c r="F329" l="1"/>
  <c r="I329"/>
  <c r="J329"/>
  <c r="AD329" s="1"/>
  <c r="M329"/>
  <c r="N329" s="1"/>
  <c r="V329"/>
  <c r="A330"/>
  <c r="B330" s="1"/>
  <c r="W329" l="1"/>
  <c r="L329"/>
  <c r="AA330"/>
  <c r="AC330"/>
  <c r="P330"/>
  <c r="Q330" s="1"/>
  <c r="R330" s="1"/>
  <c r="S330" s="1"/>
  <c r="Z330"/>
  <c r="U329" l="1"/>
  <c r="Y328"/>
  <c r="T330"/>
  <c r="AH330" s="1"/>
  <c r="AG330" l="1"/>
  <c r="E330"/>
  <c r="H330" s="1"/>
  <c r="D330"/>
  <c r="K330" l="1"/>
  <c r="AE330" s="1"/>
  <c r="F330"/>
  <c r="G330"/>
  <c r="I330" l="1"/>
  <c r="J330"/>
  <c r="AD330" s="1"/>
  <c r="M330"/>
  <c r="N330" s="1"/>
  <c r="V330"/>
  <c r="A331"/>
  <c r="B331" s="1"/>
  <c r="W330" l="1"/>
  <c r="L330"/>
  <c r="P331"/>
  <c r="Q331" s="1"/>
  <c r="R331" s="1"/>
  <c r="S331" s="1"/>
  <c r="AA331"/>
  <c r="AC331"/>
  <c r="Z331"/>
  <c r="U330" l="1"/>
  <c r="Y329"/>
  <c r="T331"/>
  <c r="D331" l="1"/>
  <c r="G331" s="1"/>
  <c r="AH331"/>
  <c r="AG331"/>
  <c r="E331"/>
  <c r="H331" s="1"/>
  <c r="F331" l="1"/>
  <c r="I331"/>
  <c r="J331"/>
  <c r="AD331" s="1"/>
  <c r="M331"/>
  <c r="N331" s="1"/>
  <c r="K331"/>
  <c r="AE331" s="1"/>
  <c r="V331" l="1"/>
  <c r="W331" s="1"/>
  <c r="A332"/>
  <c r="B332" s="1"/>
  <c r="L331"/>
  <c r="U331" l="1"/>
  <c r="Y330"/>
  <c r="AA332"/>
  <c r="Z332"/>
  <c r="AC332"/>
  <c r="P332"/>
  <c r="Q332" s="1"/>
  <c r="R332" s="1"/>
  <c r="S332" s="1"/>
  <c r="T332" l="1"/>
  <c r="AG332" s="1"/>
  <c r="E332" l="1"/>
  <c r="H332" s="1"/>
  <c r="K332" s="1"/>
  <c r="AE332" s="1"/>
  <c r="D332"/>
  <c r="AH332"/>
  <c r="V332" l="1"/>
  <c r="A333"/>
  <c r="B333" s="1"/>
  <c r="F332"/>
  <c r="G332"/>
  <c r="I332" l="1"/>
  <c r="W332" s="1"/>
  <c r="J332"/>
  <c r="AD332" s="1"/>
  <c r="M332"/>
  <c r="N332" s="1"/>
  <c r="AA333"/>
  <c r="P333"/>
  <c r="Q333" s="1"/>
  <c r="R333" s="1"/>
  <c r="S333" s="1"/>
  <c r="Z333"/>
  <c r="AC333"/>
  <c r="T333" l="1"/>
  <c r="L332"/>
  <c r="AH333" l="1"/>
  <c r="AG333"/>
  <c r="U332"/>
  <c r="D333" s="1"/>
  <c r="Y331"/>
  <c r="E333" l="1"/>
  <c r="H333" s="1"/>
  <c r="K333" s="1"/>
  <c r="AE333" s="1"/>
  <c r="G333"/>
  <c r="F333" l="1"/>
  <c r="I333"/>
  <c r="J333"/>
  <c r="AD333" s="1"/>
  <c r="M333"/>
  <c r="N333" s="1"/>
  <c r="V333"/>
  <c r="A334"/>
  <c r="B334" s="1"/>
  <c r="W333" l="1"/>
  <c r="L333"/>
  <c r="AA334"/>
  <c r="P334"/>
  <c r="Q334" s="1"/>
  <c r="R334" s="1"/>
  <c r="S334" s="1"/>
  <c r="Z334"/>
  <c r="AC334"/>
  <c r="T334" l="1"/>
  <c r="AH334" s="1"/>
  <c r="U333"/>
  <c r="Y332"/>
  <c r="D334" l="1"/>
  <c r="G334" s="1"/>
  <c r="E334"/>
  <c r="H334" s="1"/>
  <c r="AG334"/>
  <c r="F334" l="1"/>
  <c r="I334"/>
  <c r="J334"/>
  <c r="AD334" s="1"/>
  <c r="M334"/>
  <c r="N334" s="1"/>
  <c r="K334"/>
  <c r="AE334" s="1"/>
  <c r="L334" l="1"/>
  <c r="V334"/>
  <c r="W334" s="1"/>
  <c r="A335"/>
  <c r="B335" s="1"/>
  <c r="U334" l="1"/>
  <c r="Y333"/>
  <c r="AC335"/>
  <c r="P335"/>
  <c r="Q335" s="1"/>
  <c r="R335" s="1"/>
  <c r="S335" s="1"/>
  <c r="AA335"/>
  <c r="Z335"/>
  <c r="T335" l="1"/>
  <c r="AG335" s="1"/>
  <c r="AH335" l="1"/>
  <c r="D335"/>
  <c r="E335"/>
  <c r="H335" s="1"/>
  <c r="F335" l="1"/>
  <c r="G335"/>
  <c r="K335"/>
  <c r="AE335" s="1"/>
  <c r="I335" l="1"/>
  <c r="J335"/>
  <c r="AD335" s="1"/>
  <c r="M335"/>
  <c r="N335" s="1"/>
  <c r="V335"/>
  <c r="A336"/>
  <c r="B336" s="1"/>
  <c r="W335" l="1"/>
  <c r="L335"/>
  <c r="AA336"/>
  <c r="P336"/>
  <c r="Q336" s="1"/>
  <c r="R336" s="1"/>
  <c r="S336" s="1"/>
  <c r="AC336"/>
  <c r="Z336"/>
  <c r="T336" l="1"/>
  <c r="AG336" s="1"/>
  <c r="U335"/>
  <c r="Y334"/>
  <c r="E336" l="1"/>
  <c r="H336" s="1"/>
  <c r="D336"/>
  <c r="AH336"/>
  <c r="K336" l="1"/>
  <c r="AE336" s="1"/>
  <c r="F336"/>
  <c r="G336"/>
  <c r="I336" l="1"/>
  <c r="J336"/>
  <c r="AD336" s="1"/>
  <c r="M336"/>
  <c r="N336" s="1"/>
  <c r="V336"/>
  <c r="A337"/>
  <c r="B337" s="1"/>
  <c r="W336" l="1"/>
  <c r="P337"/>
  <c r="Q337" s="1"/>
  <c r="R337" s="1"/>
  <c r="S337" s="1"/>
  <c r="AC337"/>
  <c r="AA337"/>
  <c r="Z337"/>
  <c r="L336"/>
  <c r="T337" l="1"/>
  <c r="U336"/>
  <c r="Y335"/>
  <c r="E337" l="1"/>
  <c r="H337" s="1"/>
  <c r="K337" s="1"/>
  <c r="AE337" s="1"/>
  <c r="AH337"/>
  <c r="AG337"/>
  <c r="D337"/>
  <c r="V337" l="1"/>
  <c r="A338"/>
  <c r="B338" s="1"/>
  <c r="F337"/>
  <c r="G337"/>
  <c r="I337" l="1"/>
  <c r="W337" s="1"/>
  <c r="J337"/>
  <c r="AD337" s="1"/>
  <c r="M337"/>
  <c r="N337" s="1"/>
  <c r="P338"/>
  <c r="Q338" s="1"/>
  <c r="R338" s="1"/>
  <c r="S338" s="1"/>
  <c r="Z338"/>
  <c r="AC338"/>
  <c r="AA338"/>
  <c r="T338" l="1"/>
  <c r="L337"/>
  <c r="AH338" l="1"/>
  <c r="U337"/>
  <c r="E338" s="1"/>
  <c r="H338" s="1"/>
  <c r="AG338"/>
  <c r="Y336"/>
  <c r="D338" l="1"/>
  <c r="F338" s="1"/>
  <c r="K338"/>
  <c r="AE338" s="1"/>
  <c r="G338" l="1"/>
  <c r="M338" s="1"/>
  <c r="N338" s="1"/>
  <c r="V338"/>
  <c r="A339"/>
  <c r="B339" s="1"/>
  <c r="I338" l="1"/>
  <c r="W338" s="1"/>
  <c r="J338"/>
  <c r="Z339"/>
  <c r="P339"/>
  <c r="Q339" s="1"/>
  <c r="R339" s="1"/>
  <c r="S339" s="1"/>
  <c r="AA339"/>
  <c r="AC339"/>
  <c r="L338" l="1"/>
  <c r="U338" s="1"/>
  <c r="AD338"/>
  <c r="T339"/>
  <c r="Y337" l="1"/>
  <c r="AG339"/>
  <c r="AH339"/>
  <c r="E339"/>
  <c r="H339" s="1"/>
  <c r="D339"/>
  <c r="K339" l="1"/>
  <c r="AE339" s="1"/>
  <c r="F339"/>
  <c r="G339"/>
  <c r="V339" l="1"/>
  <c r="A340"/>
  <c r="B340" s="1"/>
  <c r="I339"/>
  <c r="J339"/>
  <c r="AD339" s="1"/>
  <c r="M339"/>
  <c r="N339" s="1"/>
  <c r="W339" l="1"/>
  <c r="L339"/>
  <c r="Z340"/>
  <c r="P340"/>
  <c r="Q340" s="1"/>
  <c r="R340" s="1"/>
  <c r="S340" s="1"/>
  <c r="AC340"/>
  <c r="AA340"/>
  <c r="T340" l="1"/>
  <c r="U339"/>
  <c r="Y338"/>
  <c r="D340" l="1"/>
  <c r="G340" s="1"/>
  <c r="E340"/>
  <c r="H340" s="1"/>
  <c r="K340" s="1"/>
  <c r="AE340" s="1"/>
  <c r="AH340"/>
  <c r="AG340"/>
  <c r="F340" l="1"/>
  <c r="V340"/>
  <c r="A341"/>
  <c r="B341" s="1"/>
  <c r="I340"/>
  <c r="J340"/>
  <c r="AD340" s="1"/>
  <c r="M340"/>
  <c r="N340" s="1"/>
  <c r="W340" l="1"/>
  <c r="L340"/>
  <c r="Z341"/>
  <c r="P341"/>
  <c r="Q341" s="1"/>
  <c r="R341" s="1"/>
  <c r="S341" s="1"/>
  <c r="AA341"/>
  <c r="AC341"/>
  <c r="U340" l="1"/>
  <c r="Y339"/>
  <c r="T341"/>
  <c r="AG341" s="1"/>
  <c r="D341" l="1"/>
  <c r="AH341"/>
  <c r="E341"/>
  <c r="H341" s="1"/>
  <c r="F341" l="1"/>
  <c r="G341"/>
  <c r="K341"/>
  <c r="AE341" s="1"/>
  <c r="I341" l="1"/>
  <c r="J341"/>
  <c r="AD341" s="1"/>
  <c r="M341"/>
  <c r="N341" s="1"/>
  <c r="V341"/>
  <c r="A342"/>
  <c r="B342" s="1"/>
  <c r="L341" l="1"/>
  <c r="W341"/>
  <c r="Z342"/>
  <c r="P342"/>
  <c r="Q342" s="1"/>
  <c r="R342" s="1"/>
  <c r="S342" s="1"/>
  <c r="AA342"/>
  <c r="AC342"/>
  <c r="U341" l="1"/>
  <c r="Y340"/>
  <c r="T342"/>
  <c r="D342" l="1"/>
  <c r="G342" s="1"/>
  <c r="AH342"/>
  <c r="E342"/>
  <c r="H342" s="1"/>
  <c r="AG342"/>
  <c r="F342" l="1"/>
  <c r="I342"/>
  <c r="J342"/>
  <c r="AD342" s="1"/>
  <c r="M342"/>
  <c r="N342" s="1"/>
  <c r="K342"/>
  <c r="AE342" s="1"/>
  <c r="V342" l="1"/>
  <c r="W342" s="1"/>
  <c r="A343"/>
  <c r="B343" s="1"/>
  <c r="L342"/>
  <c r="U342" l="1"/>
  <c r="Y341"/>
  <c r="P343"/>
  <c r="Q343" s="1"/>
  <c r="R343" s="1"/>
  <c r="S343" s="1"/>
  <c r="AA343"/>
  <c r="Z343"/>
  <c r="AC343"/>
  <c r="T343" l="1"/>
  <c r="D343" s="1"/>
  <c r="E343" l="1"/>
  <c r="H343" s="1"/>
  <c r="K343" s="1"/>
  <c r="AE343" s="1"/>
  <c r="G343"/>
  <c r="AG343"/>
  <c r="AH343"/>
  <c r="F343" l="1"/>
  <c r="I343"/>
  <c r="J343"/>
  <c r="AD343" s="1"/>
  <c r="M343"/>
  <c r="N343" s="1"/>
  <c r="V343"/>
  <c r="A344"/>
  <c r="B344" s="1"/>
  <c r="W343" l="1"/>
  <c r="L343"/>
  <c r="AA344"/>
  <c r="Z344"/>
  <c r="P344"/>
  <c r="Q344" s="1"/>
  <c r="R344" s="1"/>
  <c r="S344" s="1"/>
  <c r="AC344"/>
  <c r="U343" l="1"/>
  <c r="Y342"/>
  <c r="T344"/>
  <c r="AH344" s="1"/>
  <c r="AG344" l="1"/>
  <c r="E344"/>
  <c r="H344" s="1"/>
  <c r="D344"/>
  <c r="F344" l="1"/>
  <c r="G344"/>
  <c r="K344"/>
  <c r="AE344" s="1"/>
  <c r="I344" l="1"/>
  <c r="J344"/>
  <c r="AD344" s="1"/>
  <c r="M344"/>
  <c r="N344" s="1"/>
  <c r="V344"/>
  <c r="A345"/>
  <c r="B345" s="1"/>
  <c r="W344" l="1"/>
  <c r="P345"/>
  <c r="Q345" s="1"/>
  <c r="R345" s="1"/>
  <c r="S345" s="1"/>
  <c r="Z345"/>
  <c r="AC345"/>
  <c r="AD345"/>
  <c r="AA345"/>
  <c r="L344"/>
  <c r="T345" l="1"/>
  <c r="U344"/>
  <c r="Y343"/>
  <c r="E345" l="1"/>
  <c r="H345" s="1"/>
  <c r="K345" s="1"/>
  <c r="AE345" s="1"/>
  <c r="AH345"/>
  <c r="D345"/>
  <c r="AG345"/>
  <c r="F345" l="1"/>
  <c r="G345"/>
  <c r="V345"/>
  <c r="A346"/>
  <c r="B346" s="1"/>
  <c r="AD346" l="1"/>
  <c r="AC346"/>
  <c r="P346"/>
  <c r="Q346" s="1"/>
  <c r="R346" s="1"/>
  <c r="S346" s="1"/>
  <c r="AA346"/>
  <c r="Z346"/>
  <c r="I345"/>
  <c r="W345" s="1"/>
  <c r="J345"/>
  <c r="M345"/>
  <c r="N345" s="1"/>
  <c r="L345" l="1"/>
  <c r="T346"/>
  <c r="AH346" l="1"/>
  <c r="AG346"/>
  <c r="U345"/>
  <c r="D346" s="1"/>
  <c r="Y344"/>
  <c r="G346" l="1"/>
  <c r="E346"/>
  <c r="H346" s="1"/>
  <c r="F346" l="1"/>
  <c r="I346"/>
  <c r="J346"/>
  <c r="M346"/>
  <c r="N346" s="1"/>
  <c r="K346"/>
  <c r="AE346" s="1"/>
  <c r="V346" l="1"/>
  <c r="W346" s="1"/>
  <c r="A347"/>
  <c r="B347" s="1"/>
  <c r="L346"/>
  <c r="U346" l="1"/>
  <c r="Y345"/>
  <c r="AC347"/>
  <c r="Z347"/>
  <c r="AA347"/>
  <c r="P347"/>
  <c r="Q347" s="1"/>
  <c r="R347" s="1"/>
  <c r="S347" s="1"/>
  <c r="AD347"/>
  <c r="T347" l="1"/>
  <c r="E347" s="1"/>
  <c r="H347" s="1"/>
  <c r="K347" l="1"/>
  <c r="AE347" s="1"/>
  <c r="AH347"/>
  <c r="AG347"/>
  <c r="D347"/>
  <c r="F347" l="1"/>
  <c r="G347"/>
  <c r="V347"/>
  <c r="A348"/>
  <c r="B348" s="1"/>
  <c r="I347" l="1"/>
  <c r="W347" s="1"/>
  <c r="J347"/>
  <c r="M347"/>
  <c r="N347" s="1"/>
  <c r="AC348"/>
  <c r="AA348"/>
  <c r="P348"/>
  <c r="Q348" s="1"/>
  <c r="R348" s="1"/>
  <c r="S348" s="1"/>
  <c r="AD348"/>
  <c r="Z348"/>
  <c r="L347" l="1"/>
  <c r="T348"/>
  <c r="U347" l="1"/>
  <c r="D348" s="1"/>
  <c r="AH348"/>
  <c r="AG348"/>
  <c r="Y346"/>
  <c r="E348" l="1"/>
  <c r="H348" s="1"/>
  <c r="K348" s="1"/>
  <c r="AE348" s="1"/>
  <c r="G348"/>
  <c r="F348" l="1"/>
  <c r="I348"/>
  <c r="J348"/>
  <c r="M348"/>
  <c r="N348" s="1"/>
  <c r="V348"/>
  <c r="A349"/>
  <c r="B349" s="1"/>
  <c r="W348" l="1"/>
  <c r="L348"/>
  <c r="AC349"/>
  <c r="P349"/>
  <c r="Q349" s="1"/>
  <c r="R349" s="1"/>
  <c r="S349" s="1"/>
  <c r="AA349"/>
  <c r="Z349"/>
  <c r="AD349"/>
  <c r="U348" l="1"/>
  <c r="Y347"/>
  <c r="T349"/>
  <c r="AG349" s="1"/>
  <c r="E349" l="1"/>
  <c r="H349" s="1"/>
  <c r="K349" s="1"/>
  <c r="AE349" s="1"/>
  <c r="D349"/>
  <c r="AH349"/>
  <c r="V349" l="1"/>
  <c r="A350"/>
  <c r="B350" s="1"/>
  <c r="F349"/>
  <c r="G349"/>
  <c r="I349" l="1"/>
  <c r="W349" s="1"/>
  <c r="J349"/>
  <c r="M349"/>
  <c r="N349" s="1"/>
  <c r="AD350"/>
  <c r="P350"/>
  <c r="Q350" s="1"/>
  <c r="R350" s="1"/>
  <c r="S350" s="1"/>
  <c r="Z350"/>
  <c r="AC350"/>
  <c r="AA350"/>
  <c r="T350" l="1"/>
  <c r="L349"/>
  <c r="U349" l="1"/>
  <c r="D350" s="1"/>
  <c r="AG350"/>
  <c r="AH350"/>
  <c r="Y348"/>
  <c r="E350" l="1"/>
  <c r="H350" s="1"/>
  <c r="K350" s="1"/>
  <c r="AE350" s="1"/>
  <c r="G350"/>
  <c r="F350" l="1"/>
  <c r="V350"/>
  <c r="A351"/>
  <c r="B351" s="1"/>
  <c r="I350"/>
  <c r="J350"/>
  <c r="M350"/>
  <c r="N350" s="1"/>
  <c r="W350" l="1"/>
  <c r="L350"/>
  <c r="AA351"/>
  <c r="P351"/>
  <c r="Q351" s="1"/>
  <c r="R351" s="1"/>
  <c r="S351" s="1"/>
  <c r="Z351"/>
  <c r="AC351"/>
  <c r="AD351"/>
  <c r="U350" l="1"/>
  <c r="Y349"/>
  <c r="T351"/>
  <c r="D351" l="1"/>
  <c r="G351" s="1"/>
  <c r="AH351"/>
  <c r="E351"/>
  <c r="H351" s="1"/>
  <c r="K351" s="1"/>
  <c r="AE351" s="1"/>
  <c r="AG351"/>
  <c r="F351" l="1"/>
  <c r="V351"/>
  <c r="A352"/>
  <c r="B352" s="1"/>
  <c r="I351"/>
  <c r="J351"/>
  <c r="M351"/>
  <c r="N351" s="1"/>
  <c r="L351" l="1"/>
  <c r="W351"/>
  <c r="AC352"/>
  <c r="AD352"/>
  <c r="P352"/>
  <c r="Q352" s="1"/>
  <c r="R352" s="1"/>
  <c r="S352" s="1"/>
  <c r="AA352"/>
  <c r="Z352"/>
  <c r="U351" l="1"/>
  <c r="Y350"/>
  <c r="T352"/>
  <c r="E352" l="1"/>
  <c r="H352" s="1"/>
  <c r="K352" s="1"/>
  <c r="AE352" s="1"/>
  <c r="AH352"/>
  <c r="D352"/>
  <c r="AG352"/>
  <c r="F352" l="1"/>
  <c r="G352"/>
  <c r="V352"/>
  <c r="A353"/>
  <c r="B353" s="1"/>
  <c r="AC353" l="1"/>
  <c r="AD353"/>
  <c r="AA353"/>
  <c r="P353"/>
  <c r="Q353" s="1"/>
  <c r="R353" s="1"/>
  <c r="S353" s="1"/>
  <c r="Z353"/>
  <c r="I352"/>
  <c r="W352" s="1"/>
  <c r="J352"/>
  <c r="M352"/>
  <c r="N352" s="1"/>
  <c r="T353" l="1"/>
  <c r="L352"/>
  <c r="U352" l="1"/>
  <c r="D353" s="1"/>
  <c r="AH353"/>
  <c r="AG353"/>
  <c r="Y351"/>
  <c r="E353" l="1"/>
  <c r="H353" s="1"/>
  <c r="K353" s="1"/>
  <c r="AE353" s="1"/>
  <c r="G353"/>
  <c r="F353" l="1"/>
  <c r="I353"/>
  <c r="J353"/>
  <c r="M353"/>
  <c r="N353" s="1"/>
  <c r="V353"/>
  <c r="A354"/>
  <c r="B354" s="1"/>
  <c r="W353" l="1"/>
  <c r="L353"/>
  <c r="P354"/>
  <c r="Q354" s="1"/>
  <c r="R354" s="1"/>
  <c r="S354" s="1"/>
  <c r="AC354"/>
  <c r="Z354"/>
  <c r="AA354"/>
  <c r="U353" l="1"/>
  <c r="Y352"/>
  <c r="T354"/>
  <c r="AG354" s="1"/>
  <c r="D354" l="1"/>
  <c r="AH354"/>
  <c r="E354"/>
  <c r="H354" s="1"/>
  <c r="F354" l="1"/>
  <c r="G354"/>
  <c r="K354"/>
  <c r="AE354" s="1"/>
  <c r="V354" l="1"/>
  <c r="A355"/>
  <c r="B355" s="1"/>
  <c r="I354"/>
  <c r="J354"/>
  <c r="AD354" s="1"/>
  <c r="M354"/>
  <c r="N354" s="1"/>
  <c r="W354" l="1"/>
  <c r="L354"/>
  <c r="AA355"/>
  <c r="AC355"/>
  <c r="Z355"/>
  <c r="P355"/>
  <c r="Q355" s="1"/>
  <c r="R355" s="1"/>
  <c r="S355" s="1"/>
  <c r="T355" l="1"/>
  <c r="U354"/>
  <c r="Y353"/>
  <c r="D355" l="1"/>
  <c r="G355" s="1"/>
  <c r="AG355"/>
  <c r="E355"/>
  <c r="H355" s="1"/>
  <c r="K355" s="1"/>
  <c r="AE355" s="1"/>
  <c r="AH355"/>
  <c r="F355" l="1"/>
  <c r="V355"/>
  <c r="A356"/>
  <c r="B356" s="1"/>
  <c r="I355"/>
  <c r="J355"/>
  <c r="AD355" s="1"/>
  <c r="M355"/>
  <c r="N355" s="1"/>
  <c r="W355" l="1"/>
  <c r="L355"/>
  <c r="P356"/>
  <c r="Q356" s="1"/>
  <c r="R356" s="1"/>
  <c r="S356" s="1"/>
  <c r="AA356"/>
  <c r="Z356"/>
  <c r="AC356"/>
  <c r="U355" l="1"/>
  <c r="Y354"/>
  <c r="T356"/>
  <c r="AG356" s="1"/>
  <c r="AH356" l="1"/>
  <c r="D356"/>
  <c r="E356"/>
  <c r="H356" s="1"/>
  <c r="K356" s="1"/>
  <c r="AE356" s="1"/>
  <c r="F356" l="1"/>
  <c r="G356"/>
  <c r="M356" s="1"/>
  <c r="N356" s="1"/>
  <c r="V356"/>
  <c r="A357"/>
  <c r="B357" s="1"/>
  <c r="I356" l="1"/>
  <c r="W356" s="1"/>
  <c r="J356"/>
  <c r="Z357"/>
  <c r="P357"/>
  <c r="Q357" s="1"/>
  <c r="R357" s="1"/>
  <c r="S357" s="1"/>
  <c r="AC357"/>
  <c r="AA357"/>
  <c r="L356" l="1"/>
  <c r="U356" s="1"/>
  <c r="AD356"/>
  <c r="T357"/>
  <c r="Y355" l="1"/>
  <c r="AG357"/>
  <c r="AH357"/>
  <c r="E357"/>
  <c r="H357" s="1"/>
  <c r="D357"/>
  <c r="F357" l="1"/>
  <c r="G357"/>
  <c r="K357"/>
  <c r="AE357" s="1"/>
  <c r="V357" l="1"/>
  <c r="A358"/>
  <c r="B358" s="1"/>
  <c r="I357"/>
  <c r="J357"/>
  <c r="AD357" s="1"/>
  <c r="M357"/>
  <c r="N357" s="1"/>
  <c r="W357" l="1"/>
  <c r="L357"/>
  <c r="P358"/>
  <c r="Q358" s="1"/>
  <c r="R358" s="1"/>
  <c r="S358" s="1"/>
  <c r="Z358"/>
  <c r="AA358"/>
  <c r="AC358"/>
  <c r="T358" l="1"/>
  <c r="AH358" s="1"/>
  <c r="U357"/>
  <c r="Y356"/>
  <c r="D358" l="1"/>
  <c r="G358" s="1"/>
  <c r="E358"/>
  <c r="H358" s="1"/>
  <c r="AG358"/>
  <c r="I358" l="1"/>
  <c r="J358"/>
  <c r="AD358" s="1"/>
  <c r="M358"/>
  <c r="N358" s="1"/>
  <c r="F358"/>
  <c r="K358"/>
  <c r="AE358" s="1"/>
  <c r="V358" l="1"/>
  <c r="W358" s="1"/>
  <c r="A359"/>
  <c r="B359" s="1"/>
  <c r="L358"/>
  <c r="U358" l="1"/>
  <c r="Y357"/>
  <c r="P359"/>
  <c r="Q359" s="1"/>
  <c r="R359" s="1"/>
  <c r="S359" s="1"/>
  <c r="AC359"/>
  <c r="AA359"/>
  <c r="Z359"/>
  <c r="T359" l="1"/>
  <c r="AG359" s="1"/>
  <c r="AH359" l="1"/>
  <c r="E359"/>
  <c r="H359" s="1"/>
  <c r="D359"/>
  <c r="K359" l="1"/>
  <c r="AE359" s="1"/>
  <c r="F359"/>
  <c r="G359"/>
  <c r="I359" l="1"/>
  <c r="J359"/>
  <c r="AD359" s="1"/>
  <c r="M359"/>
  <c r="N359" s="1"/>
  <c r="V359"/>
  <c r="A360"/>
  <c r="B360" s="1"/>
  <c r="W359" l="1"/>
  <c r="L359"/>
  <c r="AC360"/>
  <c r="AA360"/>
  <c r="P360"/>
  <c r="Q360" s="1"/>
  <c r="R360" s="1"/>
  <c r="S360" s="1"/>
  <c r="Z360"/>
  <c r="T360" l="1"/>
  <c r="AH360" s="1"/>
  <c r="U359"/>
  <c r="Y358"/>
  <c r="E360" l="1"/>
  <c r="H360" s="1"/>
  <c r="K360" s="1"/>
  <c r="AE360" s="1"/>
  <c r="AG360"/>
  <c r="D360"/>
  <c r="F360" l="1"/>
  <c r="G360"/>
  <c r="V360"/>
  <c r="A361"/>
  <c r="B361" s="1"/>
  <c r="Z361" l="1"/>
  <c r="P361"/>
  <c r="Q361" s="1"/>
  <c r="R361" s="1"/>
  <c r="S361" s="1"/>
  <c r="AC361"/>
  <c r="AA361"/>
  <c r="I360"/>
  <c r="W360" s="1"/>
  <c r="J360"/>
  <c r="AD360" s="1"/>
  <c r="M360"/>
  <c r="N360" s="1"/>
  <c r="T361" l="1"/>
  <c r="L360"/>
  <c r="AG361" l="1"/>
  <c r="AH361"/>
  <c r="U360"/>
  <c r="E361" s="1"/>
  <c r="H361" s="1"/>
  <c r="Y359"/>
  <c r="D361" l="1"/>
  <c r="G361" s="1"/>
  <c r="K361"/>
  <c r="AE361" s="1"/>
  <c r="F361" l="1"/>
  <c r="I361"/>
  <c r="J361"/>
  <c r="AD361" s="1"/>
  <c r="M361"/>
  <c r="N361" s="1"/>
  <c r="V361"/>
  <c r="A362"/>
  <c r="B362" s="1"/>
  <c r="W361" l="1"/>
  <c r="L361"/>
  <c r="AC362"/>
  <c r="Z362"/>
  <c r="P362"/>
  <c r="Q362" s="1"/>
  <c r="R362" s="1"/>
  <c r="S362" s="1"/>
  <c r="AA362"/>
  <c r="U361" l="1"/>
  <c r="Y360"/>
  <c r="T362"/>
  <c r="AH362" s="1"/>
  <c r="D362" l="1"/>
  <c r="G362" s="1"/>
  <c r="E362"/>
  <c r="H362" s="1"/>
  <c r="K362" s="1"/>
  <c r="AE362" s="1"/>
  <c r="AG362"/>
  <c r="F362" l="1"/>
  <c r="I362"/>
  <c r="J362"/>
  <c r="AD362" s="1"/>
  <c r="M362"/>
  <c r="N362" s="1"/>
  <c r="V362"/>
  <c r="A363"/>
  <c r="B363" s="1"/>
  <c r="W362" l="1"/>
  <c r="L362"/>
  <c r="P363"/>
  <c r="Q363" s="1"/>
  <c r="R363" s="1"/>
  <c r="S363" s="1"/>
  <c r="AA363"/>
  <c r="Z363"/>
  <c r="AC363"/>
  <c r="T363" l="1"/>
  <c r="U362"/>
  <c r="Y361"/>
  <c r="E363" l="1"/>
  <c r="H363" s="1"/>
  <c r="K363" s="1"/>
  <c r="AE363" s="1"/>
  <c r="AH363"/>
  <c r="D363"/>
  <c r="AG363"/>
  <c r="F363" l="1"/>
  <c r="G363"/>
  <c r="M363" s="1"/>
  <c r="N363" s="1"/>
  <c r="V363"/>
  <c r="A364"/>
  <c r="B364" s="1"/>
  <c r="I363" l="1"/>
  <c r="W363" s="1"/>
  <c r="J363"/>
  <c r="P364"/>
  <c r="Q364" s="1"/>
  <c r="R364" s="1"/>
  <c r="S364" s="1"/>
  <c r="Z364"/>
  <c r="AC364"/>
  <c r="AA364"/>
  <c r="L363" l="1"/>
  <c r="U363" s="1"/>
  <c r="AD363"/>
  <c r="T364"/>
  <c r="Y362" l="1"/>
  <c r="D364"/>
  <c r="G364" s="1"/>
  <c r="E364"/>
  <c r="H364" s="1"/>
  <c r="K364" s="1"/>
  <c r="AE364" s="1"/>
  <c r="AG364"/>
  <c r="AH364"/>
  <c r="F364" l="1"/>
  <c r="V364"/>
  <c r="A365"/>
  <c r="B365" s="1"/>
  <c r="I364"/>
  <c r="J364"/>
  <c r="AD364" s="1"/>
  <c r="M364"/>
  <c r="N364" s="1"/>
  <c r="W364" l="1"/>
  <c r="L364"/>
  <c r="AC365"/>
  <c r="P365"/>
  <c r="Q365" s="1"/>
  <c r="R365" s="1"/>
  <c r="S365" s="1"/>
  <c r="AA365"/>
  <c r="AD365"/>
  <c r="Z365"/>
  <c r="U364" l="1"/>
  <c r="Y363"/>
  <c r="T365"/>
  <c r="AH365" s="1"/>
  <c r="D365" l="1"/>
  <c r="G365" s="1"/>
  <c r="AG365"/>
  <c r="E365"/>
  <c r="H365" s="1"/>
  <c r="K365" s="1"/>
  <c r="AE365" s="1"/>
  <c r="F365" l="1"/>
  <c r="I365"/>
  <c r="J365"/>
  <c r="M365"/>
  <c r="N365" s="1"/>
  <c r="V365"/>
  <c r="A366"/>
  <c r="B366" s="1"/>
  <c r="W365" l="1"/>
  <c r="L365"/>
  <c r="AC366"/>
  <c r="AD366"/>
  <c r="P366"/>
  <c r="Q366" s="1"/>
  <c r="R366" s="1"/>
  <c r="S366" s="1"/>
  <c r="AA366"/>
  <c r="Z366"/>
  <c r="U365" l="1"/>
  <c r="Y364"/>
  <c r="T366"/>
  <c r="E366" l="1"/>
  <c r="H366" s="1"/>
  <c r="K366" s="1"/>
  <c r="AE366" s="1"/>
  <c r="AH366"/>
  <c r="D366"/>
  <c r="G366" s="1"/>
  <c r="AG366"/>
  <c r="F366" l="1"/>
  <c r="V366"/>
  <c r="A367"/>
  <c r="B367" s="1"/>
  <c r="I366"/>
  <c r="J366"/>
  <c r="M366"/>
  <c r="N366" s="1"/>
  <c r="W366" l="1"/>
  <c r="L366"/>
  <c r="Z367"/>
  <c r="P367"/>
  <c r="Q367" s="1"/>
  <c r="R367" s="1"/>
  <c r="S367" s="1"/>
  <c r="AC367"/>
  <c r="AD367"/>
  <c r="AA367"/>
  <c r="T367" l="1"/>
  <c r="AG367" s="1"/>
  <c r="U366"/>
  <c r="Y365"/>
  <c r="D367" l="1"/>
  <c r="AH367"/>
  <c r="E367"/>
  <c r="H367" s="1"/>
  <c r="F367" l="1"/>
  <c r="G367"/>
  <c r="K367"/>
  <c r="AE367" s="1"/>
  <c r="I367" l="1"/>
  <c r="J367"/>
  <c r="M367"/>
  <c r="N367" s="1"/>
  <c r="V367"/>
  <c r="A368"/>
  <c r="B368" s="1"/>
  <c r="L367" l="1"/>
  <c r="W367"/>
  <c r="Z368"/>
  <c r="P368"/>
  <c r="Q368" s="1"/>
  <c r="R368" s="1"/>
  <c r="S368" s="1"/>
  <c r="AD368"/>
  <c r="AC368"/>
  <c r="AA368"/>
  <c r="T368" l="1"/>
  <c r="AH368" s="1"/>
  <c r="U367"/>
  <c r="Y366"/>
  <c r="E368" l="1"/>
  <c r="H368" s="1"/>
  <c r="K368" s="1"/>
  <c r="AE368" s="1"/>
  <c r="D368"/>
  <c r="AG368"/>
  <c r="V368" l="1"/>
  <c r="A369"/>
  <c r="B369" s="1"/>
  <c r="F368"/>
  <c r="G368"/>
  <c r="I368" l="1"/>
  <c r="W368" s="1"/>
  <c r="J368"/>
  <c r="M368"/>
  <c r="N368" s="1"/>
  <c r="AD369"/>
  <c r="Z369"/>
  <c r="AC369"/>
  <c r="P369"/>
  <c r="Q369" s="1"/>
  <c r="R369" s="1"/>
  <c r="S369" s="1"/>
  <c r="AA369"/>
  <c r="T369" l="1"/>
  <c r="L368"/>
  <c r="AH369" l="1"/>
  <c r="AG369"/>
  <c r="U368"/>
  <c r="E369" s="1"/>
  <c r="H369" s="1"/>
  <c r="Y367"/>
  <c r="D369" l="1"/>
  <c r="F369" s="1"/>
  <c r="K369"/>
  <c r="AE369" s="1"/>
  <c r="G369" l="1"/>
  <c r="M369" s="1"/>
  <c r="N369" s="1"/>
  <c r="V369"/>
  <c r="A370"/>
  <c r="B370" s="1"/>
  <c r="J369" l="1"/>
  <c r="L369" s="1"/>
  <c r="I369"/>
  <c r="W369" s="1"/>
  <c r="AD370"/>
  <c r="AA370"/>
  <c r="P370"/>
  <c r="Q370" s="1"/>
  <c r="R370" s="1"/>
  <c r="S370" s="1"/>
  <c r="AC370"/>
  <c r="Z370"/>
  <c r="U369" l="1"/>
  <c r="Y368"/>
  <c r="T370"/>
  <c r="AG370" s="1"/>
  <c r="E370" l="1"/>
  <c r="H370" s="1"/>
  <c r="K370" s="1"/>
  <c r="AE370" s="1"/>
  <c r="AH370"/>
  <c r="D370"/>
  <c r="F370" l="1"/>
  <c r="G370"/>
  <c r="M370" s="1"/>
  <c r="N370" s="1"/>
  <c r="V370"/>
  <c r="A371"/>
  <c r="B371" s="1"/>
  <c r="I370" l="1"/>
  <c r="W370" s="1"/>
  <c r="J370"/>
  <c r="L370" s="1"/>
  <c r="AD371"/>
  <c r="AC371"/>
  <c r="P371"/>
  <c r="Q371" s="1"/>
  <c r="R371" s="1"/>
  <c r="S371" s="1"/>
  <c r="AA371"/>
  <c r="Z371"/>
  <c r="T371" l="1"/>
  <c r="AG371" s="1"/>
  <c r="U370"/>
  <c r="Y369"/>
  <c r="E371" l="1"/>
  <c r="H371" s="1"/>
  <c r="K371" s="1"/>
  <c r="AE371" s="1"/>
  <c r="D371"/>
  <c r="AH371"/>
  <c r="V371" l="1"/>
  <c r="A372"/>
  <c r="B372" s="1"/>
  <c r="F371"/>
  <c r="G371"/>
  <c r="I371" l="1"/>
  <c r="W371" s="1"/>
  <c r="J371"/>
  <c r="M371"/>
  <c r="N371" s="1"/>
  <c r="P372"/>
  <c r="Q372" s="1"/>
  <c r="R372" s="1"/>
  <c r="S372" s="1"/>
  <c r="AA372"/>
  <c r="AC372"/>
  <c r="Z372"/>
  <c r="AD372"/>
  <c r="L371" l="1"/>
  <c r="T372"/>
  <c r="U371" l="1"/>
  <c r="E372" s="1"/>
  <c r="H372" s="1"/>
  <c r="AG372"/>
  <c r="AH372"/>
  <c r="Y370"/>
  <c r="D372" l="1"/>
  <c r="F372" s="1"/>
  <c r="K372"/>
  <c r="AE372" s="1"/>
  <c r="G372" l="1"/>
  <c r="M372" s="1"/>
  <c r="N372" s="1"/>
  <c r="V372"/>
  <c r="A373"/>
  <c r="B373" s="1"/>
  <c r="J372" l="1"/>
  <c r="L372" s="1"/>
  <c r="I372"/>
  <c r="W372" s="1"/>
  <c r="AD373"/>
  <c r="Z373"/>
  <c r="AC373"/>
  <c r="P373"/>
  <c r="Q373" s="1"/>
  <c r="R373" s="1"/>
  <c r="S373" s="1"/>
  <c r="AA373"/>
  <c r="U372" l="1"/>
  <c r="Y371"/>
  <c r="T373"/>
  <c r="AH373" s="1"/>
  <c r="D373" l="1"/>
  <c r="G373" s="1"/>
  <c r="E373"/>
  <c r="H373" s="1"/>
  <c r="AG373"/>
  <c r="F373" l="1"/>
  <c r="I373"/>
  <c r="J373"/>
  <c r="M373"/>
  <c r="N373" s="1"/>
  <c r="K373"/>
  <c r="AE373" s="1"/>
  <c r="V373" l="1"/>
  <c r="W373" s="1"/>
  <c r="A374"/>
  <c r="B374" s="1"/>
  <c r="L373"/>
  <c r="U373" l="1"/>
  <c r="Y372"/>
  <c r="AA374"/>
  <c r="AC374"/>
  <c r="Z374"/>
  <c r="P374"/>
  <c r="Q374" s="1"/>
  <c r="R374" s="1"/>
  <c r="S374" s="1"/>
  <c r="T374" l="1"/>
  <c r="AH374" s="1"/>
  <c r="AG374" l="1"/>
  <c r="E374"/>
  <c r="H374" s="1"/>
  <c r="K374" s="1"/>
  <c r="AE374" s="1"/>
  <c r="D374"/>
  <c r="F374" l="1"/>
  <c r="G374"/>
  <c r="I374" s="1"/>
  <c r="V374"/>
  <c r="A375"/>
  <c r="B375" s="1"/>
  <c r="J374" l="1"/>
  <c r="M374"/>
  <c r="N374" s="1"/>
  <c r="W374"/>
  <c r="P375"/>
  <c r="Q375" s="1"/>
  <c r="R375" s="1"/>
  <c r="S375" s="1"/>
  <c r="Z375"/>
  <c r="AC375"/>
  <c r="AA375"/>
  <c r="AD375"/>
  <c r="L374" l="1"/>
  <c r="Y373" s="1"/>
  <c r="AD374"/>
  <c r="T375"/>
  <c r="U374" l="1"/>
  <c r="E375" s="1"/>
  <c r="H375" s="1"/>
  <c r="K375" s="1"/>
  <c r="AE375" s="1"/>
  <c r="AG375"/>
  <c r="AH375"/>
  <c r="D375" l="1"/>
  <c r="G375" s="1"/>
  <c r="I375" s="1"/>
  <c r="V375"/>
  <c r="A376"/>
  <c r="B376" s="1"/>
  <c r="M375" l="1"/>
  <c r="N375" s="1"/>
  <c r="F375"/>
  <c r="J375"/>
  <c r="L375" s="1"/>
  <c r="W375"/>
  <c r="AA376"/>
  <c r="P376"/>
  <c r="Q376" s="1"/>
  <c r="R376" s="1"/>
  <c r="S376" s="1"/>
  <c r="AC376"/>
  <c r="Z376"/>
  <c r="AD376"/>
  <c r="T376" l="1"/>
  <c r="U375"/>
  <c r="Y374"/>
  <c r="D376" l="1"/>
  <c r="G376" s="1"/>
  <c r="AG376"/>
  <c r="AH376"/>
  <c r="E376"/>
  <c r="H376" s="1"/>
  <c r="F376" l="1"/>
  <c r="I376"/>
  <c r="J376"/>
  <c r="M376"/>
  <c r="N376" s="1"/>
  <c r="K376"/>
  <c r="AE376" s="1"/>
  <c r="V376" l="1"/>
  <c r="W376" s="1"/>
  <c r="A377"/>
  <c r="B377" s="1"/>
  <c r="L376"/>
  <c r="AC377" l="1"/>
  <c r="AA377"/>
  <c r="P377"/>
  <c r="Q377" s="1"/>
  <c r="R377" s="1"/>
  <c r="S377" s="1"/>
  <c r="AD377"/>
  <c r="Z377"/>
  <c r="U376"/>
  <c r="Y375"/>
  <c r="T377" l="1"/>
  <c r="AH377" s="1"/>
  <c r="E377" l="1"/>
  <c r="H377" s="1"/>
  <c r="K377" s="1"/>
  <c r="AE377" s="1"/>
  <c r="D377"/>
  <c r="AG377"/>
  <c r="F377" l="1"/>
  <c r="G377"/>
  <c r="M377" s="1"/>
  <c r="N377" s="1"/>
  <c r="V377"/>
  <c r="A378"/>
  <c r="B378" s="1"/>
  <c r="I377" l="1"/>
  <c r="W377" s="1"/>
  <c r="J377"/>
  <c r="L377" s="1"/>
  <c r="AD378"/>
  <c r="Z378"/>
  <c r="AC378"/>
  <c r="P378"/>
  <c r="Q378" s="1"/>
  <c r="R378" s="1"/>
  <c r="S378" s="1"/>
  <c r="AA378"/>
  <c r="U377" l="1"/>
  <c r="Y376"/>
  <c r="T378"/>
  <c r="D378" l="1"/>
  <c r="G378" s="1"/>
  <c r="AG378"/>
  <c r="E378"/>
  <c r="H378" s="1"/>
  <c r="K378" s="1"/>
  <c r="AE378" s="1"/>
  <c r="AH378"/>
  <c r="F378" l="1"/>
  <c r="V378"/>
  <c r="A379"/>
  <c r="B379" s="1"/>
  <c r="I378"/>
  <c r="J378"/>
  <c r="M378"/>
  <c r="N378" s="1"/>
  <c r="W378" l="1"/>
  <c r="L378"/>
  <c r="Z379"/>
  <c r="AA379"/>
  <c r="AD379"/>
  <c r="P379"/>
  <c r="Q379" s="1"/>
  <c r="R379" s="1"/>
  <c r="S379" s="1"/>
  <c r="AC379"/>
  <c r="U378" l="1"/>
  <c r="Y377"/>
  <c r="T379"/>
  <c r="AH379" s="1"/>
  <c r="E379" l="1"/>
  <c r="H379" s="1"/>
  <c r="K379" s="1"/>
  <c r="AE379" s="1"/>
  <c r="D379"/>
  <c r="G379" s="1"/>
  <c r="AG379"/>
  <c r="F379" l="1"/>
  <c r="I379"/>
  <c r="J379"/>
  <c r="M379"/>
  <c r="N379" s="1"/>
  <c r="V379"/>
  <c r="A380"/>
  <c r="B380" s="1"/>
  <c r="W379" l="1"/>
  <c r="L379"/>
  <c r="Z380"/>
  <c r="P380"/>
  <c r="Q380" s="1"/>
  <c r="R380" s="1"/>
  <c r="S380" s="1"/>
  <c r="AD380"/>
  <c r="AC380"/>
  <c r="AA380"/>
  <c r="T380" l="1"/>
  <c r="AH380" s="1"/>
  <c r="U379"/>
  <c r="Y378"/>
  <c r="AG380" l="1"/>
  <c r="E380"/>
  <c r="H380" s="1"/>
  <c r="K380" s="1"/>
  <c r="AE380" s="1"/>
  <c r="D380"/>
  <c r="V380" l="1"/>
  <c r="A381"/>
  <c r="B381" s="1"/>
  <c r="F380"/>
  <c r="G380"/>
  <c r="I380" l="1"/>
  <c r="W380" s="1"/>
  <c r="J380"/>
  <c r="M380"/>
  <c r="N380" s="1"/>
  <c r="Z381"/>
  <c r="AA381"/>
  <c r="AC381"/>
  <c r="P381"/>
  <c r="Q381" s="1"/>
  <c r="R381" s="1"/>
  <c r="S381" s="1"/>
  <c r="AD381"/>
  <c r="T381" l="1"/>
  <c r="L380"/>
  <c r="U380" l="1"/>
  <c r="E381" s="1"/>
  <c r="H381" s="1"/>
  <c r="AH381"/>
  <c r="AG381"/>
  <c r="Y379"/>
  <c r="K381" l="1"/>
  <c r="AE381" s="1"/>
  <c r="D381"/>
  <c r="V381" l="1"/>
  <c r="A382"/>
  <c r="B382" s="1"/>
  <c r="F381"/>
  <c r="G381"/>
  <c r="I381" l="1"/>
  <c r="W381" s="1"/>
  <c r="J381"/>
  <c r="M381"/>
  <c r="N381" s="1"/>
  <c r="AD382"/>
  <c r="AA382"/>
  <c r="Z382"/>
  <c r="P382"/>
  <c r="Q382" s="1"/>
  <c r="R382" s="1"/>
  <c r="S382" s="1"/>
  <c r="AC382"/>
  <c r="L381" l="1"/>
  <c r="T382"/>
  <c r="U381" l="1"/>
  <c r="E382" s="1"/>
  <c r="H382" s="1"/>
  <c r="AH382"/>
  <c r="AG382"/>
  <c r="Y380"/>
  <c r="D382" l="1"/>
  <c r="G382" s="1"/>
  <c r="K382"/>
  <c r="AE382" s="1"/>
  <c r="F382" l="1"/>
  <c r="I382"/>
  <c r="J382"/>
  <c r="M382"/>
  <c r="N382" s="1"/>
  <c r="V382"/>
  <c r="A383"/>
  <c r="B383" s="1"/>
  <c r="W382" l="1"/>
  <c r="L382"/>
  <c r="AD383"/>
  <c r="AA383"/>
  <c r="P383"/>
  <c r="Q383" s="1"/>
  <c r="R383" s="1"/>
  <c r="S383" s="1"/>
  <c r="Z383"/>
  <c r="AC383"/>
  <c r="U382" l="1"/>
  <c r="Y381"/>
  <c r="T383"/>
  <c r="E383" l="1"/>
  <c r="H383" s="1"/>
  <c r="K383" s="1"/>
  <c r="AE383" s="1"/>
  <c r="D383"/>
  <c r="AH383"/>
  <c r="AG383"/>
  <c r="V383" l="1"/>
  <c r="A384"/>
  <c r="B384" s="1"/>
  <c r="F383"/>
  <c r="G383"/>
  <c r="I383" l="1"/>
  <c r="W383" s="1"/>
  <c r="J383"/>
  <c r="M383"/>
  <c r="N383" s="1"/>
  <c r="P384"/>
  <c r="Q384" s="1"/>
  <c r="R384" s="1"/>
  <c r="S384" s="1"/>
  <c r="Z384"/>
  <c r="AC384"/>
  <c r="AA384"/>
  <c r="T384" l="1"/>
  <c r="L383"/>
  <c r="AG384" l="1"/>
  <c r="AH384"/>
  <c r="U383"/>
  <c r="D384" s="1"/>
  <c r="Y382"/>
  <c r="E384" l="1"/>
  <c r="H384" s="1"/>
  <c r="K384" s="1"/>
  <c r="AE384" s="1"/>
  <c r="G384"/>
  <c r="F384" l="1"/>
  <c r="I384"/>
  <c r="J384"/>
  <c r="AD384" s="1"/>
  <c r="M384"/>
  <c r="N384" s="1"/>
  <c r="V384"/>
  <c r="A385"/>
  <c r="B385" s="1"/>
  <c r="W384" l="1"/>
  <c r="L384"/>
  <c r="P385"/>
  <c r="Q385" s="1"/>
  <c r="R385" s="1"/>
  <c r="S385" s="1"/>
  <c r="AD385"/>
  <c r="Z385"/>
  <c r="AC385"/>
  <c r="AA385"/>
  <c r="U384" l="1"/>
  <c r="Y383"/>
  <c r="T385"/>
  <c r="AG385" s="1"/>
  <c r="D385" l="1"/>
  <c r="G385" s="1"/>
  <c r="E385"/>
  <c r="H385" s="1"/>
  <c r="K385" s="1"/>
  <c r="AE385" s="1"/>
  <c r="AH385"/>
  <c r="F385" l="1"/>
  <c r="V385"/>
  <c r="A386"/>
  <c r="B386" s="1"/>
  <c r="I385"/>
  <c r="J385"/>
  <c r="M385"/>
  <c r="N385" s="1"/>
  <c r="L385" l="1"/>
  <c r="W385"/>
  <c r="AC386"/>
  <c r="P386"/>
  <c r="Q386" s="1"/>
  <c r="R386" s="1"/>
  <c r="S386" s="1"/>
  <c r="AA386"/>
  <c r="AD386"/>
  <c r="Z386"/>
  <c r="T386" l="1"/>
  <c r="AH386" s="1"/>
  <c r="U385"/>
  <c r="Y384"/>
  <c r="D386" l="1"/>
  <c r="E386"/>
  <c r="H386" s="1"/>
  <c r="AG386"/>
  <c r="F386" l="1"/>
  <c r="G386"/>
  <c r="K386"/>
  <c r="AE386" s="1"/>
  <c r="I386" l="1"/>
  <c r="J386"/>
  <c r="M386"/>
  <c r="N386" s="1"/>
  <c r="V386"/>
  <c r="A387"/>
  <c r="B387" s="1"/>
  <c r="W386" l="1"/>
  <c r="L386"/>
  <c r="AD387"/>
  <c r="AA387"/>
  <c r="P387"/>
  <c r="Q387" s="1"/>
  <c r="R387" s="1"/>
  <c r="S387" s="1"/>
  <c r="AC387"/>
  <c r="Z387"/>
  <c r="U386" l="1"/>
  <c r="Y385"/>
  <c r="T387"/>
  <c r="AG387" s="1"/>
  <c r="AH387" l="1"/>
  <c r="D387"/>
  <c r="G387" s="1"/>
  <c r="E387"/>
  <c r="H387" s="1"/>
  <c r="F387" l="1"/>
  <c r="I387"/>
  <c r="J387"/>
  <c r="M387"/>
  <c r="N387" s="1"/>
  <c r="K387"/>
  <c r="AE387" s="1"/>
  <c r="V387" l="1"/>
  <c r="W387" s="1"/>
  <c r="A388"/>
  <c r="B388" s="1"/>
  <c r="L387"/>
  <c r="U387" l="1"/>
  <c r="Y386"/>
  <c r="AA388"/>
  <c r="Z388"/>
  <c r="P388"/>
  <c r="Q388" s="1"/>
  <c r="R388" s="1"/>
  <c r="S388" s="1"/>
  <c r="AD388"/>
  <c r="AC388"/>
  <c r="T388" l="1"/>
  <c r="E388" s="1"/>
  <c r="H388" s="1"/>
  <c r="K388" l="1"/>
  <c r="AE388" s="1"/>
  <c r="D388"/>
  <c r="AG388"/>
  <c r="AH388"/>
  <c r="V388" l="1"/>
  <c r="A389"/>
  <c r="B389" s="1"/>
  <c r="F388"/>
  <c r="G388"/>
  <c r="I388" l="1"/>
  <c r="W388" s="1"/>
  <c r="J388"/>
  <c r="M388"/>
  <c r="N388" s="1"/>
  <c r="P389"/>
  <c r="Q389" s="1"/>
  <c r="R389" s="1"/>
  <c r="S389" s="1"/>
  <c r="AA389"/>
  <c r="AD389"/>
  <c r="AC389"/>
  <c r="Z389"/>
  <c r="T389" l="1"/>
  <c r="L388"/>
  <c r="U388" l="1"/>
  <c r="E389" s="1"/>
  <c r="H389" s="1"/>
  <c r="AH389"/>
  <c r="AG389"/>
  <c r="Y387"/>
  <c r="D389" l="1"/>
  <c r="G389" s="1"/>
  <c r="K389"/>
  <c r="AE389" s="1"/>
  <c r="F389" l="1"/>
  <c r="V389"/>
  <c r="A390"/>
  <c r="B390" s="1"/>
  <c r="I389"/>
  <c r="J389"/>
  <c r="M389"/>
  <c r="N389" s="1"/>
  <c r="W389" l="1"/>
  <c r="L389"/>
  <c r="P390"/>
  <c r="Q390" s="1"/>
  <c r="R390" s="1"/>
  <c r="S390" s="1"/>
  <c r="AC390"/>
  <c r="AA390"/>
  <c r="Z390"/>
  <c r="AD390"/>
  <c r="U389" l="1"/>
  <c r="Y388"/>
  <c r="T390"/>
  <c r="AG390" s="1"/>
  <c r="D390" l="1"/>
  <c r="AH390"/>
  <c r="E390"/>
  <c r="H390" s="1"/>
  <c r="F390" l="1"/>
  <c r="G390"/>
  <c r="K390"/>
  <c r="AE390" s="1"/>
  <c r="I390" l="1"/>
  <c r="J390"/>
  <c r="M390"/>
  <c r="N390" s="1"/>
  <c r="V390"/>
  <c r="A391"/>
  <c r="B391" s="1"/>
  <c r="W390" l="1"/>
  <c r="L390"/>
  <c r="AC391"/>
  <c r="AA391"/>
  <c r="AD391"/>
  <c r="Z391"/>
  <c r="P391"/>
  <c r="Q391" s="1"/>
  <c r="R391" s="1"/>
  <c r="S391" s="1"/>
  <c r="U390" l="1"/>
  <c r="Y389"/>
  <c r="T391"/>
  <c r="E391" l="1"/>
  <c r="H391" s="1"/>
  <c r="K391" s="1"/>
  <c r="AE391" s="1"/>
  <c r="AG391"/>
  <c r="AH391"/>
  <c r="D391"/>
  <c r="V391" l="1"/>
  <c r="A392"/>
  <c r="B392" s="1"/>
  <c r="F391"/>
  <c r="G391"/>
  <c r="I391" l="1"/>
  <c r="W391" s="1"/>
  <c r="J391"/>
  <c r="M391"/>
  <c r="N391" s="1"/>
  <c r="AD392"/>
  <c r="Z392"/>
  <c r="P392"/>
  <c r="Q392" s="1"/>
  <c r="R392" s="1"/>
  <c r="S392" s="1"/>
  <c r="AA392"/>
  <c r="AC392"/>
  <c r="T392" l="1"/>
  <c r="L391"/>
  <c r="U391" l="1"/>
  <c r="D392" s="1"/>
  <c r="AH392"/>
  <c r="AG392"/>
  <c r="Y390"/>
  <c r="G392" l="1"/>
  <c r="E392"/>
  <c r="H392" s="1"/>
  <c r="F392" l="1"/>
  <c r="I392"/>
  <c r="J392"/>
  <c r="M392"/>
  <c r="N392" s="1"/>
  <c r="K392"/>
  <c r="AE392" s="1"/>
  <c r="V392" l="1"/>
  <c r="W392" s="1"/>
  <c r="A393"/>
  <c r="B393" s="1"/>
  <c r="L392"/>
  <c r="U392" l="1"/>
  <c r="Y391"/>
  <c r="AD393"/>
  <c r="Z393"/>
  <c r="AA393"/>
  <c r="P393"/>
  <c r="Q393" s="1"/>
  <c r="R393" s="1"/>
  <c r="S393" s="1"/>
  <c r="AC393"/>
  <c r="T393" l="1"/>
  <c r="AG393" s="1"/>
  <c r="E393" l="1"/>
  <c r="H393" s="1"/>
  <c r="K393" s="1"/>
  <c r="AE393" s="1"/>
  <c r="D393"/>
  <c r="AH393"/>
  <c r="V393" l="1"/>
  <c r="A394"/>
  <c r="B394" s="1"/>
  <c r="F393"/>
  <c r="G393"/>
  <c r="I393" l="1"/>
  <c r="W393" s="1"/>
  <c r="J393"/>
  <c r="M393"/>
  <c r="N393" s="1"/>
  <c r="P394"/>
  <c r="Q394" s="1"/>
  <c r="R394" s="1"/>
  <c r="S394" s="1"/>
  <c r="AC394"/>
  <c r="Z394"/>
  <c r="AA394"/>
  <c r="T394" l="1"/>
  <c r="L393"/>
  <c r="AH394" l="1"/>
  <c r="AG394"/>
  <c r="U393"/>
  <c r="D394" s="1"/>
  <c r="Y392"/>
  <c r="G394" l="1"/>
  <c r="E394"/>
  <c r="H394" s="1"/>
  <c r="F394" l="1"/>
  <c r="I394"/>
  <c r="J394"/>
  <c r="AD394" s="1"/>
  <c r="M394"/>
  <c r="N394" s="1"/>
  <c r="K394"/>
  <c r="AE394" s="1"/>
  <c r="L394" l="1"/>
  <c r="V394"/>
  <c r="W394" s="1"/>
  <c r="A395"/>
  <c r="B395" s="1"/>
  <c r="U394" l="1"/>
  <c r="Y393"/>
  <c r="AD395"/>
  <c r="AA395"/>
  <c r="P395"/>
  <c r="Q395" s="1"/>
  <c r="R395" s="1"/>
  <c r="S395" s="1"/>
  <c r="Z395"/>
  <c r="AC395"/>
  <c r="T395" l="1"/>
  <c r="AG395" s="1"/>
  <c r="AH395" l="1"/>
  <c r="E395"/>
  <c r="H395" s="1"/>
  <c r="K395" s="1"/>
  <c r="AE395" s="1"/>
  <c r="D395"/>
  <c r="G395" s="1"/>
  <c r="F395" l="1"/>
  <c r="V395"/>
  <c r="A396"/>
  <c r="B396" s="1"/>
  <c r="I395"/>
  <c r="J395"/>
  <c r="M395"/>
  <c r="N395" s="1"/>
  <c r="W395" l="1"/>
  <c r="L395"/>
  <c r="AA396"/>
  <c r="Z396"/>
  <c r="P396"/>
  <c r="Q396" s="1"/>
  <c r="R396" s="1"/>
  <c r="S396" s="1"/>
  <c r="AD396"/>
  <c r="AC396"/>
  <c r="U395" l="1"/>
  <c r="Y394"/>
  <c r="T396"/>
  <c r="E396" l="1"/>
  <c r="H396" s="1"/>
  <c r="K396" s="1"/>
  <c r="AE396" s="1"/>
  <c r="AG396"/>
  <c r="AH396"/>
  <c r="D396"/>
  <c r="F396" l="1"/>
  <c r="G396"/>
  <c r="V396"/>
  <c r="A397"/>
  <c r="B397" s="1"/>
  <c r="P397" l="1"/>
  <c r="Q397" s="1"/>
  <c r="R397" s="1"/>
  <c r="S397" s="1"/>
  <c r="AC397"/>
  <c r="AA397"/>
  <c r="Z397"/>
  <c r="AD397"/>
  <c r="I396"/>
  <c r="W396" s="1"/>
  <c r="J396"/>
  <c r="M396"/>
  <c r="N396" s="1"/>
  <c r="T397" l="1"/>
  <c r="L396"/>
  <c r="U396" l="1"/>
  <c r="E397" s="1"/>
  <c r="H397" s="1"/>
  <c r="AG397"/>
  <c r="AH397"/>
  <c r="Y395"/>
  <c r="D397" l="1"/>
  <c r="F397" s="1"/>
  <c r="K397"/>
  <c r="AE397" s="1"/>
  <c r="G397" l="1"/>
  <c r="M397" s="1"/>
  <c r="N397" s="1"/>
  <c r="V397"/>
  <c r="A398"/>
  <c r="B398" s="1"/>
  <c r="I397" l="1"/>
  <c r="W397" s="1"/>
  <c r="J397"/>
  <c r="L397" s="1"/>
  <c r="AD398"/>
  <c r="AC398"/>
  <c r="AA398"/>
  <c r="P398"/>
  <c r="Q398" s="1"/>
  <c r="R398" s="1"/>
  <c r="S398" s="1"/>
  <c r="Z398"/>
  <c r="T398" l="1"/>
  <c r="U397"/>
  <c r="Y396"/>
  <c r="E398" l="1"/>
  <c r="H398" s="1"/>
  <c r="K398" s="1"/>
  <c r="AE398" s="1"/>
  <c r="D398"/>
  <c r="G398" s="1"/>
  <c r="AH398"/>
  <c r="AG398"/>
  <c r="F398" l="1"/>
  <c r="V398"/>
  <c r="A399"/>
  <c r="B399" s="1"/>
  <c r="I398"/>
  <c r="J398"/>
  <c r="M398"/>
  <c r="N398" s="1"/>
  <c r="L398" l="1"/>
  <c r="W398"/>
  <c r="Z399"/>
  <c r="P399"/>
  <c r="Q399" s="1"/>
  <c r="R399" s="1"/>
  <c r="S399" s="1"/>
  <c r="AD399"/>
  <c r="AA399"/>
  <c r="AC399"/>
  <c r="U398" l="1"/>
  <c r="Y397"/>
  <c r="T399"/>
  <c r="AH399" s="1"/>
  <c r="D399" l="1"/>
  <c r="G399" s="1"/>
  <c r="AG399"/>
  <c r="E399"/>
  <c r="H399" s="1"/>
  <c r="F399" l="1"/>
  <c r="I399"/>
  <c r="J399"/>
  <c r="M399"/>
  <c r="N399" s="1"/>
  <c r="K399"/>
  <c r="AE399" s="1"/>
  <c r="V399" l="1"/>
  <c r="W399" s="1"/>
  <c r="A400"/>
  <c r="B400" s="1"/>
  <c r="L399"/>
  <c r="U399" l="1"/>
  <c r="Y398"/>
  <c r="AD400"/>
  <c r="AC400"/>
  <c r="Z400"/>
  <c r="P400"/>
  <c r="Q400" s="1"/>
  <c r="R400" s="1"/>
  <c r="S400" s="1"/>
  <c r="AA400"/>
  <c r="T400" l="1"/>
  <c r="AH400" s="1"/>
  <c r="AG400" l="1"/>
  <c r="D400"/>
  <c r="G400" s="1"/>
  <c r="E400"/>
  <c r="H400" s="1"/>
  <c r="K400" s="1"/>
  <c r="AE400" s="1"/>
  <c r="F400" l="1"/>
  <c r="V400"/>
  <c r="A401"/>
  <c r="B401" s="1"/>
  <c r="I400"/>
  <c r="J400"/>
  <c r="M400"/>
  <c r="N400" s="1"/>
  <c r="W400" l="1"/>
  <c r="L400"/>
  <c r="AA401"/>
  <c r="Z401"/>
  <c r="AC401"/>
  <c r="AD401"/>
  <c r="P401"/>
  <c r="Q401" s="1"/>
  <c r="R401" s="1"/>
  <c r="S401" s="1"/>
  <c r="U400" l="1"/>
  <c r="Y399"/>
  <c r="T401"/>
  <c r="AG401" s="1"/>
  <c r="D401" l="1"/>
  <c r="E401"/>
  <c r="H401" s="1"/>
  <c r="K401" s="1"/>
  <c r="AE401" s="1"/>
  <c r="AH401"/>
  <c r="F401" l="1"/>
  <c r="G401"/>
  <c r="J401" s="1"/>
  <c r="V401"/>
  <c r="A402"/>
  <c r="B402" s="1"/>
  <c r="M401" l="1"/>
  <c r="N401" s="1"/>
  <c r="I401"/>
  <c r="W401" s="1"/>
  <c r="L401"/>
  <c r="AA402"/>
  <c r="AC402"/>
  <c r="Z402"/>
  <c r="AD402"/>
  <c r="P402"/>
  <c r="Q402" s="1"/>
  <c r="R402" s="1"/>
  <c r="S402" s="1"/>
  <c r="U401" l="1"/>
  <c r="Y400"/>
  <c r="T402"/>
  <c r="AG402" s="1"/>
  <c r="AH402" l="1"/>
  <c r="E402"/>
  <c r="H402" s="1"/>
  <c r="K402" s="1"/>
  <c r="AE402" s="1"/>
  <c r="D402"/>
  <c r="G402" s="1"/>
  <c r="F402" l="1"/>
  <c r="I402"/>
  <c r="J402"/>
  <c r="M402"/>
  <c r="N402" s="1"/>
  <c r="V402"/>
  <c r="A403"/>
  <c r="B403" s="1"/>
  <c r="W402" l="1"/>
  <c r="L402"/>
  <c r="AC403"/>
  <c r="AA403"/>
  <c r="P403"/>
  <c r="Q403" s="1"/>
  <c r="R403" s="1"/>
  <c r="S403" s="1"/>
  <c r="Z403"/>
  <c r="AD403"/>
  <c r="T403" l="1"/>
  <c r="AH403" s="1"/>
  <c r="U402"/>
  <c r="Y401"/>
  <c r="AG403" l="1"/>
  <c r="D403"/>
  <c r="E403"/>
  <c r="H403" s="1"/>
  <c r="F403" l="1"/>
  <c r="G403"/>
  <c r="K403"/>
  <c r="AE403" s="1"/>
  <c r="V403" l="1"/>
  <c r="A404"/>
  <c r="B404" s="1"/>
  <c r="I403"/>
  <c r="J403"/>
  <c r="M403"/>
  <c r="N403" s="1"/>
  <c r="W403" l="1"/>
  <c r="L403"/>
  <c r="P404"/>
  <c r="Q404" s="1"/>
  <c r="R404" s="1"/>
  <c r="S404" s="1"/>
  <c r="AA404"/>
  <c r="Z404"/>
  <c r="AC404"/>
  <c r="U403" l="1"/>
  <c r="Y402"/>
  <c r="T404"/>
  <c r="AG404" s="1"/>
  <c r="E404" l="1"/>
  <c r="H404" s="1"/>
  <c r="K404" s="1"/>
  <c r="AE404" s="1"/>
  <c r="AH404"/>
  <c r="D404"/>
  <c r="G404" s="1"/>
  <c r="F404" l="1"/>
  <c r="I404"/>
  <c r="J404"/>
  <c r="AD404" s="1"/>
  <c r="M404"/>
  <c r="N404" s="1"/>
  <c r="V404"/>
  <c r="A405"/>
  <c r="B405" s="1"/>
  <c r="W404" l="1"/>
  <c r="L404"/>
  <c r="P405"/>
  <c r="Q405" s="1"/>
  <c r="R405" s="1"/>
  <c r="S405" s="1"/>
  <c r="AC405"/>
  <c r="Z405"/>
  <c r="AD405"/>
  <c r="AA405"/>
  <c r="U404" l="1"/>
  <c r="Y403"/>
  <c r="T405"/>
  <c r="E405" l="1"/>
  <c r="H405" s="1"/>
  <c r="K405" s="1"/>
  <c r="AE405" s="1"/>
  <c r="AH405"/>
  <c r="D405"/>
  <c r="AG405"/>
  <c r="F405" l="1"/>
  <c r="G405"/>
  <c r="V405"/>
  <c r="A406"/>
  <c r="B406" s="1"/>
  <c r="AD406" l="1"/>
  <c r="AA406"/>
  <c r="AC406"/>
  <c r="Z406"/>
  <c r="P406"/>
  <c r="Q406" s="1"/>
  <c r="R406" s="1"/>
  <c r="S406" s="1"/>
  <c r="I405"/>
  <c r="W405" s="1"/>
  <c r="J405"/>
  <c r="M405"/>
  <c r="N405" s="1"/>
  <c r="T406" l="1"/>
  <c r="L405"/>
  <c r="U405" l="1"/>
  <c r="E406" s="1"/>
  <c r="H406" s="1"/>
  <c r="AH406"/>
  <c r="AG406"/>
  <c r="Y404"/>
  <c r="K406" l="1"/>
  <c r="AE406" s="1"/>
  <c r="D406"/>
  <c r="V406" l="1"/>
  <c r="A407"/>
  <c r="B407" s="1"/>
  <c r="F406"/>
  <c r="G406"/>
  <c r="I406" l="1"/>
  <c r="W406" s="1"/>
  <c r="J406"/>
  <c r="M406"/>
  <c r="N406" s="1"/>
  <c r="AC407"/>
  <c r="Z407"/>
  <c r="P407"/>
  <c r="Q407" s="1"/>
  <c r="R407" s="1"/>
  <c r="S407" s="1"/>
  <c r="AD407"/>
  <c r="AA407"/>
  <c r="L406" l="1"/>
  <c r="T407"/>
  <c r="U406" l="1"/>
  <c r="D407" s="1"/>
  <c r="AG407"/>
  <c r="AH407"/>
  <c r="Y405"/>
  <c r="G407" l="1"/>
  <c r="E407"/>
  <c r="H407" s="1"/>
  <c r="F407" l="1"/>
  <c r="I407"/>
  <c r="J407"/>
  <c r="M407"/>
  <c r="N407" s="1"/>
  <c r="K407"/>
  <c r="AE407" s="1"/>
  <c r="V407" l="1"/>
  <c r="W407" s="1"/>
  <c r="A408"/>
  <c r="B408" s="1"/>
  <c r="L407"/>
  <c r="U407" l="1"/>
  <c r="Y406"/>
  <c r="Z408"/>
  <c r="AC408"/>
  <c r="AD408"/>
  <c r="P408"/>
  <c r="Q408" s="1"/>
  <c r="R408" s="1"/>
  <c r="S408" s="1"/>
  <c r="AA408"/>
  <c r="T408" l="1"/>
  <c r="AH408" s="1"/>
  <c r="E408" l="1"/>
  <c r="H408" s="1"/>
  <c r="K408" s="1"/>
  <c r="AE408" s="1"/>
  <c r="D408"/>
  <c r="G408" s="1"/>
  <c r="AG408"/>
  <c r="F408" l="1"/>
  <c r="I408"/>
  <c r="J408"/>
  <c r="M408"/>
  <c r="N408" s="1"/>
  <c r="V408"/>
  <c r="A409"/>
  <c r="B409" s="1"/>
  <c r="W408" l="1"/>
  <c r="L408"/>
  <c r="AA409"/>
  <c r="AC409"/>
  <c r="P409"/>
  <c r="Q409" s="1"/>
  <c r="R409" s="1"/>
  <c r="S409" s="1"/>
  <c r="AD409"/>
  <c r="Z409"/>
  <c r="U408" l="1"/>
  <c r="Y407"/>
  <c r="T409"/>
  <c r="E409" l="1"/>
  <c r="H409" s="1"/>
  <c r="K409" s="1"/>
  <c r="AE409" s="1"/>
  <c r="AH409"/>
  <c r="D409"/>
  <c r="AG409"/>
  <c r="F409" l="1"/>
  <c r="G409"/>
  <c r="V409"/>
  <c r="A410"/>
  <c r="B410" s="1"/>
  <c r="P410" l="1"/>
  <c r="Q410" s="1"/>
  <c r="R410" s="1"/>
  <c r="S410" s="1"/>
  <c r="AA410"/>
  <c r="AC410"/>
  <c r="AD410"/>
  <c r="Z410"/>
  <c r="I409"/>
  <c r="W409" s="1"/>
  <c r="J409"/>
  <c r="M409"/>
  <c r="N409" s="1"/>
  <c r="T410" l="1"/>
  <c r="L409"/>
  <c r="AG410" l="1"/>
  <c r="U409"/>
  <c r="D410" s="1"/>
  <c r="AH410"/>
  <c r="Y408"/>
  <c r="E410" l="1"/>
  <c r="H410" s="1"/>
  <c r="K410" s="1"/>
  <c r="AE410" s="1"/>
  <c r="G410"/>
  <c r="F410" l="1"/>
  <c r="I410"/>
  <c r="J410"/>
  <c r="M410"/>
  <c r="N410" s="1"/>
  <c r="V410"/>
  <c r="A411"/>
  <c r="B411" s="1"/>
  <c r="W410" l="1"/>
  <c r="L410"/>
  <c r="AC411"/>
  <c r="P411"/>
  <c r="Q411" s="1"/>
  <c r="R411" s="1"/>
  <c r="S411" s="1"/>
  <c r="AA411"/>
  <c r="Z411"/>
  <c r="AD411"/>
  <c r="U410" l="1"/>
  <c r="Y409"/>
  <c r="T411"/>
  <c r="AG411" s="1"/>
  <c r="E411" l="1"/>
  <c r="H411" s="1"/>
  <c r="K411" s="1"/>
  <c r="AE411" s="1"/>
  <c r="AH411"/>
  <c r="D411"/>
  <c r="F411" l="1"/>
  <c r="G411"/>
  <c r="V411"/>
  <c r="A412"/>
  <c r="B412" s="1"/>
  <c r="AA412" l="1"/>
  <c r="AC412"/>
  <c r="P412"/>
  <c r="Q412" s="1"/>
  <c r="R412" s="1"/>
  <c r="S412" s="1"/>
  <c r="Z412"/>
  <c r="AD412"/>
  <c r="I411"/>
  <c r="W411" s="1"/>
  <c r="J411"/>
  <c r="M411"/>
  <c r="N411" s="1"/>
  <c r="T412" l="1"/>
  <c r="L411"/>
  <c r="U411" l="1"/>
  <c r="D412" s="1"/>
  <c r="AG412"/>
  <c r="AH412"/>
  <c r="Y410"/>
  <c r="G412" l="1"/>
  <c r="E412"/>
  <c r="H412" s="1"/>
  <c r="F412" l="1"/>
  <c r="I412"/>
  <c r="J412"/>
  <c r="M412"/>
  <c r="N412" s="1"/>
  <c r="K412"/>
  <c r="AE412" s="1"/>
  <c r="V412" l="1"/>
  <c r="W412" s="1"/>
  <c r="A413"/>
  <c r="B413" s="1"/>
  <c r="L412"/>
  <c r="U412" l="1"/>
  <c r="Y411"/>
  <c r="Z413"/>
  <c r="P413"/>
  <c r="Q413" s="1"/>
  <c r="R413" s="1"/>
  <c r="S413" s="1"/>
  <c r="AA413"/>
  <c r="AC413"/>
  <c r="AD413"/>
  <c r="T413" l="1"/>
  <c r="D413" s="1"/>
  <c r="E413" l="1"/>
  <c r="H413" s="1"/>
  <c r="K413" s="1"/>
  <c r="AE413" s="1"/>
  <c r="AH413"/>
  <c r="G413"/>
  <c r="AG413"/>
  <c r="F413" l="1"/>
  <c r="I413"/>
  <c r="J413"/>
  <c r="M413"/>
  <c r="N413" s="1"/>
  <c r="V413"/>
  <c r="A414"/>
  <c r="B414" s="1"/>
  <c r="L413" l="1"/>
  <c r="P414"/>
  <c r="Q414" s="1"/>
  <c r="R414" s="1"/>
  <c r="S414" s="1"/>
  <c r="Z414"/>
  <c r="AA414"/>
  <c r="AC414"/>
  <c r="W413"/>
  <c r="U413" l="1"/>
  <c r="Y412"/>
  <c r="T414"/>
  <c r="D414" l="1"/>
  <c r="G414" s="1"/>
  <c r="E414"/>
  <c r="H414" s="1"/>
  <c r="K414" s="1"/>
  <c r="AE414" s="1"/>
  <c r="AG414"/>
  <c r="AH414"/>
  <c r="F414" l="1"/>
  <c r="I414"/>
  <c r="J414"/>
  <c r="AD414" s="1"/>
  <c r="M414"/>
  <c r="N414" s="1"/>
  <c r="V414"/>
  <c r="A415"/>
  <c r="B415" s="1"/>
  <c r="W414" l="1"/>
  <c r="L414"/>
  <c r="P415"/>
  <c r="Q415" s="1"/>
  <c r="R415" s="1"/>
  <c r="S415" s="1"/>
  <c r="AA415"/>
  <c r="Z415"/>
  <c r="AC415"/>
  <c r="U414" l="1"/>
  <c r="Y413"/>
  <c r="T415"/>
  <c r="D415" l="1"/>
  <c r="G415" s="1"/>
  <c r="AG415"/>
  <c r="AH415"/>
  <c r="E415"/>
  <c r="H415" s="1"/>
  <c r="F415" l="1"/>
  <c r="K415"/>
  <c r="AE415" s="1"/>
  <c r="I415"/>
  <c r="J415"/>
  <c r="AD415" s="1"/>
  <c r="M415"/>
  <c r="N415" s="1"/>
  <c r="L415" l="1"/>
  <c r="V415"/>
  <c r="W415" s="1"/>
  <c r="A416"/>
  <c r="B416" s="1"/>
  <c r="Z416" l="1"/>
  <c r="AA416"/>
  <c r="P416"/>
  <c r="Q416" s="1"/>
  <c r="R416" s="1"/>
  <c r="S416" s="1"/>
  <c r="AC416"/>
  <c r="U415"/>
  <c r="Y414"/>
  <c r="T416" l="1"/>
  <c r="AG416" s="1"/>
  <c r="D416" l="1"/>
  <c r="G416" s="1"/>
  <c r="E416"/>
  <c r="H416" s="1"/>
  <c r="K416" s="1"/>
  <c r="AE416" s="1"/>
  <c r="AH416"/>
  <c r="F416" l="1"/>
  <c r="V416"/>
  <c r="A417"/>
  <c r="B417" s="1"/>
  <c r="I416"/>
  <c r="J416"/>
  <c r="AD416" s="1"/>
  <c r="M416"/>
  <c r="N416" s="1"/>
  <c r="W416" l="1"/>
  <c r="L416"/>
  <c r="Z417"/>
  <c r="AC417"/>
  <c r="AA417"/>
  <c r="P417"/>
  <c r="Q417" s="1"/>
  <c r="R417" s="1"/>
  <c r="S417" s="1"/>
  <c r="U416" l="1"/>
  <c r="Y415"/>
  <c r="T417"/>
  <c r="D417" l="1"/>
  <c r="G417" s="1"/>
  <c r="AH417"/>
  <c r="E417"/>
  <c r="H417" s="1"/>
  <c r="K417" s="1"/>
  <c r="AE417" s="1"/>
  <c r="AG417"/>
  <c r="F417" l="1"/>
  <c r="V417"/>
  <c r="A418"/>
  <c r="B418" s="1"/>
  <c r="I417"/>
  <c r="J417"/>
  <c r="AD417" s="1"/>
  <c r="M417"/>
  <c r="N417" s="1"/>
  <c r="W417" l="1"/>
  <c r="L417"/>
  <c r="Z418"/>
  <c r="AA418"/>
  <c r="AC418"/>
  <c r="P418"/>
  <c r="Q418" s="1"/>
  <c r="R418" s="1"/>
  <c r="S418" s="1"/>
  <c r="T418" l="1"/>
  <c r="U417"/>
  <c r="Y416"/>
  <c r="D418" l="1"/>
  <c r="G418" s="1"/>
  <c r="E418"/>
  <c r="H418" s="1"/>
  <c r="AG418"/>
  <c r="AH418"/>
  <c r="F418" l="1"/>
  <c r="I418"/>
  <c r="J418"/>
  <c r="AD418" s="1"/>
  <c r="M418"/>
  <c r="N418" s="1"/>
  <c r="K418"/>
  <c r="AE418" s="1"/>
  <c r="V418" l="1"/>
  <c r="W418" s="1"/>
  <c r="A419"/>
  <c r="B419" s="1"/>
  <c r="L418"/>
  <c r="U418" l="1"/>
  <c r="Y417"/>
  <c r="AA419"/>
  <c r="P419"/>
  <c r="Q419" s="1"/>
  <c r="R419" s="1"/>
  <c r="S419" s="1"/>
  <c r="Z419"/>
  <c r="AC419"/>
  <c r="T419" l="1"/>
  <c r="AG419" s="1"/>
  <c r="AH419" l="1"/>
  <c r="E419"/>
  <c r="H419" s="1"/>
  <c r="K419" s="1"/>
  <c r="AE419" s="1"/>
  <c r="D419"/>
  <c r="F419" l="1"/>
  <c r="G419"/>
  <c r="J419" s="1"/>
  <c r="AD419" s="1"/>
  <c r="V419"/>
  <c r="A420"/>
  <c r="B420" s="1"/>
  <c r="I419" l="1"/>
  <c r="W419" s="1"/>
  <c r="M419"/>
  <c r="N419" s="1"/>
  <c r="L419"/>
  <c r="AC420"/>
  <c r="AA420"/>
  <c r="Z420"/>
  <c r="P420"/>
  <c r="Q420" s="1"/>
  <c r="R420" s="1"/>
  <c r="S420" s="1"/>
  <c r="T420" l="1"/>
  <c r="AH420" s="1"/>
  <c r="U419"/>
  <c r="Y418"/>
  <c r="E420" l="1"/>
  <c r="H420" s="1"/>
  <c r="K420" s="1"/>
  <c r="AE420" s="1"/>
  <c r="D420"/>
  <c r="AG420"/>
  <c r="V420" l="1"/>
  <c r="A421"/>
  <c r="B421" s="1"/>
  <c r="F420"/>
  <c r="G420"/>
  <c r="I420" l="1"/>
  <c r="W420" s="1"/>
  <c r="J420"/>
  <c r="AD420" s="1"/>
  <c r="M420"/>
  <c r="N420" s="1"/>
  <c r="Z421"/>
  <c r="P421"/>
  <c r="Q421" s="1"/>
  <c r="R421" s="1"/>
  <c r="S421" s="1"/>
  <c r="AC421"/>
  <c r="AA421"/>
  <c r="T421" l="1"/>
  <c r="L420"/>
  <c r="U420" l="1"/>
  <c r="D421" s="1"/>
  <c r="AH421"/>
  <c r="AG421"/>
  <c r="Y419"/>
  <c r="E421" l="1"/>
  <c r="H421" s="1"/>
  <c r="K421" s="1"/>
  <c r="AE421" s="1"/>
  <c r="G421"/>
  <c r="F421" l="1"/>
  <c r="V421"/>
  <c r="A422"/>
  <c r="B422" s="1"/>
  <c r="I421"/>
  <c r="J421"/>
  <c r="AD421" s="1"/>
  <c r="M421"/>
  <c r="N421" s="1"/>
  <c r="W421" l="1"/>
  <c r="L421"/>
  <c r="Z422"/>
  <c r="P422"/>
  <c r="Q422" s="1"/>
  <c r="R422" s="1"/>
  <c r="S422" s="1"/>
  <c r="AC422"/>
  <c r="AA422"/>
  <c r="U421" l="1"/>
  <c r="Y420"/>
  <c r="T422"/>
  <c r="D422" l="1"/>
  <c r="G422" s="1"/>
  <c r="AG422"/>
  <c r="E422"/>
  <c r="H422" s="1"/>
  <c r="K422" s="1"/>
  <c r="AE422" s="1"/>
  <c r="AH422"/>
  <c r="F422" l="1"/>
  <c r="V422"/>
  <c r="A423"/>
  <c r="B423" s="1"/>
  <c r="I422"/>
  <c r="J422"/>
  <c r="AD422" s="1"/>
  <c r="M422"/>
  <c r="N422" s="1"/>
  <c r="L422" l="1"/>
  <c r="W422"/>
  <c r="P423"/>
  <c r="Q423" s="1"/>
  <c r="R423" s="1"/>
  <c r="S423" s="1"/>
  <c r="Z423"/>
  <c r="AC423"/>
  <c r="AA423"/>
  <c r="U422" l="1"/>
  <c r="Y421"/>
  <c r="T423"/>
  <c r="D423" l="1"/>
  <c r="G423" s="1"/>
  <c r="AH423"/>
  <c r="E423"/>
  <c r="H423" s="1"/>
  <c r="K423" s="1"/>
  <c r="AE423" s="1"/>
  <c r="AG423"/>
  <c r="F423" l="1"/>
  <c r="V423"/>
  <c r="A424"/>
  <c r="B424" s="1"/>
  <c r="I423"/>
  <c r="J423"/>
  <c r="AD423" s="1"/>
  <c r="M423"/>
  <c r="N423" s="1"/>
  <c r="W423" l="1"/>
  <c r="L423"/>
  <c r="AA424"/>
  <c r="P424"/>
  <c r="Q424" s="1"/>
  <c r="R424" s="1"/>
  <c r="S424" s="1"/>
  <c r="Z424"/>
  <c r="AC424"/>
  <c r="T424" l="1"/>
  <c r="U423"/>
  <c r="Y422"/>
  <c r="D424" l="1"/>
  <c r="G424" s="1"/>
  <c r="E424"/>
  <c r="H424" s="1"/>
  <c r="K424" s="1"/>
  <c r="AE424" s="1"/>
  <c r="AG424"/>
  <c r="AH424"/>
  <c r="F424" l="1"/>
  <c r="V424"/>
  <c r="A425"/>
  <c r="B425" s="1"/>
  <c r="I424"/>
  <c r="J424"/>
  <c r="AD424" s="1"/>
  <c r="M424"/>
  <c r="N424" s="1"/>
  <c r="W424" l="1"/>
  <c r="L424"/>
  <c r="Z425"/>
  <c r="AA425"/>
  <c r="P425"/>
  <c r="Q425" s="1"/>
  <c r="R425" s="1"/>
  <c r="S425" s="1"/>
  <c r="AC425"/>
  <c r="AD425"/>
  <c r="U424" l="1"/>
  <c r="Y423"/>
  <c r="T425"/>
  <c r="E425" l="1"/>
  <c r="H425" s="1"/>
  <c r="K425" s="1"/>
  <c r="AE425" s="1"/>
  <c r="D425"/>
  <c r="G425" s="1"/>
  <c r="AH425"/>
  <c r="AG425"/>
  <c r="F425" l="1"/>
  <c r="I425"/>
  <c r="J425"/>
  <c r="M425"/>
  <c r="N425" s="1"/>
  <c r="V425"/>
  <c r="A426"/>
  <c r="B426" s="1"/>
  <c r="L425" l="1"/>
  <c r="W425"/>
  <c r="P426"/>
  <c r="Q426" s="1"/>
  <c r="R426" s="1"/>
  <c r="S426" s="1"/>
  <c r="AA426"/>
  <c r="AD426"/>
  <c r="Z426"/>
  <c r="AC426"/>
  <c r="U425" l="1"/>
  <c r="Y424"/>
  <c r="T426"/>
  <c r="AH426" s="1"/>
  <c r="E426" l="1"/>
  <c r="H426" s="1"/>
  <c r="D426"/>
  <c r="AG426"/>
  <c r="K426" l="1"/>
  <c r="AE426" s="1"/>
  <c r="F426"/>
  <c r="G426"/>
  <c r="V426" l="1"/>
  <c r="A427"/>
  <c r="B427" s="1"/>
  <c r="I426"/>
  <c r="J426"/>
  <c r="M426"/>
  <c r="N426" s="1"/>
  <c r="W426" l="1"/>
  <c r="L426"/>
  <c r="P427"/>
  <c r="Q427" s="1"/>
  <c r="R427" s="1"/>
  <c r="S427" s="1"/>
  <c r="AC427"/>
  <c r="AD427"/>
  <c r="Z427"/>
  <c r="AA427"/>
  <c r="U426" l="1"/>
  <c r="Y425"/>
  <c r="T427"/>
  <c r="AG427" s="1"/>
  <c r="D427" l="1"/>
  <c r="G427" s="1"/>
  <c r="E427"/>
  <c r="H427" s="1"/>
  <c r="K427" s="1"/>
  <c r="AE427" s="1"/>
  <c r="AH427"/>
  <c r="F427" l="1"/>
  <c r="I427"/>
  <c r="J427"/>
  <c r="M427"/>
  <c r="N427" s="1"/>
  <c r="V427"/>
  <c r="A428"/>
  <c r="B428" s="1"/>
  <c r="W427" l="1"/>
  <c r="L427"/>
  <c r="P428"/>
  <c r="Q428" s="1"/>
  <c r="R428" s="1"/>
  <c r="S428" s="1"/>
  <c r="AC428"/>
  <c r="Z428"/>
  <c r="AA428"/>
  <c r="AD428"/>
  <c r="U427" l="1"/>
  <c r="Y426"/>
  <c r="T428"/>
  <c r="AG428" s="1"/>
  <c r="E428" l="1"/>
  <c r="H428" s="1"/>
  <c r="AH428"/>
  <c r="D428"/>
  <c r="K428" l="1"/>
  <c r="AE428" s="1"/>
  <c r="F428"/>
  <c r="G428"/>
  <c r="I428" l="1"/>
  <c r="J428"/>
  <c r="M428"/>
  <c r="N428" s="1"/>
  <c r="V428"/>
  <c r="A429"/>
  <c r="B429" s="1"/>
  <c r="W428" l="1"/>
  <c r="AD429"/>
  <c r="Z429"/>
  <c r="AC429"/>
  <c r="P429"/>
  <c r="Q429" s="1"/>
  <c r="R429" s="1"/>
  <c r="S429" s="1"/>
  <c r="AA429"/>
  <c r="L428"/>
  <c r="U428" l="1"/>
  <c r="Y427"/>
  <c r="T429"/>
  <c r="D429" l="1"/>
  <c r="G429" s="1"/>
  <c r="E429"/>
  <c r="H429" s="1"/>
  <c r="K429" s="1"/>
  <c r="AE429" s="1"/>
  <c r="AG429"/>
  <c r="AH429"/>
  <c r="F429" l="1"/>
  <c r="I429"/>
  <c r="J429"/>
  <c r="M429"/>
  <c r="N429" s="1"/>
  <c r="V429"/>
  <c r="A430"/>
  <c r="B430" s="1"/>
  <c r="L429" l="1"/>
  <c r="W429"/>
  <c r="AA430"/>
  <c r="Z430"/>
  <c r="P430"/>
  <c r="Q430" s="1"/>
  <c r="R430" s="1"/>
  <c r="S430" s="1"/>
  <c r="AC430"/>
  <c r="AD430"/>
  <c r="U429" l="1"/>
  <c r="Y428"/>
  <c r="T430"/>
  <c r="D430" l="1"/>
  <c r="G430" s="1"/>
  <c r="AH430"/>
  <c r="E430"/>
  <c r="H430" s="1"/>
  <c r="AG430"/>
  <c r="F430" l="1"/>
  <c r="I430"/>
  <c r="J430"/>
  <c r="M430"/>
  <c r="N430" s="1"/>
  <c r="K430"/>
  <c r="AE430" s="1"/>
  <c r="V430" l="1"/>
  <c r="W430" s="1"/>
  <c r="A431"/>
  <c r="B431" s="1"/>
  <c r="L430"/>
  <c r="U430" l="1"/>
  <c r="Y429"/>
  <c r="AC431"/>
  <c r="Z431"/>
  <c r="P431"/>
  <c r="Q431" s="1"/>
  <c r="R431" s="1"/>
  <c r="S431" s="1"/>
  <c r="AA431"/>
  <c r="AD431"/>
  <c r="T431" l="1"/>
  <c r="AH431" s="1"/>
  <c r="E431" l="1"/>
  <c r="H431" s="1"/>
  <c r="AG431"/>
  <c r="D431"/>
  <c r="K431" l="1"/>
  <c r="AE431" s="1"/>
  <c r="F431"/>
  <c r="G431"/>
  <c r="V431" l="1"/>
  <c r="A432"/>
  <c r="B432" s="1"/>
  <c r="I431"/>
  <c r="J431"/>
  <c r="M431"/>
  <c r="N431" s="1"/>
  <c r="W431" l="1"/>
  <c r="L431"/>
  <c r="AA432"/>
  <c r="P432"/>
  <c r="Q432" s="1"/>
  <c r="R432" s="1"/>
  <c r="S432" s="1"/>
  <c r="AC432"/>
  <c r="Z432"/>
  <c r="AD432"/>
  <c r="T432" l="1"/>
  <c r="AH432" s="1"/>
  <c r="U431"/>
  <c r="Y430"/>
  <c r="AG432" l="1"/>
  <c r="E432"/>
  <c r="H432" s="1"/>
  <c r="D432"/>
  <c r="K432" l="1"/>
  <c r="AE432" s="1"/>
  <c r="F432"/>
  <c r="G432"/>
  <c r="I432" l="1"/>
  <c r="J432"/>
  <c r="M432"/>
  <c r="N432" s="1"/>
  <c r="V432"/>
  <c r="A433"/>
  <c r="B433" s="1"/>
  <c r="W432" l="1"/>
  <c r="L432"/>
  <c r="P433"/>
  <c r="Q433" s="1"/>
  <c r="R433" s="1"/>
  <c r="S433" s="1"/>
  <c r="AC433"/>
  <c r="Z433"/>
  <c r="AA433"/>
  <c r="AD433"/>
  <c r="U432" l="1"/>
  <c r="Y431"/>
  <c r="T433"/>
  <c r="E433" l="1"/>
  <c r="H433" s="1"/>
  <c r="K433" s="1"/>
  <c r="AE433" s="1"/>
  <c r="D433"/>
  <c r="AG433"/>
  <c r="AH433"/>
  <c r="F433" l="1"/>
  <c r="G433"/>
  <c r="M433" s="1"/>
  <c r="N433" s="1"/>
  <c r="V433"/>
  <c r="A434"/>
  <c r="B434" s="1"/>
  <c r="I433" l="1"/>
  <c r="W433" s="1"/>
  <c r="J433"/>
  <c r="L433" s="1"/>
  <c r="P434"/>
  <c r="Q434" s="1"/>
  <c r="R434" s="1"/>
  <c r="S434" s="1"/>
  <c r="Z434"/>
  <c r="AA434"/>
  <c r="AC434"/>
  <c r="U433" l="1"/>
  <c r="Y432"/>
  <c r="T434"/>
  <c r="AH434" s="1"/>
  <c r="E434" l="1"/>
  <c r="H434" s="1"/>
  <c r="K434" s="1"/>
  <c r="AE434" s="1"/>
  <c r="AG434"/>
  <c r="D434"/>
  <c r="F434" l="1"/>
  <c r="G434"/>
  <c r="M434" s="1"/>
  <c r="N434" s="1"/>
  <c r="V434"/>
  <c r="A435"/>
  <c r="B435" s="1"/>
  <c r="I434" l="1"/>
  <c r="W434" s="1"/>
  <c r="J434"/>
  <c r="P435"/>
  <c r="Q435" s="1"/>
  <c r="R435" s="1"/>
  <c r="S435" s="1"/>
  <c r="AA435"/>
  <c r="AD435"/>
  <c r="AC435"/>
  <c r="Z435"/>
  <c r="L434" l="1"/>
  <c r="Y433" s="1"/>
  <c r="AD434"/>
  <c r="T435"/>
  <c r="U434" l="1"/>
  <c r="E435" s="1"/>
  <c r="H435" s="1"/>
  <c r="AG435"/>
  <c r="AH435"/>
  <c r="D435" l="1"/>
  <c r="G435" s="1"/>
  <c r="I435" s="1"/>
  <c r="K435"/>
  <c r="AE435" s="1"/>
  <c r="J435" l="1"/>
  <c r="L435" s="1"/>
  <c r="M435"/>
  <c r="N435" s="1"/>
  <c r="F435"/>
  <c r="V435"/>
  <c r="W435" s="1"/>
  <c r="A436"/>
  <c r="B436" s="1"/>
  <c r="AC436" l="1"/>
  <c r="Z436"/>
  <c r="P436"/>
  <c r="Q436" s="1"/>
  <c r="R436" s="1"/>
  <c r="S436" s="1"/>
  <c r="AA436"/>
  <c r="AD436"/>
  <c r="U435"/>
  <c r="Y434"/>
  <c r="T436" l="1"/>
  <c r="E436" l="1"/>
  <c r="H436" s="1"/>
  <c r="D436"/>
  <c r="AH436"/>
  <c r="AG436"/>
  <c r="F436" l="1"/>
  <c r="G436"/>
  <c r="K436"/>
  <c r="AE436" s="1"/>
  <c r="I436" l="1"/>
  <c r="J436"/>
  <c r="M436"/>
  <c r="N436" s="1"/>
  <c r="V436"/>
  <c r="A437"/>
  <c r="B437" s="1"/>
  <c r="W436" l="1"/>
  <c r="L436"/>
  <c r="AC437"/>
  <c r="AA437"/>
  <c r="P437"/>
  <c r="Q437" s="1"/>
  <c r="R437" s="1"/>
  <c r="S437" s="1"/>
  <c r="AD437"/>
  <c r="Z437"/>
  <c r="U436" l="1"/>
  <c r="Y435"/>
  <c r="T437"/>
  <c r="AH437" s="1"/>
  <c r="D437" l="1"/>
  <c r="G437" s="1"/>
  <c r="E437"/>
  <c r="H437" s="1"/>
  <c r="K437" s="1"/>
  <c r="AE437" s="1"/>
  <c r="AG437"/>
  <c r="F437" l="1"/>
  <c r="I437"/>
  <c r="J437"/>
  <c r="M437"/>
  <c r="N437" s="1"/>
  <c r="V437"/>
  <c r="A438"/>
  <c r="B438" s="1"/>
  <c r="W437" l="1"/>
  <c r="L437"/>
  <c r="Z438"/>
  <c r="P438"/>
  <c r="Q438" s="1"/>
  <c r="R438" s="1"/>
  <c r="S438" s="1"/>
  <c r="AC438"/>
  <c r="AD438"/>
  <c r="AA438"/>
  <c r="U437" l="1"/>
  <c r="Y436"/>
  <c r="T438"/>
  <c r="E438" l="1"/>
  <c r="H438" s="1"/>
  <c r="K438" s="1"/>
  <c r="AE438" s="1"/>
  <c r="D438"/>
  <c r="AH438"/>
  <c r="AG438"/>
  <c r="V438" l="1"/>
  <c r="A439"/>
  <c r="B439" s="1"/>
  <c r="F438"/>
  <c r="G438"/>
  <c r="I438" l="1"/>
  <c r="W438" s="1"/>
  <c r="J438"/>
  <c r="M438"/>
  <c r="N438" s="1"/>
  <c r="Z439"/>
  <c r="P439"/>
  <c r="Q439" s="1"/>
  <c r="R439" s="1"/>
  <c r="S439" s="1"/>
  <c r="AD439"/>
  <c r="AC439"/>
  <c r="AA439"/>
  <c r="T439" l="1"/>
  <c r="L438"/>
  <c r="AG439" l="1"/>
  <c r="AH439"/>
  <c r="U438"/>
  <c r="E439" s="1"/>
  <c r="H439" s="1"/>
  <c r="Y437"/>
  <c r="D439" l="1"/>
  <c r="G439" s="1"/>
  <c r="K439"/>
  <c r="AE439" s="1"/>
  <c r="F439" l="1"/>
  <c r="V439"/>
  <c r="A440"/>
  <c r="B440" s="1"/>
  <c r="I439"/>
  <c r="J439"/>
  <c r="M439"/>
  <c r="N439" s="1"/>
  <c r="W439" l="1"/>
  <c r="L439"/>
  <c r="Z440"/>
  <c r="AC440"/>
  <c r="P440"/>
  <c r="Q440" s="1"/>
  <c r="R440" s="1"/>
  <c r="S440" s="1"/>
  <c r="AA440"/>
  <c r="AD440"/>
  <c r="T440" l="1"/>
  <c r="AH440" s="1"/>
  <c r="U439"/>
  <c r="Y438"/>
  <c r="AG440" l="1"/>
  <c r="D440"/>
  <c r="E440"/>
  <c r="H440" s="1"/>
  <c r="K440" l="1"/>
  <c r="AE440" s="1"/>
  <c r="F440"/>
  <c r="G440"/>
  <c r="I440" l="1"/>
  <c r="J440"/>
  <c r="M440"/>
  <c r="N440" s="1"/>
  <c r="V440"/>
  <c r="A441"/>
  <c r="B441" s="1"/>
  <c r="W440" l="1"/>
  <c r="L440"/>
  <c r="P441"/>
  <c r="Q441" s="1"/>
  <c r="R441" s="1"/>
  <c r="S441" s="1"/>
  <c r="AD441"/>
  <c r="AC441"/>
  <c r="Z441"/>
  <c r="AA441"/>
  <c r="T441" l="1"/>
  <c r="AH441" s="1"/>
  <c r="U440"/>
  <c r="Y439"/>
  <c r="E441" l="1"/>
  <c r="H441" s="1"/>
  <c r="K441" s="1"/>
  <c r="AE441" s="1"/>
  <c r="AG441"/>
  <c r="D441"/>
  <c r="V441" l="1"/>
  <c r="A442"/>
  <c r="B442" s="1"/>
  <c r="F441"/>
  <c r="G441"/>
  <c r="I441" l="1"/>
  <c r="W441" s="1"/>
  <c r="J441"/>
  <c r="M441"/>
  <c r="N441" s="1"/>
  <c r="AC442"/>
  <c r="AD442"/>
  <c r="AA442"/>
  <c r="P442"/>
  <c r="Q442" s="1"/>
  <c r="R442" s="1"/>
  <c r="S442" s="1"/>
  <c r="Z442"/>
  <c r="T442" l="1"/>
  <c r="L441"/>
  <c r="U441" l="1"/>
  <c r="D442" s="1"/>
  <c r="AH442"/>
  <c r="AG442"/>
  <c r="Y440"/>
  <c r="G442" l="1"/>
  <c r="E442"/>
  <c r="H442" s="1"/>
  <c r="I442" l="1"/>
  <c r="J442"/>
  <c r="M442"/>
  <c r="N442" s="1"/>
  <c r="F442"/>
  <c r="K442"/>
  <c r="AE442" s="1"/>
  <c r="V442" l="1"/>
  <c r="W442" s="1"/>
  <c r="A443"/>
  <c r="B443" s="1"/>
  <c r="L442"/>
  <c r="U442" l="1"/>
  <c r="Y441"/>
  <c r="Z443"/>
  <c r="P443"/>
  <c r="Q443" s="1"/>
  <c r="R443" s="1"/>
  <c r="S443" s="1"/>
  <c r="AD443"/>
  <c r="AC443"/>
  <c r="AA443"/>
  <c r="T443" l="1"/>
  <c r="D443" s="1"/>
  <c r="E443" l="1"/>
  <c r="H443" s="1"/>
  <c r="K443" s="1"/>
  <c r="AE443" s="1"/>
  <c r="G443"/>
  <c r="AG443"/>
  <c r="AH443"/>
  <c r="F443" l="1"/>
  <c r="V443"/>
  <c r="A444"/>
  <c r="B444" s="1"/>
  <c r="I443"/>
  <c r="J443"/>
  <c r="M443"/>
  <c r="N443" s="1"/>
  <c r="W443" l="1"/>
  <c r="L443"/>
  <c r="Z444"/>
  <c r="P444"/>
  <c r="Q444" s="1"/>
  <c r="R444" s="1"/>
  <c r="S444" s="1"/>
  <c r="AA444"/>
  <c r="AC444"/>
  <c r="U443" l="1"/>
  <c r="Y442"/>
  <c r="T444"/>
  <c r="AG444" s="1"/>
  <c r="AH444" l="1"/>
  <c r="D444"/>
  <c r="E444"/>
  <c r="H444" s="1"/>
  <c r="F444" l="1"/>
  <c r="G444"/>
  <c r="K444"/>
  <c r="AE444" s="1"/>
  <c r="I444" l="1"/>
  <c r="J444"/>
  <c r="AD444" s="1"/>
  <c r="M444"/>
  <c r="N444" s="1"/>
  <c r="V444"/>
  <c r="A445"/>
  <c r="B445" s="1"/>
  <c r="W444" l="1"/>
  <c r="L444"/>
  <c r="AA445"/>
  <c r="P445"/>
  <c r="Q445" s="1"/>
  <c r="R445" s="1"/>
  <c r="S445" s="1"/>
  <c r="Z445"/>
  <c r="AD445"/>
  <c r="AC445"/>
  <c r="T445" l="1"/>
  <c r="U444"/>
  <c r="Y443"/>
  <c r="D445" l="1"/>
  <c r="G445" s="1"/>
  <c r="AG445"/>
  <c r="E445"/>
  <c r="H445" s="1"/>
  <c r="AH445"/>
  <c r="K445" l="1"/>
  <c r="AE445" s="1"/>
  <c r="I445"/>
  <c r="J445"/>
  <c r="M445"/>
  <c r="N445" s="1"/>
  <c r="F445"/>
  <c r="L445" l="1"/>
  <c r="V445"/>
  <c r="W445" s="1"/>
  <c r="A446"/>
  <c r="B446" s="1"/>
  <c r="AD446" l="1"/>
  <c r="AC446"/>
  <c r="P446"/>
  <c r="Q446" s="1"/>
  <c r="R446" s="1"/>
  <c r="S446" s="1"/>
  <c r="Z446"/>
  <c r="AA446"/>
  <c r="U445"/>
  <c r="Y444"/>
  <c r="T446" l="1"/>
  <c r="D446" s="1"/>
  <c r="AG446" l="1"/>
  <c r="G446"/>
  <c r="E446"/>
  <c r="H446" s="1"/>
  <c r="AH446"/>
  <c r="K446" l="1"/>
  <c r="AE446" s="1"/>
  <c r="F446"/>
  <c r="I446"/>
  <c r="J446"/>
  <c r="M446"/>
  <c r="N446" s="1"/>
  <c r="L446" l="1"/>
  <c r="V446"/>
  <c r="W446" s="1"/>
  <c r="A447"/>
  <c r="B447" s="1"/>
  <c r="Z447" l="1"/>
  <c r="P447"/>
  <c r="Q447" s="1"/>
  <c r="R447" s="1"/>
  <c r="S447" s="1"/>
  <c r="AC447"/>
  <c r="AA447"/>
  <c r="AD447"/>
  <c r="U446"/>
  <c r="Y445"/>
  <c r="T447" l="1"/>
  <c r="AG447" s="1"/>
  <c r="D447" l="1"/>
  <c r="G447" s="1"/>
  <c r="AH447"/>
  <c r="E447"/>
  <c r="H447" s="1"/>
  <c r="K447" s="1"/>
  <c r="AE447" s="1"/>
  <c r="F447" l="1"/>
  <c r="I447"/>
  <c r="J447"/>
  <c r="M447"/>
  <c r="N447" s="1"/>
  <c r="V447"/>
  <c r="A448"/>
  <c r="B448" s="1"/>
  <c r="W447" l="1"/>
  <c r="L447"/>
  <c r="AD448"/>
  <c r="Z448"/>
  <c r="AA448"/>
  <c r="P448"/>
  <c r="Q448" s="1"/>
  <c r="R448" s="1"/>
  <c r="S448" s="1"/>
  <c r="AC448"/>
  <c r="T448" l="1"/>
  <c r="AG448" s="1"/>
  <c r="U447"/>
  <c r="Y446"/>
  <c r="D448" l="1"/>
  <c r="G448" s="1"/>
  <c r="E448"/>
  <c r="H448" s="1"/>
  <c r="AH448"/>
  <c r="F448" l="1"/>
  <c r="I448"/>
  <c r="J448"/>
  <c r="M448"/>
  <c r="N448" s="1"/>
  <c r="K448"/>
  <c r="AE448" s="1"/>
  <c r="V448" l="1"/>
  <c r="W448" s="1"/>
  <c r="A449"/>
  <c r="B449" s="1"/>
  <c r="L448"/>
  <c r="U448" l="1"/>
  <c r="Y447"/>
  <c r="P449"/>
  <c r="Q449" s="1"/>
  <c r="R449" s="1"/>
  <c r="S449" s="1"/>
  <c r="AD449"/>
  <c r="AA449"/>
  <c r="Z449"/>
  <c r="AC449"/>
  <c r="T449" l="1"/>
  <c r="D449" s="1"/>
  <c r="G449" l="1"/>
  <c r="AG449"/>
  <c r="AH449"/>
  <c r="E449"/>
  <c r="H449" s="1"/>
  <c r="K449" l="1"/>
  <c r="AE449" s="1"/>
  <c r="F449"/>
  <c r="I449"/>
  <c r="J449"/>
  <c r="M449"/>
  <c r="N449" s="1"/>
  <c r="L449" l="1"/>
  <c r="V449"/>
  <c r="W449" s="1"/>
  <c r="A450"/>
  <c r="B450" s="1"/>
  <c r="P450" l="1"/>
  <c r="Q450" s="1"/>
  <c r="R450" s="1"/>
  <c r="S450" s="1"/>
  <c r="AD450"/>
  <c r="Z450"/>
  <c r="AC450"/>
  <c r="AA450"/>
  <c r="U449"/>
  <c r="Y448"/>
  <c r="T450" l="1"/>
  <c r="D450" s="1"/>
  <c r="AH450" l="1"/>
  <c r="G450"/>
  <c r="E450"/>
  <c r="H450" s="1"/>
  <c r="AG450"/>
  <c r="F450" l="1"/>
  <c r="I450"/>
  <c r="J450"/>
  <c r="M450"/>
  <c r="N450" s="1"/>
  <c r="K450"/>
  <c r="AE450" s="1"/>
  <c r="V450" l="1"/>
  <c r="W450" s="1"/>
  <c r="A451"/>
  <c r="B451" s="1"/>
  <c r="L450"/>
  <c r="U450" l="1"/>
  <c r="Y449"/>
  <c r="P451"/>
  <c r="Q451" s="1"/>
  <c r="R451" s="1"/>
  <c r="S451" s="1"/>
  <c r="Z451"/>
  <c r="AD451"/>
  <c r="AA451"/>
  <c r="AC451"/>
  <c r="T451" l="1"/>
  <c r="AG451" s="1"/>
  <c r="E451" l="1"/>
  <c r="H451" s="1"/>
  <c r="K451" s="1"/>
  <c r="AE451" s="1"/>
  <c r="AH451"/>
  <c r="D451"/>
  <c r="V451" l="1"/>
  <c r="A452"/>
  <c r="B452" s="1"/>
  <c r="F451"/>
  <c r="G451"/>
  <c r="I451" l="1"/>
  <c r="W451" s="1"/>
  <c r="J451"/>
  <c r="M451"/>
  <c r="N451" s="1"/>
  <c r="AA452"/>
  <c r="P452"/>
  <c r="Q452" s="1"/>
  <c r="R452" s="1"/>
  <c r="S452" s="1"/>
  <c r="AC452"/>
  <c r="Z452"/>
  <c r="AD452"/>
  <c r="T452" l="1"/>
  <c r="L451"/>
  <c r="U451" l="1"/>
  <c r="D452" s="1"/>
  <c r="AH452"/>
  <c r="AG452"/>
  <c r="Y450"/>
  <c r="E452" l="1"/>
  <c r="H452" s="1"/>
  <c r="K452" s="1"/>
  <c r="AE452" s="1"/>
  <c r="G452"/>
  <c r="F452" l="1"/>
  <c r="I452"/>
  <c r="J452"/>
  <c r="M452"/>
  <c r="N452" s="1"/>
  <c r="V452"/>
  <c r="A453"/>
  <c r="B453" s="1"/>
  <c r="W452" l="1"/>
  <c r="L452"/>
  <c r="AA453"/>
  <c r="P453"/>
  <c r="Q453" s="1"/>
  <c r="R453" s="1"/>
  <c r="S453" s="1"/>
  <c r="AC453"/>
  <c r="AD453"/>
  <c r="Z453"/>
  <c r="U452" l="1"/>
  <c r="Y451"/>
  <c r="T453"/>
  <c r="AH453" s="1"/>
  <c r="AG453" l="1"/>
  <c r="E453"/>
  <c r="H453" s="1"/>
  <c r="D453"/>
  <c r="K453" l="1"/>
  <c r="AE453" s="1"/>
  <c r="F453"/>
  <c r="G453"/>
  <c r="I453" l="1"/>
  <c r="J453"/>
  <c r="M453"/>
  <c r="N453" s="1"/>
  <c r="V453"/>
  <c r="A454"/>
  <c r="B454" s="1"/>
  <c r="W453" l="1"/>
  <c r="AA454"/>
  <c r="AC454"/>
  <c r="Z454"/>
  <c r="P454"/>
  <c r="Q454" s="1"/>
  <c r="R454" s="1"/>
  <c r="S454" s="1"/>
  <c r="L453"/>
  <c r="U453" l="1"/>
  <c r="Y452"/>
  <c r="T454"/>
  <c r="E454" l="1"/>
  <c r="H454" s="1"/>
  <c r="K454" s="1"/>
  <c r="AE454" s="1"/>
  <c r="AH454"/>
  <c r="AG454"/>
  <c r="D454"/>
  <c r="F454" l="1"/>
  <c r="G454"/>
  <c r="V454"/>
  <c r="A455"/>
  <c r="B455" s="1"/>
  <c r="AC455" l="1"/>
  <c r="AD455"/>
  <c r="AA455"/>
  <c r="Z455"/>
  <c r="P455"/>
  <c r="Q455" s="1"/>
  <c r="R455" s="1"/>
  <c r="S455" s="1"/>
  <c r="I454"/>
  <c r="W454" s="1"/>
  <c r="J454"/>
  <c r="AD454" s="1"/>
  <c r="M454"/>
  <c r="N454" s="1"/>
  <c r="L454" l="1"/>
  <c r="T455"/>
  <c r="AH455" l="1"/>
  <c r="U454"/>
  <c r="D455" s="1"/>
  <c r="AG455"/>
  <c r="Y453"/>
  <c r="E455" l="1"/>
  <c r="H455" s="1"/>
  <c r="K455" s="1"/>
  <c r="AE455" s="1"/>
  <c r="G455"/>
  <c r="F455" l="1"/>
  <c r="I455"/>
  <c r="J455"/>
  <c r="M455"/>
  <c r="N455" s="1"/>
  <c r="V455"/>
  <c r="A456"/>
  <c r="B456" s="1"/>
  <c r="W455" l="1"/>
  <c r="L455"/>
  <c r="AC456"/>
  <c r="P456"/>
  <c r="Q456" s="1"/>
  <c r="R456" s="1"/>
  <c r="S456" s="1"/>
  <c r="AD456"/>
  <c r="Z456"/>
  <c r="AA456"/>
  <c r="U455" l="1"/>
  <c r="Y454"/>
  <c r="T456"/>
  <c r="AG456" s="1"/>
  <c r="D456" l="1"/>
  <c r="G456" s="1"/>
  <c r="AH456"/>
  <c r="E456"/>
  <c r="H456" s="1"/>
  <c r="I456" l="1"/>
  <c r="J456"/>
  <c r="M456"/>
  <c r="N456" s="1"/>
  <c r="K456"/>
  <c r="AE456" s="1"/>
  <c r="F456"/>
  <c r="V456" l="1"/>
  <c r="W456" s="1"/>
  <c r="A457"/>
  <c r="B457" s="1"/>
  <c r="L456"/>
  <c r="Z457" l="1"/>
  <c r="AC457"/>
  <c r="P457"/>
  <c r="Q457" s="1"/>
  <c r="R457" s="1"/>
  <c r="S457" s="1"/>
  <c r="AD457"/>
  <c r="AA457"/>
  <c r="U456"/>
  <c r="Y455"/>
  <c r="T457" l="1"/>
  <c r="D457" l="1"/>
  <c r="AH457"/>
  <c r="E457"/>
  <c r="H457" s="1"/>
  <c r="AG457"/>
  <c r="F457" l="1"/>
  <c r="G457"/>
  <c r="K457"/>
  <c r="AE457" s="1"/>
  <c r="I457" l="1"/>
  <c r="J457"/>
  <c r="M457"/>
  <c r="N457" s="1"/>
  <c r="V457"/>
  <c r="A458"/>
  <c r="B458" s="1"/>
  <c r="L457" l="1"/>
  <c r="W457"/>
  <c r="P458"/>
  <c r="Q458" s="1"/>
  <c r="R458" s="1"/>
  <c r="S458" s="1"/>
  <c r="AC458"/>
  <c r="Z458"/>
  <c r="AD458"/>
  <c r="AA458"/>
  <c r="U457" l="1"/>
  <c r="Y456"/>
  <c r="T458"/>
  <c r="AH458" s="1"/>
  <c r="AG458" l="1"/>
  <c r="E458"/>
  <c r="H458" s="1"/>
  <c r="D458"/>
  <c r="K458" l="1"/>
  <c r="AE458" s="1"/>
  <c r="F458"/>
  <c r="G458"/>
  <c r="V458" l="1"/>
  <c r="A459"/>
  <c r="B459" s="1"/>
  <c r="I458"/>
  <c r="J458"/>
  <c r="M458"/>
  <c r="N458" s="1"/>
  <c r="W458" l="1"/>
  <c r="L458"/>
  <c r="Z459"/>
  <c r="P459"/>
  <c r="Q459" s="1"/>
  <c r="R459" s="1"/>
  <c r="S459" s="1"/>
  <c r="AA459"/>
  <c r="AD459"/>
  <c r="AC459"/>
  <c r="T459" l="1"/>
  <c r="AH459" s="1"/>
  <c r="U458"/>
  <c r="Y457"/>
  <c r="AG459" l="1"/>
  <c r="D459"/>
  <c r="E459"/>
  <c r="H459" s="1"/>
  <c r="K459" l="1"/>
  <c r="AE459" s="1"/>
  <c r="F459"/>
  <c r="G459"/>
  <c r="I459" l="1"/>
  <c r="J459"/>
  <c r="M459"/>
  <c r="N459" s="1"/>
  <c r="V459"/>
  <c r="A460"/>
  <c r="B460" s="1"/>
  <c r="W459" l="1"/>
  <c r="L459"/>
  <c r="P460"/>
  <c r="Q460" s="1"/>
  <c r="R460" s="1"/>
  <c r="S460" s="1"/>
  <c r="AD460"/>
  <c r="Z460"/>
  <c r="AA460"/>
  <c r="AC460"/>
  <c r="U459" l="1"/>
  <c r="Y458"/>
  <c r="T460"/>
  <c r="D460" l="1"/>
  <c r="G460" s="1"/>
  <c r="AH460"/>
  <c r="E460"/>
  <c r="H460" s="1"/>
  <c r="AG460"/>
  <c r="F460" l="1"/>
  <c r="I460"/>
  <c r="J460"/>
  <c r="M460"/>
  <c r="N460" s="1"/>
  <c r="K460"/>
  <c r="AE460" s="1"/>
  <c r="V460" l="1"/>
  <c r="W460" s="1"/>
  <c r="A461"/>
  <c r="B461" s="1"/>
  <c r="L460"/>
  <c r="U460" l="1"/>
  <c r="Y459"/>
  <c r="AC461"/>
  <c r="Z461"/>
  <c r="P461"/>
  <c r="Q461" s="1"/>
  <c r="R461" s="1"/>
  <c r="S461" s="1"/>
  <c r="AA461"/>
  <c r="AD461"/>
  <c r="T461" l="1"/>
  <c r="D461" s="1"/>
  <c r="AG461" l="1"/>
  <c r="G461"/>
  <c r="AH461"/>
  <c r="E461"/>
  <c r="H461" s="1"/>
  <c r="F461" l="1"/>
  <c r="I461"/>
  <c r="J461"/>
  <c r="M461"/>
  <c r="N461" s="1"/>
  <c r="K461"/>
  <c r="AE461" s="1"/>
  <c r="V461" l="1"/>
  <c r="W461" s="1"/>
  <c r="A462"/>
  <c r="B462" s="1"/>
  <c r="L461"/>
  <c r="U461" l="1"/>
  <c r="Y460"/>
  <c r="Z462"/>
  <c r="P462"/>
  <c r="Q462" s="1"/>
  <c r="R462" s="1"/>
  <c r="S462" s="1"/>
  <c r="AD462"/>
  <c r="AA462"/>
  <c r="AC462"/>
  <c r="T462" l="1"/>
  <c r="E462" s="1"/>
  <c r="H462" s="1"/>
  <c r="AG462" l="1"/>
  <c r="AH462"/>
  <c r="D462"/>
  <c r="G462" s="1"/>
  <c r="K462"/>
  <c r="AE462" s="1"/>
  <c r="F462" l="1"/>
  <c r="V462"/>
  <c r="A463"/>
  <c r="B463" s="1"/>
  <c r="I462"/>
  <c r="J462"/>
  <c r="M462"/>
  <c r="N462" s="1"/>
  <c r="W462" l="1"/>
  <c r="L462"/>
  <c r="P463"/>
  <c r="Q463" s="1"/>
  <c r="R463" s="1"/>
  <c r="S463" s="1"/>
  <c r="AC463"/>
  <c r="Z463"/>
  <c r="AA463"/>
  <c r="AD463"/>
  <c r="U462" l="1"/>
  <c r="Y461"/>
  <c r="T463"/>
  <c r="AH463" s="1"/>
  <c r="AG463" l="1"/>
  <c r="D463"/>
  <c r="E463"/>
  <c r="H463" s="1"/>
  <c r="F463" l="1"/>
  <c r="G463"/>
  <c r="K463"/>
  <c r="AE463" s="1"/>
  <c r="V463" l="1"/>
  <c r="A464"/>
  <c r="B464" s="1"/>
  <c r="I463"/>
  <c r="J463"/>
  <c r="M463"/>
  <c r="N463" s="1"/>
  <c r="W463" l="1"/>
  <c r="L463"/>
  <c r="Z464"/>
  <c r="AC464"/>
  <c r="P464"/>
  <c r="Q464" s="1"/>
  <c r="R464" s="1"/>
  <c r="S464" s="1"/>
  <c r="AA464"/>
  <c r="T464" l="1"/>
  <c r="AG464" s="1"/>
  <c r="U463"/>
  <c r="Y462"/>
  <c r="AH464" l="1"/>
  <c r="D464"/>
  <c r="E464"/>
  <c r="H464" s="1"/>
  <c r="K464" l="1"/>
  <c r="AE464" s="1"/>
  <c r="F464"/>
  <c r="G464"/>
  <c r="I464" l="1"/>
  <c r="J464"/>
  <c r="AD464" s="1"/>
  <c r="M464"/>
  <c r="N464" s="1"/>
  <c r="V464"/>
  <c r="A465"/>
  <c r="B465" s="1"/>
  <c r="W464" l="1"/>
  <c r="L464"/>
  <c r="Z465"/>
  <c r="P465"/>
  <c r="Q465" s="1"/>
  <c r="R465" s="1"/>
  <c r="S465" s="1"/>
  <c r="AC465"/>
  <c r="AA465"/>
  <c r="AD465"/>
  <c r="T465" l="1"/>
  <c r="AH465" s="1"/>
  <c r="U464"/>
  <c r="Y463"/>
  <c r="D465" l="1"/>
  <c r="G465" s="1"/>
  <c r="E465"/>
  <c r="H465" s="1"/>
  <c r="AG465"/>
  <c r="F465" l="1"/>
  <c r="I465"/>
  <c r="J465"/>
  <c r="M465"/>
  <c r="N465" s="1"/>
  <c r="K465"/>
  <c r="AE465" s="1"/>
  <c r="V465" l="1"/>
  <c r="W465" s="1"/>
  <c r="A466"/>
  <c r="B466" s="1"/>
  <c r="L465"/>
  <c r="U465" l="1"/>
  <c r="Y464"/>
  <c r="AA466"/>
  <c r="AD466"/>
  <c r="AC466"/>
  <c r="Z466"/>
  <c r="P466"/>
  <c r="Q466" s="1"/>
  <c r="R466" s="1"/>
  <c r="S466" s="1"/>
  <c r="T466" l="1"/>
  <c r="AH466" s="1"/>
  <c r="AG466" l="1"/>
  <c r="E466"/>
  <c r="H466" s="1"/>
  <c r="K466" s="1"/>
  <c r="AE466" s="1"/>
  <c r="D466"/>
  <c r="G466" s="1"/>
  <c r="F466" l="1"/>
  <c r="I466"/>
  <c r="J466"/>
  <c r="M466"/>
  <c r="N466" s="1"/>
  <c r="V466"/>
  <c r="A467"/>
  <c r="B467" s="1"/>
  <c r="W466" l="1"/>
  <c r="L466"/>
  <c r="P467"/>
  <c r="Q467" s="1"/>
  <c r="R467" s="1"/>
  <c r="S467" s="1"/>
  <c r="AA467"/>
  <c r="Z467"/>
  <c r="AC467"/>
  <c r="AD467"/>
  <c r="U466" l="1"/>
  <c r="Y465"/>
  <c r="T467"/>
  <c r="E467" l="1"/>
  <c r="H467" s="1"/>
  <c r="K467" s="1"/>
  <c r="AE467" s="1"/>
  <c r="AG467"/>
  <c r="D467"/>
  <c r="AH467"/>
  <c r="F467" l="1"/>
  <c r="G467"/>
  <c r="V467"/>
  <c r="A468"/>
  <c r="B468" s="1"/>
  <c r="AC468" l="1"/>
  <c r="Z468"/>
  <c r="P468"/>
  <c r="Q468" s="1"/>
  <c r="R468" s="1"/>
  <c r="S468" s="1"/>
  <c r="AA468"/>
  <c r="AD468"/>
  <c r="I467"/>
  <c r="W467" s="1"/>
  <c r="J467"/>
  <c r="M467"/>
  <c r="N467" s="1"/>
  <c r="L467" l="1"/>
  <c r="T468"/>
  <c r="U467" l="1"/>
  <c r="D468" s="1"/>
  <c r="AH468"/>
  <c r="AG468"/>
  <c r="Y466"/>
  <c r="E468" l="1"/>
  <c r="H468" s="1"/>
  <c r="K468" s="1"/>
  <c r="AE468" s="1"/>
  <c r="G468"/>
  <c r="F468" l="1"/>
  <c r="I468"/>
  <c r="J468"/>
  <c r="M468"/>
  <c r="N468" s="1"/>
  <c r="V468"/>
  <c r="A469"/>
  <c r="B469" s="1"/>
  <c r="W468" l="1"/>
  <c r="L468"/>
  <c r="AD469"/>
  <c r="AA469"/>
  <c r="P469"/>
  <c r="Q469" s="1"/>
  <c r="R469" s="1"/>
  <c r="S469" s="1"/>
  <c r="Z469"/>
  <c r="AC469"/>
  <c r="U468" l="1"/>
  <c r="Y467"/>
  <c r="T469"/>
  <c r="AG469" s="1"/>
  <c r="D469" l="1"/>
  <c r="G469" s="1"/>
  <c r="AH469"/>
  <c r="E469"/>
  <c r="H469" s="1"/>
  <c r="K469" s="1"/>
  <c r="AE469" s="1"/>
  <c r="F469" l="1"/>
  <c r="I469"/>
  <c r="J469"/>
  <c r="M469"/>
  <c r="N469" s="1"/>
  <c r="V469"/>
  <c r="A470"/>
  <c r="B470" s="1"/>
  <c r="W469" l="1"/>
  <c r="L469"/>
  <c r="AC470"/>
  <c r="P470"/>
  <c r="Q470" s="1"/>
  <c r="R470" s="1"/>
  <c r="S470" s="1"/>
  <c r="AA470"/>
  <c r="Z470"/>
  <c r="AD470"/>
  <c r="U469" l="1"/>
  <c r="Y468"/>
  <c r="T470"/>
  <c r="D470" l="1"/>
  <c r="G470" s="1"/>
  <c r="AH470"/>
  <c r="AG470"/>
  <c r="E470"/>
  <c r="H470" s="1"/>
  <c r="K470" l="1"/>
  <c r="AE470" s="1"/>
  <c r="F470"/>
  <c r="I470"/>
  <c r="J470"/>
  <c r="M470"/>
  <c r="N470" s="1"/>
  <c r="V470" l="1"/>
  <c r="W470" s="1"/>
  <c r="A471"/>
  <c r="B471" s="1"/>
  <c r="L470"/>
  <c r="U470" l="1"/>
  <c r="Y469"/>
  <c r="Z471"/>
  <c r="AA471"/>
  <c r="AD471"/>
  <c r="AC471"/>
  <c r="P471"/>
  <c r="Q471" s="1"/>
  <c r="R471" s="1"/>
  <c r="S471" s="1"/>
  <c r="T471" l="1"/>
  <c r="AH471" s="1"/>
  <c r="AG471" l="1"/>
  <c r="E471"/>
  <c r="H471" s="1"/>
  <c r="D471"/>
  <c r="F471" l="1"/>
  <c r="G471"/>
  <c r="K471"/>
  <c r="AE471" s="1"/>
  <c r="V471" l="1"/>
  <c r="A472"/>
  <c r="B472" s="1"/>
  <c r="I471"/>
  <c r="J471"/>
  <c r="M471"/>
  <c r="N471" s="1"/>
  <c r="W471" l="1"/>
  <c r="L471"/>
  <c r="Z472"/>
  <c r="AA472"/>
  <c r="P472"/>
  <c r="Q472" s="1"/>
  <c r="R472" s="1"/>
  <c r="S472" s="1"/>
  <c r="AD472"/>
  <c r="AC472"/>
  <c r="U471" l="1"/>
  <c r="Y470"/>
  <c r="T472"/>
  <c r="E472" l="1"/>
  <c r="H472" s="1"/>
  <c r="K472" s="1"/>
  <c r="AE472" s="1"/>
  <c r="AG472"/>
  <c r="AH472"/>
  <c r="D472"/>
  <c r="V472" l="1"/>
  <c r="A473"/>
  <c r="B473" s="1"/>
  <c r="F472"/>
  <c r="G472"/>
  <c r="I472" l="1"/>
  <c r="W472" s="1"/>
  <c r="J472"/>
  <c r="M472"/>
  <c r="N472" s="1"/>
  <c r="AC473"/>
  <c r="P473"/>
  <c r="Q473" s="1"/>
  <c r="R473" s="1"/>
  <c r="S473" s="1"/>
  <c r="AD473"/>
  <c r="Z473"/>
  <c r="AA473"/>
  <c r="L472" l="1"/>
  <c r="T473"/>
  <c r="U472" l="1"/>
  <c r="D473" s="1"/>
  <c r="AH473"/>
  <c r="AG473"/>
  <c r="Y471"/>
  <c r="G473" l="1"/>
  <c r="E473"/>
  <c r="H473" s="1"/>
  <c r="F473" l="1"/>
  <c r="I473"/>
  <c r="J473"/>
  <c r="M473"/>
  <c r="N473" s="1"/>
  <c r="K473"/>
  <c r="AE473" s="1"/>
  <c r="V473" l="1"/>
  <c r="W473" s="1"/>
  <c r="A474"/>
  <c r="B474" s="1"/>
  <c r="L473"/>
  <c r="U473" l="1"/>
  <c r="Y472"/>
  <c r="P474"/>
  <c r="Q474" s="1"/>
  <c r="R474" s="1"/>
  <c r="S474" s="1"/>
  <c r="Z474"/>
  <c r="AA474"/>
  <c r="AC474"/>
  <c r="T474" l="1"/>
  <c r="D474" s="1"/>
  <c r="AG474" l="1"/>
  <c r="AH474"/>
  <c r="G474"/>
  <c r="E474"/>
  <c r="H474" s="1"/>
  <c r="I474" l="1"/>
  <c r="J474"/>
  <c r="AD474" s="1"/>
  <c r="M474"/>
  <c r="N474" s="1"/>
  <c r="F474"/>
  <c r="K474"/>
  <c r="AE474" s="1"/>
  <c r="V474" l="1"/>
  <c r="W474" s="1"/>
  <c r="A475"/>
  <c r="B475" s="1"/>
  <c r="L474"/>
  <c r="U474" l="1"/>
  <c r="Y473"/>
  <c r="AC475"/>
  <c r="Z475"/>
  <c r="P475"/>
  <c r="Q475" s="1"/>
  <c r="R475" s="1"/>
  <c r="S475" s="1"/>
  <c r="AD475"/>
  <c r="AA475"/>
  <c r="T475" l="1"/>
  <c r="AG475" s="1"/>
  <c r="AH475" l="1"/>
  <c r="E475"/>
  <c r="H475" s="1"/>
  <c r="K475" s="1"/>
  <c r="AE475" s="1"/>
  <c r="D475"/>
  <c r="F475" l="1"/>
  <c r="G475"/>
  <c r="M475" s="1"/>
  <c r="N475" s="1"/>
  <c r="V475"/>
  <c r="A476"/>
  <c r="B476" s="1"/>
  <c r="I475" l="1"/>
  <c r="W475" s="1"/>
  <c r="J475"/>
  <c r="L475" s="1"/>
  <c r="P476"/>
  <c r="Q476" s="1"/>
  <c r="R476" s="1"/>
  <c r="S476" s="1"/>
  <c r="AA476"/>
  <c r="AD476"/>
  <c r="Z476"/>
  <c r="AC476"/>
  <c r="U475" l="1"/>
  <c r="Y474"/>
  <c r="T476"/>
  <c r="AG476" s="1"/>
  <c r="D476" l="1"/>
  <c r="G476" s="1"/>
  <c r="E476"/>
  <c r="H476" s="1"/>
  <c r="K476" s="1"/>
  <c r="AE476" s="1"/>
  <c r="AH476"/>
  <c r="F476" l="1"/>
  <c r="V476"/>
  <c r="A477"/>
  <c r="B477" s="1"/>
  <c r="I476"/>
  <c r="J476"/>
  <c r="M476"/>
  <c r="N476" s="1"/>
  <c r="W476" l="1"/>
  <c r="L476"/>
  <c r="AA477"/>
  <c r="P477"/>
  <c r="Q477" s="1"/>
  <c r="R477" s="1"/>
  <c r="S477" s="1"/>
  <c r="AD477"/>
  <c r="AC477"/>
  <c r="Z477"/>
  <c r="U476" l="1"/>
  <c r="Y475"/>
  <c r="T477"/>
  <c r="D477" l="1"/>
  <c r="G477" s="1"/>
  <c r="AG477"/>
  <c r="E477"/>
  <c r="H477" s="1"/>
  <c r="K477" s="1"/>
  <c r="AE477" s="1"/>
  <c r="AH477"/>
  <c r="F477" l="1"/>
  <c r="V477"/>
  <c r="A478"/>
  <c r="B478" s="1"/>
  <c r="I477"/>
  <c r="J477"/>
  <c r="M477"/>
  <c r="N477" s="1"/>
  <c r="W477" l="1"/>
  <c r="L477"/>
  <c r="AA478"/>
  <c r="AD478"/>
  <c r="P478"/>
  <c r="Q478" s="1"/>
  <c r="R478" s="1"/>
  <c r="S478" s="1"/>
  <c r="AC478"/>
  <c r="Z478"/>
  <c r="T478" l="1"/>
  <c r="U477"/>
  <c r="Y476"/>
  <c r="E478" l="1"/>
  <c r="H478" s="1"/>
  <c r="K478" s="1"/>
  <c r="AE478" s="1"/>
  <c r="AG478"/>
  <c r="AH478"/>
  <c r="D478"/>
  <c r="F478" l="1"/>
  <c r="G478"/>
  <c r="V478"/>
  <c r="A479"/>
  <c r="B479" s="1"/>
  <c r="I478" l="1"/>
  <c r="W478" s="1"/>
  <c r="J478"/>
  <c r="M478"/>
  <c r="N478" s="1"/>
  <c r="P479"/>
  <c r="Q479" s="1"/>
  <c r="R479" s="1"/>
  <c r="S479" s="1"/>
  <c r="AD479"/>
  <c r="AC479"/>
  <c r="AA479"/>
  <c r="Z479"/>
  <c r="T479" l="1"/>
  <c r="L478"/>
  <c r="U478" l="1"/>
  <c r="E479" s="1"/>
  <c r="H479" s="1"/>
  <c r="AH479"/>
  <c r="AG479"/>
  <c r="Y477"/>
  <c r="D479" l="1"/>
  <c r="G479" s="1"/>
  <c r="K479"/>
  <c r="AE479" s="1"/>
  <c r="F479" l="1"/>
  <c r="I479"/>
  <c r="J479"/>
  <c r="M479"/>
  <c r="N479" s="1"/>
  <c r="V479"/>
  <c r="A480"/>
  <c r="B480" s="1"/>
  <c r="W479" l="1"/>
  <c r="AA480"/>
  <c r="P480"/>
  <c r="Q480" s="1"/>
  <c r="R480" s="1"/>
  <c r="S480" s="1"/>
  <c r="AD480"/>
  <c r="AC480"/>
  <c r="Z480"/>
  <c r="L479"/>
  <c r="U479" l="1"/>
  <c r="Y478"/>
  <c r="T480"/>
  <c r="E480" l="1"/>
  <c r="H480" s="1"/>
  <c r="K480" s="1"/>
  <c r="AE480" s="1"/>
  <c r="AH480"/>
  <c r="AG480"/>
  <c r="D480"/>
  <c r="V480" l="1"/>
  <c r="A481"/>
  <c r="B481" s="1"/>
  <c r="F480"/>
  <c r="G480"/>
  <c r="I480" l="1"/>
  <c r="W480" s="1"/>
  <c r="J480"/>
  <c r="M480"/>
  <c r="N480" s="1"/>
  <c r="P481"/>
  <c r="Q481" s="1"/>
  <c r="R481" s="1"/>
  <c r="S481" s="1"/>
  <c r="AC481"/>
  <c r="AA481"/>
  <c r="AD481"/>
  <c r="Z481"/>
  <c r="T481" l="1"/>
  <c r="L480"/>
  <c r="U480" l="1"/>
  <c r="D481" s="1"/>
  <c r="AG481"/>
  <c r="AH481"/>
  <c r="Y479"/>
  <c r="G481" l="1"/>
  <c r="E481"/>
  <c r="H481" s="1"/>
  <c r="K481" l="1"/>
  <c r="AE481" s="1"/>
  <c r="I481"/>
  <c r="J481"/>
  <c r="M481"/>
  <c r="N481" s="1"/>
  <c r="F481"/>
  <c r="V481" l="1"/>
  <c r="W481" s="1"/>
  <c r="A482"/>
  <c r="B482" s="1"/>
  <c r="L481"/>
  <c r="U481" l="1"/>
  <c r="Y480"/>
  <c r="AC482"/>
  <c r="AA482"/>
  <c r="P482"/>
  <c r="Q482" s="1"/>
  <c r="R482" s="1"/>
  <c r="S482" s="1"/>
  <c r="AD482"/>
  <c r="Z482"/>
  <c r="T482" l="1"/>
  <c r="D482" s="1"/>
  <c r="AG482" l="1"/>
  <c r="G482"/>
  <c r="AH482"/>
  <c r="E482"/>
  <c r="H482" s="1"/>
  <c r="F482" l="1"/>
  <c r="I482"/>
  <c r="J482"/>
  <c r="M482"/>
  <c r="N482" s="1"/>
  <c r="K482"/>
  <c r="AE482" s="1"/>
  <c r="V482" l="1"/>
  <c r="W482" s="1"/>
  <c r="A483"/>
  <c r="B483" s="1"/>
  <c r="L482"/>
  <c r="U482" l="1"/>
  <c r="Y481"/>
  <c r="P483"/>
  <c r="Q483" s="1"/>
  <c r="R483" s="1"/>
  <c r="S483" s="1"/>
  <c r="Z483"/>
  <c r="AC483"/>
  <c r="AD483"/>
  <c r="AA483"/>
  <c r="T483" l="1"/>
  <c r="E483" s="1"/>
  <c r="H483" s="1"/>
  <c r="AG483" l="1"/>
  <c r="AH483"/>
  <c r="D483"/>
  <c r="G483" s="1"/>
  <c r="K483"/>
  <c r="AE483" s="1"/>
  <c r="F483" l="1"/>
  <c r="I483"/>
  <c r="J483"/>
  <c r="M483"/>
  <c r="N483" s="1"/>
  <c r="V483"/>
  <c r="A484"/>
  <c r="B484" s="1"/>
  <c r="W483" l="1"/>
  <c r="L483"/>
  <c r="AC484"/>
  <c r="Z484"/>
  <c r="AA484"/>
  <c r="P484"/>
  <c r="Q484" s="1"/>
  <c r="R484" s="1"/>
  <c r="S484" s="1"/>
  <c r="T484" l="1"/>
  <c r="U483"/>
  <c r="Y482"/>
  <c r="E484" l="1"/>
  <c r="H484" s="1"/>
  <c r="K484" s="1"/>
  <c r="AE484" s="1"/>
  <c r="D484"/>
  <c r="G484" s="1"/>
  <c r="AG484"/>
  <c r="AH484"/>
  <c r="F484" l="1"/>
  <c r="V484"/>
  <c r="A485"/>
  <c r="B485" s="1"/>
  <c r="I484"/>
  <c r="J484"/>
  <c r="AD484" s="1"/>
  <c r="M484"/>
  <c r="N484" s="1"/>
  <c r="W484" l="1"/>
  <c r="L484"/>
  <c r="P485"/>
  <c r="Q485" s="1"/>
  <c r="R485" s="1"/>
  <c r="S485" s="1"/>
  <c r="AD485"/>
  <c r="AA485"/>
  <c r="AC485"/>
  <c r="Z485"/>
  <c r="U484" l="1"/>
  <c r="Y483"/>
  <c r="T485"/>
  <c r="D485" l="1"/>
  <c r="G485" s="1"/>
  <c r="AG485"/>
  <c r="AH485"/>
  <c r="E485"/>
  <c r="H485" s="1"/>
  <c r="K485" s="1"/>
  <c r="AE485" s="1"/>
  <c r="F485" l="1"/>
  <c r="I485"/>
  <c r="J485"/>
  <c r="M485"/>
  <c r="N485" s="1"/>
  <c r="V485"/>
  <c r="A486"/>
  <c r="B486" s="1"/>
  <c r="W485" l="1"/>
  <c r="L485"/>
  <c r="AA486"/>
  <c r="P486"/>
  <c r="Q486" s="1"/>
  <c r="R486" s="1"/>
  <c r="S486" s="1"/>
  <c r="AC486"/>
  <c r="AD486"/>
  <c r="Z486"/>
  <c r="T486" l="1"/>
  <c r="AH486" s="1"/>
  <c r="U485"/>
  <c r="Y484"/>
  <c r="D486" l="1"/>
  <c r="G486" s="1"/>
  <c r="AG486"/>
  <c r="E486"/>
  <c r="H486" s="1"/>
  <c r="K486" s="1"/>
  <c r="AE486" s="1"/>
  <c r="F486" l="1"/>
  <c r="V486"/>
  <c r="A487"/>
  <c r="B487" s="1"/>
  <c r="I486"/>
  <c r="J486"/>
  <c r="M486"/>
  <c r="N486" s="1"/>
  <c r="W486" l="1"/>
  <c r="L486"/>
  <c r="AA487"/>
  <c r="AD487"/>
  <c r="P487"/>
  <c r="Q487" s="1"/>
  <c r="R487" s="1"/>
  <c r="S487" s="1"/>
  <c r="AC487"/>
  <c r="Z487"/>
  <c r="T487" l="1"/>
  <c r="U486"/>
  <c r="Y485"/>
  <c r="E487" l="1"/>
  <c r="H487" s="1"/>
  <c r="K487" s="1"/>
  <c r="AE487" s="1"/>
  <c r="D487"/>
  <c r="AH487"/>
  <c r="AG487"/>
  <c r="V487" l="1"/>
  <c r="A488"/>
  <c r="B488" s="1"/>
  <c r="F487"/>
  <c r="G487"/>
  <c r="I487" l="1"/>
  <c r="W487" s="1"/>
  <c r="J487"/>
  <c r="M487"/>
  <c r="N487" s="1"/>
  <c r="AA488"/>
  <c r="AD488"/>
  <c r="Z488"/>
  <c r="P488"/>
  <c r="Q488" s="1"/>
  <c r="R488" s="1"/>
  <c r="S488" s="1"/>
  <c r="AC488"/>
  <c r="L487" l="1"/>
  <c r="T488"/>
  <c r="U487" l="1"/>
  <c r="D488" s="1"/>
  <c r="AG488"/>
  <c r="AH488"/>
  <c r="Y486"/>
  <c r="E488" l="1"/>
  <c r="H488" s="1"/>
  <c r="K488" s="1"/>
  <c r="AE488" s="1"/>
  <c r="G488"/>
  <c r="F488" l="1"/>
  <c r="I488"/>
  <c r="J488"/>
  <c r="M488"/>
  <c r="N488" s="1"/>
  <c r="V488"/>
  <c r="A489"/>
  <c r="B489" s="1"/>
  <c r="W488" l="1"/>
  <c r="L488"/>
  <c r="P489"/>
  <c r="Q489" s="1"/>
  <c r="R489" s="1"/>
  <c r="S489" s="1"/>
  <c r="AC489"/>
  <c r="AA489"/>
  <c r="AD489"/>
  <c r="Z489"/>
  <c r="U488" l="1"/>
  <c r="Y487"/>
  <c r="T489"/>
  <c r="AH489" s="1"/>
  <c r="AG489" l="1"/>
  <c r="D489"/>
  <c r="E489"/>
  <c r="H489" s="1"/>
  <c r="K489" s="1"/>
  <c r="AE489" s="1"/>
  <c r="F489" l="1"/>
  <c r="G489"/>
  <c r="M489" s="1"/>
  <c r="N489" s="1"/>
  <c r="V489"/>
  <c r="A490"/>
  <c r="B490" s="1"/>
  <c r="I489" l="1"/>
  <c r="W489" s="1"/>
  <c r="J489"/>
  <c r="L489" s="1"/>
  <c r="Z490"/>
  <c r="AC490"/>
  <c r="P490"/>
  <c r="Q490" s="1"/>
  <c r="R490" s="1"/>
  <c r="S490" s="1"/>
  <c r="AD490"/>
  <c r="AA490"/>
  <c r="T490" l="1"/>
  <c r="AH490" s="1"/>
  <c r="U489"/>
  <c r="Y488"/>
  <c r="E490" l="1"/>
  <c r="H490" s="1"/>
  <c r="K490" s="1"/>
  <c r="AE490" s="1"/>
  <c r="D490"/>
  <c r="AG490"/>
  <c r="V490" l="1"/>
  <c r="A491"/>
  <c r="B491" s="1"/>
  <c r="F490"/>
  <c r="G490"/>
  <c r="I490" l="1"/>
  <c r="W490" s="1"/>
  <c r="J490"/>
  <c r="M490"/>
  <c r="N490" s="1"/>
  <c r="P491"/>
  <c r="Q491" s="1"/>
  <c r="R491" s="1"/>
  <c r="S491" s="1"/>
  <c r="Z491"/>
  <c r="AD491"/>
  <c r="AC491"/>
  <c r="AA491"/>
  <c r="T491" l="1"/>
  <c r="L490"/>
  <c r="AH491" l="1"/>
  <c r="U490"/>
  <c r="D491" s="1"/>
  <c r="AG491"/>
  <c r="Y489"/>
  <c r="E491" l="1"/>
  <c r="H491" s="1"/>
  <c r="K491" s="1"/>
  <c r="AE491" s="1"/>
  <c r="G491"/>
  <c r="F491" l="1"/>
  <c r="I491"/>
  <c r="J491"/>
  <c r="M491"/>
  <c r="N491" s="1"/>
  <c r="V491"/>
  <c r="A492"/>
  <c r="B492" s="1"/>
  <c r="W491" l="1"/>
  <c r="L491"/>
  <c r="AC492"/>
  <c r="AA492"/>
  <c r="P492"/>
  <c r="Q492" s="1"/>
  <c r="R492" s="1"/>
  <c r="S492" s="1"/>
  <c r="Z492"/>
  <c r="AD492"/>
  <c r="T492" l="1"/>
  <c r="U491"/>
  <c r="Y490"/>
  <c r="D492" l="1"/>
  <c r="G492" s="1"/>
  <c r="AH492"/>
  <c r="AG492"/>
  <c r="E492"/>
  <c r="H492" s="1"/>
  <c r="F492" l="1"/>
  <c r="I492"/>
  <c r="J492"/>
  <c r="M492"/>
  <c r="N492" s="1"/>
  <c r="K492"/>
  <c r="AE492" s="1"/>
  <c r="L492" l="1"/>
  <c r="V492"/>
  <c r="W492" s="1"/>
  <c r="A493"/>
  <c r="B493" s="1"/>
  <c r="U492" l="1"/>
  <c r="Y491"/>
  <c r="P493"/>
  <c r="Q493" s="1"/>
  <c r="R493" s="1"/>
  <c r="S493" s="1"/>
  <c r="AC493"/>
  <c r="AA493"/>
  <c r="Z493"/>
  <c r="AD493"/>
  <c r="T493" l="1"/>
  <c r="AH493" s="1"/>
  <c r="AG493" l="1"/>
  <c r="E493"/>
  <c r="H493" s="1"/>
  <c r="K493" s="1"/>
  <c r="AE493" s="1"/>
  <c r="D493"/>
  <c r="F493" l="1"/>
  <c r="G493"/>
  <c r="J493" s="1"/>
  <c r="V493"/>
  <c r="A494"/>
  <c r="B494" s="1"/>
  <c r="M493" l="1"/>
  <c r="N493" s="1"/>
  <c r="I493"/>
  <c r="W493" s="1"/>
  <c r="L493"/>
  <c r="P494"/>
  <c r="Q494" s="1"/>
  <c r="R494" s="1"/>
  <c r="S494" s="1"/>
  <c r="AC494"/>
  <c r="Z494"/>
  <c r="AA494"/>
  <c r="T494" l="1"/>
  <c r="AH494" s="1"/>
  <c r="U493"/>
  <c r="Y492"/>
  <c r="E494" l="1"/>
  <c r="H494" s="1"/>
  <c r="K494" s="1"/>
  <c r="AE494" s="1"/>
  <c r="D494"/>
  <c r="AG494"/>
  <c r="F494" l="1"/>
  <c r="G494"/>
  <c r="V494"/>
  <c r="A495"/>
  <c r="B495" s="1"/>
  <c r="Z495" l="1"/>
  <c r="P495"/>
  <c r="Q495" s="1"/>
  <c r="R495" s="1"/>
  <c r="S495" s="1"/>
  <c r="AA495"/>
  <c r="AD495"/>
  <c r="AC495"/>
  <c r="I494"/>
  <c r="W494" s="1"/>
  <c r="J494"/>
  <c r="AD494" s="1"/>
  <c r="M494"/>
  <c r="N494" s="1"/>
  <c r="L494" l="1"/>
  <c r="T495"/>
  <c r="AG495" l="1"/>
  <c r="U494"/>
  <c r="D495" s="1"/>
  <c r="AH495"/>
  <c r="Y493"/>
  <c r="E495" l="1"/>
  <c r="H495" s="1"/>
  <c r="K495" s="1"/>
  <c r="AE495" s="1"/>
  <c r="G495"/>
  <c r="F495" l="1"/>
  <c r="V495"/>
  <c r="A496"/>
  <c r="B496" s="1"/>
  <c r="I495"/>
  <c r="J495"/>
  <c r="M495"/>
  <c r="N495" s="1"/>
  <c r="W495" l="1"/>
  <c r="L495"/>
  <c r="AD496"/>
  <c r="AA496"/>
  <c r="P496"/>
  <c r="Q496" s="1"/>
  <c r="R496" s="1"/>
  <c r="S496" s="1"/>
  <c r="Z496"/>
  <c r="AC496"/>
  <c r="U495" l="1"/>
  <c r="Y494"/>
  <c r="T496"/>
  <c r="AH496" s="1"/>
  <c r="D496" l="1"/>
  <c r="G496" s="1"/>
  <c r="AG496"/>
  <c r="E496"/>
  <c r="H496" s="1"/>
  <c r="K496" s="1"/>
  <c r="AE496" s="1"/>
  <c r="F496" l="1"/>
  <c r="V496"/>
  <c r="A497"/>
  <c r="B497" s="1"/>
  <c r="I496"/>
  <c r="J496"/>
  <c r="M496"/>
  <c r="N496" s="1"/>
  <c r="W496" l="1"/>
  <c r="L496"/>
  <c r="P497"/>
  <c r="Q497" s="1"/>
  <c r="R497" s="1"/>
  <c r="S497" s="1"/>
  <c r="AC497"/>
  <c r="AA497"/>
  <c r="AD497"/>
  <c r="Z497"/>
  <c r="U496" l="1"/>
  <c r="Y495"/>
  <c r="T497"/>
  <c r="AG497" s="1"/>
  <c r="E497" l="1"/>
  <c r="H497" s="1"/>
  <c r="D497"/>
  <c r="AH497"/>
  <c r="F497" l="1"/>
  <c r="G497"/>
  <c r="K497"/>
  <c r="AE497" s="1"/>
  <c r="I497" l="1"/>
  <c r="J497"/>
  <c r="M497"/>
  <c r="N497" s="1"/>
  <c r="V497"/>
  <c r="A498"/>
  <c r="B498" s="1"/>
  <c r="W497" l="1"/>
  <c r="L497"/>
  <c r="Z498"/>
  <c r="AC498"/>
  <c r="AD498"/>
  <c r="AA498"/>
  <c r="P498"/>
  <c r="Q498" s="1"/>
  <c r="R498" s="1"/>
  <c r="S498" s="1"/>
  <c r="U497" l="1"/>
  <c r="Y496"/>
  <c r="T498"/>
  <c r="AH498" s="1"/>
  <c r="AG498" l="1"/>
  <c r="D498"/>
  <c r="E498"/>
  <c r="H498" s="1"/>
  <c r="F498" l="1"/>
  <c r="G498"/>
  <c r="K498"/>
  <c r="AE498" s="1"/>
  <c r="I498" l="1"/>
  <c r="J498"/>
  <c r="M498"/>
  <c r="N498" s="1"/>
  <c r="V498"/>
  <c r="A499"/>
  <c r="B499" s="1"/>
  <c r="W498" l="1"/>
  <c r="L498"/>
  <c r="AC499"/>
  <c r="P499"/>
  <c r="Q499" s="1"/>
  <c r="R499" s="1"/>
  <c r="S499" s="1"/>
  <c r="AD499"/>
  <c r="AA499"/>
  <c r="Z499"/>
  <c r="T499" l="1"/>
  <c r="U498"/>
  <c r="Y497"/>
  <c r="D499" l="1"/>
  <c r="G499" s="1"/>
  <c r="AH499"/>
  <c r="E499"/>
  <c r="H499" s="1"/>
  <c r="AG499"/>
  <c r="F499" l="1"/>
  <c r="I499"/>
  <c r="J499"/>
  <c r="M499"/>
  <c r="N499" s="1"/>
  <c r="K499"/>
  <c r="AE499" s="1"/>
  <c r="V499" l="1"/>
  <c r="W499" s="1"/>
  <c r="A500"/>
  <c r="B500" s="1"/>
  <c r="L499"/>
  <c r="U499" l="1"/>
  <c r="Y498"/>
  <c r="AD500"/>
  <c r="AA500"/>
  <c r="AC500"/>
  <c r="P500"/>
  <c r="Q500" s="1"/>
  <c r="R500" s="1"/>
  <c r="S500" s="1"/>
  <c r="Z500"/>
  <c r="T500" l="1"/>
  <c r="AH500" s="1"/>
  <c r="D500" l="1"/>
  <c r="AG500"/>
  <c r="E500"/>
  <c r="H500" s="1"/>
  <c r="F500" l="1"/>
  <c r="G500"/>
  <c r="K500"/>
  <c r="AE500" s="1"/>
  <c r="I500" l="1"/>
  <c r="J500"/>
  <c r="M500"/>
  <c r="N500" s="1"/>
  <c r="V500"/>
  <c r="A501"/>
  <c r="B501" s="1"/>
  <c r="W500" l="1"/>
  <c r="L500"/>
  <c r="P501"/>
  <c r="Q501" s="1"/>
  <c r="R501" s="1"/>
  <c r="S501" s="1"/>
  <c r="AC501"/>
  <c r="AD501"/>
  <c r="Z501"/>
  <c r="AA501"/>
  <c r="U500" l="1"/>
  <c r="Y499"/>
  <c r="T501"/>
  <c r="D501" l="1"/>
  <c r="G501" s="1"/>
  <c r="E501"/>
  <c r="H501" s="1"/>
  <c r="K501" s="1"/>
  <c r="AE501" s="1"/>
  <c r="AG501"/>
  <c r="AH501"/>
  <c r="F501" l="1"/>
  <c r="I501"/>
  <c r="J501"/>
  <c r="M501"/>
  <c r="N501" s="1"/>
  <c r="V501"/>
  <c r="A502"/>
  <c r="B502" s="1"/>
  <c r="L501" l="1"/>
  <c r="W501"/>
  <c r="Z502"/>
  <c r="AA502"/>
  <c r="AC502"/>
  <c r="AD502"/>
  <c r="P502"/>
  <c r="Q502" s="1"/>
  <c r="R502" s="1"/>
  <c r="S502" s="1"/>
  <c r="U501" l="1"/>
  <c r="Y500"/>
  <c r="T502"/>
  <c r="E502" l="1"/>
  <c r="H502" s="1"/>
  <c r="K502" s="1"/>
  <c r="AE502" s="1"/>
  <c r="AG502"/>
  <c r="D502"/>
  <c r="AH502"/>
  <c r="F502" l="1"/>
  <c r="G502"/>
  <c r="V502"/>
  <c r="A503"/>
  <c r="B503" s="1"/>
  <c r="I502" l="1"/>
  <c r="W502" s="1"/>
  <c r="J502"/>
  <c r="M502"/>
  <c r="N502" s="1"/>
  <c r="AA503"/>
  <c r="P503"/>
  <c r="Q503" s="1"/>
  <c r="R503" s="1"/>
  <c r="S503" s="1"/>
  <c r="AD503"/>
  <c r="AC503"/>
  <c r="Z503"/>
  <c r="T503" l="1"/>
  <c r="L502"/>
  <c r="AG503" l="1"/>
  <c r="AH503"/>
  <c r="U502"/>
  <c r="E503" s="1"/>
  <c r="H503" s="1"/>
  <c r="Y501"/>
  <c r="D503" l="1"/>
  <c r="G503" s="1"/>
  <c r="K503"/>
  <c r="AE503" s="1"/>
  <c r="F503" l="1"/>
  <c r="V503"/>
  <c r="A504"/>
  <c r="B504" s="1"/>
  <c r="I503"/>
  <c r="J503"/>
  <c r="M503"/>
  <c r="N503" s="1"/>
  <c r="W503" l="1"/>
  <c r="L503"/>
  <c r="P504"/>
  <c r="Q504" s="1"/>
  <c r="R504" s="1"/>
  <c r="S504" s="1"/>
  <c r="Z504"/>
  <c r="AA504"/>
  <c r="AC504"/>
  <c r="U503" l="1"/>
  <c r="Y502"/>
  <c r="T504"/>
  <c r="AG504" s="1"/>
  <c r="E504" l="1"/>
  <c r="H504" s="1"/>
  <c r="K504" s="1"/>
  <c r="AE504" s="1"/>
  <c r="D504"/>
  <c r="AH504"/>
  <c r="F504" l="1"/>
  <c r="G504"/>
  <c r="I504" s="1"/>
  <c r="V504"/>
  <c r="A505"/>
  <c r="B505" s="1"/>
  <c r="J504" l="1"/>
  <c r="W504"/>
  <c r="M504"/>
  <c r="N504" s="1"/>
  <c r="P505"/>
  <c r="Q505" s="1"/>
  <c r="R505" s="1"/>
  <c r="S505" s="1"/>
  <c r="AC505"/>
  <c r="Z505"/>
  <c r="AD505"/>
  <c r="AA505"/>
  <c r="L504" l="1"/>
  <c r="Y503" s="1"/>
  <c r="AD504"/>
  <c r="T505"/>
  <c r="AH505" l="1"/>
  <c r="U504"/>
  <c r="D505" s="1"/>
  <c r="G505" s="1"/>
  <c r="AG505"/>
  <c r="E505" l="1"/>
  <c r="H505" s="1"/>
  <c r="K505" s="1"/>
  <c r="AE505" s="1"/>
  <c r="J505"/>
  <c r="I505" l="1"/>
  <c r="F505"/>
  <c r="V505"/>
  <c r="M505"/>
  <c r="N505" s="1"/>
  <c r="A506"/>
  <c r="B506" s="1"/>
  <c r="P506" s="1"/>
  <c r="Q506" s="1"/>
  <c r="R506" s="1"/>
  <c r="S506" s="1"/>
  <c r="L505"/>
  <c r="W505" l="1"/>
  <c r="AA506"/>
  <c r="AD506"/>
  <c r="AC506"/>
  <c r="Z506"/>
  <c r="U505"/>
  <c r="Y504"/>
  <c r="T506"/>
  <c r="AG506" l="1"/>
  <c r="D506"/>
  <c r="G506" s="1"/>
  <c r="AH506"/>
  <c r="E506"/>
  <c r="H506" s="1"/>
  <c r="K506" s="1"/>
  <c r="AE506" s="1"/>
  <c r="F506" l="1"/>
  <c r="I506"/>
  <c r="J506"/>
  <c r="M506"/>
  <c r="N506" s="1"/>
  <c r="V506"/>
  <c r="A507"/>
  <c r="B507" s="1"/>
  <c r="W506" l="1"/>
  <c r="L506"/>
  <c r="AD507"/>
  <c r="AC507"/>
  <c r="P507"/>
  <c r="Q507" s="1"/>
  <c r="R507" s="1"/>
  <c r="S507" s="1"/>
  <c r="AA507"/>
  <c r="Z507"/>
  <c r="U506" l="1"/>
  <c r="Y505"/>
  <c r="T507"/>
  <c r="AH507" s="1"/>
  <c r="AG507" l="1"/>
  <c r="E507"/>
  <c r="H507" s="1"/>
  <c r="D507"/>
  <c r="K507" l="1"/>
  <c r="AE507" s="1"/>
  <c r="F507"/>
  <c r="G507"/>
  <c r="I507" l="1"/>
  <c r="J507"/>
  <c r="M507"/>
  <c r="N507" s="1"/>
  <c r="V507"/>
  <c r="A508"/>
  <c r="B508" s="1"/>
  <c r="W507" l="1"/>
  <c r="L507"/>
  <c r="P508"/>
  <c r="Q508" s="1"/>
  <c r="R508" s="1"/>
  <c r="S508" s="1"/>
  <c r="AD508"/>
  <c r="AA508"/>
  <c r="Z508"/>
  <c r="AC508"/>
  <c r="U507" l="1"/>
  <c r="Y506"/>
  <c r="T508"/>
  <c r="E508" l="1"/>
  <c r="H508" s="1"/>
  <c r="K508" s="1"/>
  <c r="AE508" s="1"/>
  <c r="AH508"/>
  <c r="D508"/>
  <c r="AG508"/>
  <c r="F508" l="1"/>
  <c r="G508"/>
  <c r="V508"/>
  <c r="A509"/>
  <c r="B509" s="1"/>
  <c r="AD509" l="1"/>
  <c r="AC509"/>
  <c r="Z509"/>
  <c r="AA509"/>
  <c r="P509"/>
  <c r="Q509" s="1"/>
  <c r="R509" s="1"/>
  <c r="S509" s="1"/>
  <c r="I508"/>
  <c r="W508" s="1"/>
  <c r="J508"/>
  <c r="M508"/>
  <c r="N508" s="1"/>
  <c r="L508" l="1"/>
  <c r="T509"/>
  <c r="AG509" l="1"/>
  <c r="AH509"/>
  <c r="U508"/>
  <c r="D509" s="1"/>
  <c r="Y507"/>
  <c r="G509" l="1"/>
  <c r="E509"/>
  <c r="H509" s="1"/>
  <c r="F509" l="1"/>
  <c r="I509"/>
  <c r="J509"/>
  <c r="M509"/>
  <c r="N509" s="1"/>
  <c r="K509"/>
  <c r="AE509" s="1"/>
  <c r="V509" l="1"/>
  <c r="W509" s="1"/>
  <c r="A510"/>
  <c r="B510" s="1"/>
  <c r="L509"/>
  <c r="U509" l="1"/>
  <c r="Y508"/>
  <c r="AC510"/>
  <c r="Z510"/>
  <c r="AA510"/>
  <c r="AD510"/>
  <c r="P510"/>
  <c r="Q510" s="1"/>
  <c r="R510" s="1"/>
  <c r="S510" s="1"/>
  <c r="T510" l="1"/>
  <c r="AH510" l="1"/>
  <c r="E510"/>
  <c r="H510" s="1"/>
  <c r="D510"/>
  <c r="AG510"/>
  <c r="F510" l="1"/>
  <c r="G510"/>
  <c r="K510"/>
  <c r="AE510" s="1"/>
  <c r="V510" l="1"/>
  <c r="A511"/>
  <c r="B511" s="1"/>
  <c r="I510"/>
  <c r="J510"/>
  <c r="M510"/>
  <c r="N510" s="1"/>
  <c r="L510" l="1"/>
  <c r="AA511"/>
  <c r="AC511"/>
  <c r="P511"/>
  <c r="Q511" s="1"/>
  <c r="R511" s="1"/>
  <c r="S511" s="1"/>
  <c r="Z511"/>
  <c r="AD511"/>
  <c r="W510"/>
  <c r="U510" l="1"/>
  <c r="Y509"/>
  <c r="T511"/>
  <c r="AG511" s="1"/>
  <c r="AH511" l="1"/>
  <c r="D511"/>
  <c r="E511"/>
  <c r="H511" s="1"/>
  <c r="F511" l="1"/>
  <c r="G511"/>
  <c r="K511"/>
  <c r="AE511" s="1"/>
  <c r="V511" l="1"/>
  <c r="A512"/>
  <c r="B512" s="1"/>
  <c r="I511"/>
  <c r="J511"/>
  <c r="M511"/>
  <c r="N511" s="1"/>
  <c r="W511" l="1"/>
  <c r="L511"/>
  <c r="AC512"/>
  <c r="Z512"/>
  <c r="AA512"/>
  <c r="P512"/>
  <c r="Q512" s="1"/>
  <c r="R512" s="1"/>
  <c r="S512" s="1"/>
  <c r="AD512"/>
  <c r="T512" l="1"/>
  <c r="U511"/>
  <c r="Y510"/>
  <c r="D512" l="1"/>
  <c r="G512" s="1"/>
  <c r="AH512"/>
  <c r="E512"/>
  <c r="H512" s="1"/>
  <c r="K512" s="1"/>
  <c r="AE512" s="1"/>
  <c r="AG512"/>
  <c r="F512" l="1"/>
  <c r="I512"/>
  <c r="J512"/>
  <c r="M512"/>
  <c r="N512" s="1"/>
  <c r="V512"/>
  <c r="A513"/>
  <c r="B513" s="1"/>
  <c r="W512" l="1"/>
  <c r="L512"/>
  <c r="AA513"/>
  <c r="P513"/>
  <c r="Q513" s="1"/>
  <c r="R513" s="1"/>
  <c r="S513" s="1"/>
  <c r="AC513"/>
  <c r="AD513"/>
  <c r="Z513"/>
  <c r="T513" l="1"/>
  <c r="AG513" s="1"/>
  <c r="U512"/>
  <c r="Y511"/>
  <c r="AH513" l="1"/>
  <c r="E513"/>
  <c r="H513" s="1"/>
  <c r="D513"/>
  <c r="F513" l="1"/>
  <c r="G513"/>
  <c r="K513"/>
  <c r="AE513" s="1"/>
  <c r="V513" l="1"/>
  <c r="A514"/>
  <c r="B514" s="1"/>
  <c r="I513"/>
  <c r="J513"/>
  <c r="M513"/>
  <c r="N513" s="1"/>
  <c r="L513" l="1"/>
  <c r="Z514"/>
  <c r="AA514"/>
  <c r="AC514"/>
  <c r="P514"/>
  <c r="Q514" s="1"/>
  <c r="R514" s="1"/>
  <c r="S514" s="1"/>
  <c r="W513"/>
  <c r="T514" l="1"/>
  <c r="AH514" s="1"/>
  <c r="U513"/>
  <c r="Y512"/>
  <c r="AG514" l="1"/>
  <c r="E514"/>
  <c r="H514" s="1"/>
  <c r="D514"/>
  <c r="K514" l="1"/>
  <c r="AE514" s="1"/>
  <c r="F514"/>
  <c r="G514"/>
  <c r="V514" l="1"/>
  <c r="A515"/>
  <c r="B515" s="1"/>
  <c r="I514"/>
  <c r="J514"/>
  <c r="AD514" s="1"/>
  <c r="M514"/>
  <c r="N514" s="1"/>
  <c r="W514" l="1"/>
  <c r="L514"/>
  <c r="AD515"/>
  <c r="P515"/>
  <c r="Q515" s="1"/>
  <c r="R515" s="1"/>
  <c r="S515" s="1"/>
  <c r="AC515"/>
  <c r="Z515"/>
  <c r="AA515"/>
  <c r="U514" l="1"/>
  <c r="Y513"/>
  <c r="T515"/>
  <c r="D515" l="1"/>
  <c r="G515" s="1"/>
  <c r="AG515"/>
  <c r="AH515"/>
  <c r="E515"/>
  <c r="H515" s="1"/>
  <c r="K515" l="1"/>
  <c r="AE515" s="1"/>
  <c r="I515"/>
  <c r="J515"/>
  <c r="M515"/>
  <c r="N515" s="1"/>
  <c r="F515"/>
  <c r="L515" l="1"/>
  <c r="V515"/>
  <c r="W515" s="1"/>
  <c r="A516"/>
  <c r="B516" s="1"/>
  <c r="U515" l="1"/>
  <c r="Y514"/>
  <c r="AA516"/>
  <c r="Z516"/>
  <c r="AC516"/>
  <c r="P516"/>
  <c r="Q516" s="1"/>
  <c r="R516" s="1"/>
  <c r="S516" s="1"/>
  <c r="AD516"/>
  <c r="T516" l="1"/>
  <c r="AG516" s="1"/>
  <c r="D516" l="1"/>
  <c r="AH516"/>
  <c r="E516"/>
  <c r="H516" s="1"/>
  <c r="F516" l="1"/>
  <c r="G516"/>
  <c r="K516"/>
  <c r="AE516" s="1"/>
  <c r="I516" l="1"/>
  <c r="J516"/>
  <c r="M516"/>
  <c r="N516" s="1"/>
  <c r="V516"/>
  <c r="A517"/>
  <c r="B517" s="1"/>
  <c r="W516" l="1"/>
  <c r="L516"/>
  <c r="AD517"/>
  <c r="AC517"/>
  <c r="P517"/>
  <c r="Q517" s="1"/>
  <c r="R517" s="1"/>
  <c r="S517" s="1"/>
  <c r="AA517"/>
  <c r="Z517"/>
  <c r="U516" l="1"/>
  <c r="Y515"/>
  <c r="T517"/>
  <c r="AG517" s="1"/>
  <c r="D517" l="1"/>
  <c r="G517" s="1"/>
  <c r="AH517"/>
  <c r="E517"/>
  <c r="H517" s="1"/>
  <c r="K517" s="1"/>
  <c r="AE517" s="1"/>
  <c r="F517" l="1"/>
  <c r="I517"/>
  <c r="J517"/>
  <c r="M517"/>
  <c r="N517" s="1"/>
  <c r="V517"/>
  <c r="A518"/>
  <c r="B518" s="1"/>
  <c r="W517" l="1"/>
  <c r="L517"/>
  <c r="AD518"/>
  <c r="AA518"/>
  <c r="AC518"/>
  <c r="Z518"/>
  <c r="P518"/>
  <c r="Q518" s="1"/>
  <c r="R518" s="1"/>
  <c r="S518" s="1"/>
  <c r="U517" l="1"/>
  <c r="Y516"/>
  <c r="T518"/>
  <c r="D518" l="1"/>
  <c r="G518" s="1"/>
  <c r="E518"/>
  <c r="H518" s="1"/>
  <c r="AH518"/>
  <c r="AG518"/>
  <c r="F518" l="1"/>
  <c r="I518"/>
  <c r="J518"/>
  <c r="M518"/>
  <c r="N518" s="1"/>
  <c r="K518"/>
  <c r="AE518" s="1"/>
  <c r="V518" l="1"/>
  <c r="W518" s="1"/>
  <c r="A519"/>
  <c r="B519" s="1"/>
  <c r="L518"/>
  <c r="U518" l="1"/>
  <c r="Y517"/>
  <c r="AD519"/>
  <c r="AA519"/>
  <c r="Z519"/>
  <c r="AC519"/>
  <c r="P519"/>
  <c r="Q519" s="1"/>
  <c r="R519" s="1"/>
  <c r="S519" s="1"/>
  <c r="T519" l="1"/>
  <c r="D519" s="1"/>
  <c r="AG519" l="1"/>
  <c r="G519"/>
  <c r="AH519"/>
  <c r="E519"/>
  <c r="H519" s="1"/>
  <c r="F519" l="1"/>
  <c r="I519"/>
  <c r="J519"/>
  <c r="M519"/>
  <c r="N519" s="1"/>
  <c r="K519"/>
  <c r="AE519" s="1"/>
  <c r="V519" l="1"/>
  <c r="W519" s="1"/>
  <c r="A520"/>
  <c r="B520" s="1"/>
  <c r="L519"/>
  <c r="U519" l="1"/>
  <c r="Y518"/>
  <c r="AA520"/>
  <c r="AC520"/>
  <c r="Z520"/>
  <c r="AD520"/>
  <c r="P520"/>
  <c r="Q520" s="1"/>
  <c r="R520" s="1"/>
  <c r="S520" s="1"/>
  <c r="T520" l="1"/>
  <c r="D520" s="1"/>
  <c r="AG520" l="1"/>
  <c r="E520"/>
  <c r="H520" s="1"/>
  <c r="K520" s="1"/>
  <c r="AE520" s="1"/>
  <c r="AH520"/>
  <c r="G520"/>
  <c r="F520" l="1"/>
  <c r="I520"/>
  <c r="J520"/>
  <c r="M520"/>
  <c r="N520" s="1"/>
  <c r="V520"/>
  <c r="A521"/>
  <c r="B521" s="1"/>
  <c r="W520" l="1"/>
  <c r="L520"/>
  <c r="P521"/>
  <c r="Q521" s="1"/>
  <c r="R521" s="1"/>
  <c r="S521" s="1"/>
  <c r="AC521"/>
  <c r="AA521"/>
  <c r="AD521"/>
  <c r="Z521"/>
  <c r="U520" l="1"/>
  <c r="Y519"/>
  <c r="T521"/>
  <c r="AH521" s="1"/>
  <c r="AG521" l="1"/>
  <c r="D521"/>
  <c r="E521"/>
  <c r="H521" s="1"/>
  <c r="K521" s="1"/>
  <c r="AE521" s="1"/>
  <c r="F521" l="1"/>
  <c r="G521"/>
  <c r="I521" s="1"/>
  <c r="V521"/>
  <c r="A522"/>
  <c r="B522" s="1"/>
  <c r="M521" l="1"/>
  <c r="N521" s="1"/>
  <c r="J521"/>
  <c r="L521" s="1"/>
  <c r="W521"/>
  <c r="AC522"/>
  <c r="P522"/>
  <c r="Q522" s="1"/>
  <c r="R522" s="1"/>
  <c r="S522" s="1"/>
  <c r="AA522"/>
  <c r="AD522"/>
  <c r="Z522"/>
  <c r="U521" l="1"/>
  <c r="Y520"/>
  <c r="T522"/>
  <c r="AG522" s="1"/>
  <c r="AH522" l="1"/>
  <c r="E522"/>
  <c r="H522" s="1"/>
  <c r="D522"/>
  <c r="K522" l="1"/>
  <c r="AE522" s="1"/>
  <c r="F522"/>
  <c r="G522"/>
  <c r="I522" l="1"/>
  <c r="J522"/>
  <c r="M522"/>
  <c r="N522" s="1"/>
  <c r="V522"/>
  <c r="A523"/>
  <c r="B523" s="1"/>
  <c r="W522" l="1"/>
  <c r="L522"/>
  <c r="AC523"/>
  <c r="Z523"/>
  <c r="AD523"/>
  <c r="AA523"/>
  <c r="P523"/>
  <c r="Q523" s="1"/>
  <c r="R523" s="1"/>
  <c r="S523" s="1"/>
  <c r="U522" l="1"/>
  <c r="Y521"/>
  <c r="T523"/>
  <c r="AG523" s="1"/>
  <c r="AH523" l="1"/>
  <c r="D523"/>
  <c r="G523" s="1"/>
  <c r="E523"/>
  <c r="H523" s="1"/>
  <c r="F523" l="1"/>
  <c r="I523"/>
  <c r="J523"/>
  <c r="M523"/>
  <c r="N523" s="1"/>
  <c r="K523"/>
  <c r="AE523" s="1"/>
  <c r="V523" l="1"/>
  <c r="W523" s="1"/>
  <c r="A524"/>
  <c r="B524" s="1"/>
  <c r="L523"/>
  <c r="U523" l="1"/>
  <c r="Y522"/>
  <c r="Z524"/>
  <c r="P524"/>
  <c r="Q524" s="1"/>
  <c r="R524" s="1"/>
  <c r="S524" s="1"/>
  <c r="AC524"/>
  <c r="AA524"/>
  <c r="T524" l="1"/>
  <c r="E524" s="1"/>
  <c r="H524" s="1"/>
  <c r="D524" l="1"/>
  <c r="G524" s="1"/>
  <c r="K524"/>
  <c r="AE524" s="1"/>
  <c r="AH524"/>
  <c r="AG524"/>
  <c r="F524" l="1"/>
  <c r="I524"/>
  <c r="J524"/>
  <c r="AD524" s="1"/>
  <c r="M524"/>
  <c r="N524" s="1"/>
  <c r="V524"/>
  <c r="A525"/>
  <c r="B525" s="1"/>
  <c r="W524" l="1"/>
  <c r="L524"/>
  <c r="AA525"/>
  <c r="AC525"/>
  <c r="AD525"/>
  <c r="Z525"/>
  <c r="P525"/>
  <c r="Q525" s="1"/>
  <c r="R525" s="1"/>
  <c r="S525" s="1"/>
  <c r="T525" l="1"/>
  <c r="AH525" s="1"/>
  <c r="U524"/>
  <c r="Y523"/>
  <c r="AG525" l="1"/>
  <c r="D525"/>
  <c r="E525"/>
  <c r="H525" s="1"/>
  <c r="F525" l="1"/>
  <c r="G525"/>
  <c r="K525"/>
  <c r="AE525" s="1"/>
  <c r="I525" l="1"/>
  <c r="J525"/>
  <c r="M525"/>
  <c r="N525" s="1"/>
  <c r="V525"/>
  <c r="A526"/>
  <c r="B526" s="1"/>
  <c r="L525" l="1"/>
  <c r="W525"/>
  <c r="AA526"/>
  <c r="P526"/>
  <c r="Q526" s="1"/>
  <c r="R526" s="1"/>
  <c r="S526" s="1"/>
  <c r="Z526"/>
  <c r="AD526"/>
  <c r="AC526"/>
  <c r="T526" l="1"/>
  <c r="U525"/>
  <c r="Y524"/>
  <c r="D526" l="1"/>
  <c r="G526" s="1"/>
  <c r="AH526"/>
  <c r="E526"/>
  <c r="H526" s="1"/>
  <c r="K526" s="1"/>
  <c r="AE526" s="1"/>
  <c r="AG526"/>
  <c r="F526" l="1"/>
  <c r="V526"/>
  <c r="A527"/>
  <c r="B527" s="1"/>
  <c r="I526"/>
  <c r="J526"/>
  <c r="M526"/>
  <c r="N526" s="1"/>
  <c r="W526" l="1"/>
  <c r="L526"/>
  <c r="AD527"/>
  <c r="Z527"/>
  <c r="AC527"/>
  <c r="P527"/>
  <c r="Q527" s="1"/>
  <c r="R527" s="1"/>
  <c r="S527" s="1"/>
  <c r="AA527"/>
  <c r="U526" l="1"/>
  <c r="Y525"/>
  <c r="T527"/>
  <c r="D527" l="1"/>
  <c r="G527" s="1"/>
  <c r="E527"/>
  <c r="H527" s="1"/>
  <c r="AG527"/>
  <c r="AH527"/>
  <c r="F527" l="1"/>
  <c r="I527"/>
  <c r="J527"/>
  <c r="M527"/>
  <c r="N527" s="1"/>
  <c r="K527"/>
  <c r="AE527" s="1"/>
  <c r="V527" l="1"/>
  <c r="W527" s="1"/>
  <c r="A528"/>
  <c r="B528" s="1"/>
  <c r="L527"/>
  <c r="U527" l="1"/>
  <c r="Y526"/>
  <c r="Z528"/>
  <c r="P528"/>
  <c r="Q528" s="1"/>
  <c r="R528" s="1"/>
  <c r="S528" s="1"/>
  <c r="AC528"/>
  <c r="AD528"/>
  <c r="AA528"/>
  <c r="T528" l="1"/>
  <c r="AH528" s="1"/>
  <c r="D528" l="1"/>
  <c r="E528"/>
  <c r="H528" s="1"/>
  <c r="K528" s="1"/>
  <c r="AE528" s="1"/>
  <c r="AG528"/>
  <c r="F528" l="1"/>
  <c r="G528"/>
  <c r="M528" s="1"/>
  <c r="N528" s="1"/>
  <c r="V528"/>
  <c r="A529"/>
  <c r="B529" s="1"/>
  <c r="I528" l="1"/>
  <c r="W528" s="1"/>
  <c r="J528"/>
  <c r="L528" s="1"/>
  <c r="Z529"/>
  <c r="AC529"/>
  <c r="AD529"/>
  <c r="P529"/>
  <c r="Q529" s="1"/>
  <c r="R529" s="1"/>
  <c r="S529" s="1"/>
  <c r="AA529"/>
  <c r="U528" l="1"/>
  <c r="Y527"/>
  <c r="T529"/>
  <c r="AG529" s="1"/>
  <c r="D529" l="1"/>
  <c r="G529" s="1"/>
  <c r="AH529"/>
  <c r="E529"/>
  <c r="H529" s="1"/>
  <c r="K529" s="1"/>
  <c r="AE529" s="1"/>
  <c r="F529" l="1"/>
  <c r="I529"/>
  <c r="J529"/>
  <c r="M529"/>
  <c r="N529" s="1"/>
  <c r="V529"/>
  <c r="A530"/>
  <c r="B530" s="1"/>
  <c r="W529" l="1"/>
  <c r="L529"/>
  <c r="Z530"/>
  <c r="AD530"/>
  <c r="P530"/>
  <c r="Q530" s="1"/>
  <c r="R530" s="1"/>
  <c r="S530" s="1"/>
  <c r="AC530"/>
  <c r="AA530"/>
  <c r="T530" l="1"/>
  <c r="AG530" s="1"/>
  <c r="U529"/>
  <c r="Y528"/>
  <c r="D530" l="1"/>
  <c r="G530" s="1"/>
  <c r="AH530"/>
  <c r="E530"/>
  <c r="H530" s="1"/>
  <c r="F530" l="1"/>
  <c r="I530"/>
  <c r="J530"/>
  <c r="M530"/>
  <c r="N530" s="1"/>
  <c r="K530"/>
  <c r="AE530" s="1"/>
  <c r="V530" l="1"/>
  <c r="W530" s="1"/>
  <c r="A531"/>
  <c r="B531" s="1"/>
  <c r="L530"/>
  <c r="U530" l="1"/>
  <c r="Y529"/>
  <c r="Z531"/>
  <c r="AD531"/>
  <c r="AC531"/>
  <c r="AA531"/>
  <c r="P531"/>
  <c r="Q531" s="1"/>
  <c r="R531" s="1"/>
  <c r="S531" s="1"/>
  <c r="T531" l="1"/>
  <c r="AG531" s="1"/>
  <c r="AH531" l="1"/>
  <c r="D531"/>
  <c r="E531"/>
  <c r="H531" s="1"/>
  <c r="K531" l="1"/>
  <c r="AE531" s="1"/>
  <c r="F531"/>
  <c r="G531"/>
  <c r="I531" l="1"/>
  <c r="J531"/>
  <c r="M531"/>
  <c r="N531" s="1"/>
  <c r="V531"/>
  <c r="A532"/>
  <c r="B532" s="1"/>
  <c r="W531" l="1"/>
  <c r="L531"/>
  <c r="AD532"/>
  <c r="AC532"/>
  <c r="Z532"/>
  <c r="P532"/>
  <c r="Q532" s="1"/>
  <c r="R532" s="1"/>
  <c r="S532" s="1"/>
  <c r="AA532"/>
  <c r="U531" l="1"/>
  <c r="Y530"/>
  <c r="T532"/>
  <c r="AH532" s="1"/>
  <c r="D532" l="1"/>
  <c r="G532" s="1"/>
  <c r="AG532"/>
  <c r="E532"/>
  <c r="H532" s="1"/>
  <c r="K532" s="1"/>
  <c r="AE532" s="1"/>
  <c r="F532" l="1"/>
  <c r="V532"/>
  <c r="A533"/>
  <c r="B533" s="1"/>
  <c r="I532"/>
  <c r="J532"/>
  <c r="M532"/>
  <c r="N532" s="1"/>
  <c r="W532" l="1"/>
  <c r="L532"/>
  <c r="P533"/>
  <c r="Q533" s="1"/>
  <c r="R533" s="1"/>
  <c r="S533" s="1"/>
  <c r="AD533"/>
  <c r="AA533"/>
  <c r="Z533"/>
  <c r="AC533"/>
  <c r="T533" l="1"/>
  <c r="U532"/>
  <c r="Y531"/>
  <c r="E533" l="1"/>
  <c r="H533" s="1"/>
  <c r="K533" s="1"/>
  <c r="AE533" s="1"/>
  <c r="AH533"/>
  <c r="AG533"/>
  <c r="D533"/>
  <c r="F533" l="1"/>
  <c r="G533"/>
  <c r="V533"/>
  <c r="A534"/>
  <c r="B534" s="1"/>
  <c r="Z534" l="1"/>
  <c r="AC534"/>
  <c r="AA534"/>
  <c r="P534"/>
  <c r="Q534" s="1"/>
  <c r="R534" s="1"/>
  <c r="S534" s="1"/>
  <c r="I533"/>
  <c r="W533" s="1"/>
  <c r="J533"/>
  <c r="M533"/>
  <c r="N533" s="1"/>
  <c r="L533" l="1"/>
  <c r="T534"/>
  <c r="U533" l="1"/>
  <c r="D534" s="1"/>
  <c r="AG534"/>
  <c r="AH534"/>
  <c r="Y532"/>
  <c r="E534" l="1"/>
  <c r="H534" s="1"/>
  <c r="K534" s="1"/>
  <c r="AE534" s="1"/>
  <c r="G534"/>
  <c r="F534" l="1"/>
  <c r="V534"/>
  <c r="A535"/>
  <c r="B535" s="1"/>
  <c r="I534"/>
  <c r="J534"/>
  <c r="AD534" s="1"/>
  <c r="M534"/>
  <c r="N534" s="1"/>
  <c r="W534" l="1"/>
  <c r="L534"/>
  <c r="AA535"/>
  <c r="AC535"/>
  <c r="AD535"/>
  <c r="Z535"/>
  <c r="P535"/>
  <c r="Q535" s="1"/>
  <c r="R535" s="1"/>
  <c r="S535" s="1"/>
  <c r="T535" l="1"/>
  <c r="U534"/>
  <c r="Y533"/>
  <c r="D535" l="1"/>
  <c r="G535" s="1"/>
  <c r="E535"/>
  <c r="H535" s="1"/>
  <c r="K535" s="1"/>
  <c r="AE535" s="1"/>
  <c r="AG535"/>
  <c r="AH535"/>
  <c r="F535" l="1"/>
  <c r="V535"/>
  <c r="A536"/>
  <c r="B536" s="1"/>
  <c r="I535"/>
  <c r="J535"/>
  <c r="M535"/>
  <c r="N535" s="1"/>
  <c r="W535" l="1"/>
  <c r="L535"/>
  <c r="AC536"/>
  <c r="AA536"/>
  <c r="Z536"/>
  <c r="P536"/>
  <c r="Q536" s="1"/>
  <c r="R536" s="1"/>
  <c r="S536" s="1"/>
  <c r="AD536"/>
  <c r="U535" l="1"/>
  <c r="Y534"/>
  <c r="T536"/>
  <c r="AH536" s="1"/>
  <c r="AG536" l="1"/>
  <c r="E536"/>
  <c r="H536" s="1"/>
  <c r="D536"/>
  <c r="K536" l="1"/>
  <c r="AE536" s="1"/>
  <c r="F536"/>
  <c r="G536"/>
  <c r="I536" l="1"/>
  <c r="J536"/>
  <c r="M536"/>
  <c r="N536" s="1"/>
  <c r="V536"/>
  <c r="A537"/>
  <c r="B537" s="1"/>
  <c r="W536" l="1"/>
  <c r="L536"/>
  <c r="AC537"/>
  <c r="P537"/>
  <c r="Q537" s="1"/>
  <c r="R537" s="1"/>
  <c r="S537" s="1"/>
  <c r="Z537"/>
  <c r="AD537"/>
  <c r="AA537"/>
  <c r="U536" l="1"/>
  <c r="Y535"/>
  <c r="T537"/>
  <c r="AH537" s="1"/>
  <c r="AG537" l="1"/>
  <c r="E537"/>
  <c r="H537" s="1"/>
  <c r="D537"/>
  <c r="K537" l="1"/>
  <c r="AE537" s="1"/>
  <c r="F537"/>
  <c r="G537"/>
  <c r="I537" l="1"/>
  <c r="J537"/>
  <c r="M537"/>
  <c r="N537" s="1"/>
  <c r="V537"/>
  <c r="A538"/>
  <c r="B538" s="1"/>
  <c r="W537" l="1"/>
  <c r="L537"/>
  <c r="AA538"/>
  <c r="AC538"/>
  <c r="AD538"/>
  <c r="Z538"/>
  <c r="P538"/>
  <c r="Q538" s="1"/>
  <c r="R538" s="1"/>
  <c r="S538" s="1"/>
  <c r="T538" l="1"/>
  <c r="U537"/>
  <c r="Y536"/>
  <c r="D538" l="1"/>
  <c r="G538" s="1"/>
  <c r="AH538"/>
  <c r="AG538"/>
  <c r="E538"/>
  <c r="H538" s="1"/>
  <c r="F538" l="1"/>
  <c r="I538"/>
  <c r="J538"/>
  <c r="M538"/>
  <c r="N538" s="1"/>
  <c r="K538"/>
  <c r="AE538" s="1"/>
  <c r="V538" l="1"/>
  <c r="W538" s="1"/>
  <c r="A539"/>
  <c r="B539" s="1"/>
  <c r="L538"/>
  <c r="U538" l="1"/>
  <c r="Y537"/>
  <c r="Z539"/>
  <c r="P539"/>
  <c r="Q539" s="1"/>
  <c r="R539" s="1"/>
  <c r="S539" s="1"/>
  <c r="AD539"/>
  <c r="AA539"/>
  <c r="AC539"/>
  <c r="T539" l="1"/>
  <c r="AH539" s="1"/>
  <c r="AG539" l="1"/>
  <c r="E539"/>
  <c r="H539" s="1"/>
  <c r="K539" s="1"/>
  <c r="AE539" s="1"/>
  <c r="D539"/>
  <c r="G539" s="1"/>
  <c r="F539" l="1"/>
  <c r="V539"/>
  <c r="A540"/>
  <c r="B540" s="1"/>
  <c r="I539"/>
  <c r="J539"/>
  <c r="M539"/>
  <c r="N539" s="1"/>
  <c r="W539" l="1"/>
  <c r="L539"/>
  <c r="AA540"/>
  <c r="AC540"/>
  <c r="Z540"/>
  <c r="AD540"/>
  <c r="P540"/>
  <c r="Q540" s="1"/>
  <c r="R540" s="1"/>
  <c r="S540" s="1"/>
  <c r="U539" l="1"/>
  <c r="Y538"/>
  <c r="T540"/>
  <c r="AG540" s="1"/>
  <c r="E540" l="1"/>
  <c r="H540" s="1"/>
  <c r="D540"/>
  <c r="AH540"/>
  <c r="K540" l="1"/>
  <c r="AE540" s="1"/>
  <c r="F540"/>
  <c r="G540"/>
  <c r="V540" l="1"/>
  <c r="A541"/>
  <c r="B541" s="1"/>
  <c r="I540"/>
  <c r="J540"/>
  <c r="M540"/>
  <c r="N540" s="1"/>
  <c r="W540" l="1"/>
  <c r="L540"/>
  <c r="P541"/>
  <c r="Q541" s="1"/>
  <c r="R541" s="1"/>
  <c r="S541" s="1"/>
  <c r="AA541"/>
  <c r="AD541"/>
  <c r="Z541"/>
  <c r="AC541"/>
  <c r="U540" l="1"/>
  <c r="Y539"/>
  <c r="T541"/>
  <c r="AG541" s="1"/>
  <c r="AH541" l="1"/>
  <c r="E541"/>
  <c r="H541" s="1"/>
  <c r="D541"/>
  <c r="K541" l="1"/>
  <c r="AE541" s="1"/>
  <c r="F541"/>
  <c r="G541"/>
  <c r="I541" l="1"/>
  <c r="J541"/>
  <c r="M541"/>
  <c r="N541" s="1"/>
  <c r="V541"/>
  <c r="A542"/>
  <c r="B542" s="1"/>
  <c r="W541" l="1"/>
  <c r="L541"/>
  <c r="AC542"/>
  <c r="P542"/>
  <c r="Q542" s="1"/>
  <c r="R542" s="1"/>
  <c r="S542" s="1"/>
  <c r="AA542"/>
  <c r="Z542"/>
  <c r="AD542"/>
  <c r="T542" l="1"/>
  <c r="AH542" s="1"/>
  <c r="U541"/>
  <c r="Y540"/>
  <c r="E542" l="1"/>
  <c r="H542" s="1"/>
  <c r="K542" s="1"/>
  <c r="AE542" s="1"/>
  <c r="AG542"/>
  <c r="D542"/>
  <c r="F542" l="1"/>
  <c r="G542"/>
  <c r="V542"/>
  <c r="A543"/>
  <c r="B543" s="1"/>
  <c r="P543" l="1"/>
  <c r="Q543" s="1"/>
  <c r="R543" s="1"/>
  <c r="S543" s="1"/>
  <c r="AD543"/>
  <c r="Z543"/>
  <c r="AA543"/>
  <c r="AC543"/>
  <c r="I542"/>
  <c r="W542" s="1"/>
  <c r="J542"/>
  <c r="M542"/>
  <c r="N542" s="1"/>
  <c r="T543" l="1"/>
  <c r="L542"/>
  <c r="AH543" l="1"/>
  <c r="U542"/>
  <c r="E543" s="1"/>
  <c r="H543" s="1"/>
  <c r="AG543"/>
  <c r="Y541"/>
  <c r="D543" l="1"/>
  <c r="G543" s="1"/>
  <c r="K543"/>
  <c r="AE543" s="1"/>
  <c r="F543" l="1"/>
  <c r="I543"/>
  <c r="J543"/>
  <c r="M543"/>
  <c r="N543" s="1"/>
  <c r="V543"/>
  <c r="A544"/>
  <c r="B544" s="1"/>
  <c r="W543" l="1"/>
  <c r="L543"/>
  <c r="P544"/>
  <c r="Q544" s="1"/>
  <c r="R544" s="1"/>
  <c r="S544" s="1"/>
  <c r="Z544"/>
  <c r="AC544"/>
  <c r="AA544"/>
  <c r="U543" l="1"/>
  <c r="Y542"/>
  <c r="T544"/>
  <c r="AG544" s="1"/>
  <c r="E544" l="1"/>
  <c r="H544" s="1"/>
  <c r="D544"/>
  <c r="AH544"/>
  <c r="K544" l="1"/>
  <c r="AE544" s="1"/>
  <c r="F544"/>
  <c r="G544"/>
  <c r="I544" l="1"/>
  <c r="J544"/>
  <c r="AD544" s="1"/>
  <c r="M544"/>
  <c r="N544" s="1"/>
  <c r="V544"/>
  <c r="A545"/>
  <c r="B545" s="1"/>
  <c r="W544" l="1"/>
  <c r="L544"/>
  <c r="Z545"/>
  <c r="AA545"/>
  <c r="AD545"/>
  <c r="AC545"/>
  <c r="P545"/>
  <c r="Q545" s="1"/>
  <c r="R545" s="1"/>
  <c r="S545" s="1"/>
  <c r="U544" l="1"/>
  <c r="Y543"/>
  <c r="T545"/>
  <c r="AH545" s="1"/>
  <c r="E545" l="1"/>
  <c r="H545" s="1"/>
  <c r="K545" s="1"/>
  <c r="AE545" s="1"/>
  <c r="D545"/>
  <c r="AG545"/>
  <c r="V545" l="1"/>
  <c r="A546"/>
  <c r="B546" s="1"/>
  <c r="F545"/>
  <c r="G545"/>
  <c r="I545" l="1"/>
  <c r="W545" s="1"/>
  <c r="J545"/>
  <c r="M545"/>
  <c r="N545" s="1"/>
  <c r="AC546"/>
  <c r="P546"/>
  <c r="Q546" s="1"/>
  <c r="R546" s="1"/>
  <c r="S546" s="1"/>
  <c r="Z546"/>
  <c r="AA546"/>
  <c r="AD546"/>
  <c r="T546" l="1"/>
  <c r="L545"/>
  <c r="U545" l="1"/>
  <c r="D546" s="1"/>
  <c r="AG546"/>
  <c r="AH546"/>
  <c r="Y544"/>
  <c r="E546" l="1"/>
  <c r="H546" s="1"/>
  <c r="K546" s="1"/>
  <c r="AE546" s="1"/>
  <c r="G546"/>
  <c r="F546" l="1"/>
  <c r="V546"/>
  <c r="A547"/>
  <c r="B547" s="1"/>
  <c r="I546"/>
  <c r="J546"/>
  <c r="M546"/>
  <c r="N546" s="1"/>
  <c r="W546" l="1"/>
  <c r="L546"/>
  <c r="AC547"/>
  <c r="AD547"/>
  <c r="P547"/>
  <c r="Q547" s="1"/>
  <c r="R547" s="1"/>
  <c r="S547" s="1"/>
  <c r="AA547"/>
  <c r="Z547"/>
  <c r="U546" l="1"/>
  <c r="Y545"/>
  <c r="T547"/>
  <c r="AG547" s="1"/>
  <c r="E547" l="1"/>
  <c r="H547" s="1"/>
  <c r="K547" s="1"/>
  <c r="AE547" s="1"/>
  <c r="D547"/>
  <c r="G547" s="1"/>
  <c r="AH547"/>
  <c r="F547" l="1"/>
  <c r="I547"/>
  <c r="J547"/>
  <c r="M547"/>
  <c r="N547" s="1"/>
  <c r="V547"/>
  <c r="A548"/>
  <c r="B548" s="1"/>
  <c r="W547" l="1"/>
  <c r="L547"/>
  <c r="Z548"/>
  <c r="AA548"/>
  <c r="P548"/>
  <c r="Q548" s="1"/>
  <c r="R548" s="1"/>
  <c r="S548" s="1"/>
  <c r="AC548"/>
  <c r="AD548"/>
  <c r="U547" l="1"/>
  <c r="Y546"/>
  <c r="T548"/>
  <c r="E548" l="1"/>
  <c r="H548" s="1"/>
  <c r="K548" s="1"/>
  <c r="AE548" s="1"/>
  <c r="D548"/>
  <c r="AG548"/>
  <c r="AH548"/>
  <c r="V548" l="1"/>
  <c r="A549"/>
  <c r="B549" s="1"/>
  <c r="F548"/>
  <c r="G548"/>
  <c r="I548" l="1"/>
  <c r="W548" s="1"/>
  <c r="J548"/>
  <c r="M548"/>
  <c r="N548" s="1"/>
  <c r="P549"/>
  <c r="Q549" s="1"/>
  <c r="R549" s="1"/>
  <c r="S549" s="1"/>
  <c r="AC549"/>
  <c r="AA549"/>
  <c r="Z549"/>
  <c r="AD549"/>
  <c r="T549" l="1"/>
  <c r="L548"/>
  <c r="AH549" l="1"/>
  <c r="U548"/>
  <c r="E549" s="1"/>
  <c r="H549" s="1"/>
  <c r="AG549"/>
  <c r="Y547"/>
  <c r="K549" l="1"/>
  <c r="AE549" s="1"/>
  <c r="D549"/>
  <c r="V549" l="1"/>
  <c r="A550"/>
  <c r="B550" s="1"/>
  <c r="F549"/>
  <c r="G549"/>
  <c r="I549" l="1"/>
  <c r="W549" s="1"/>
  <c r="J549"/>
  <c r="M549"/>
  <c r="N549" s="1"/>
  <c r="P550"/>
  <c r="Q550" s="1"/>
  <c r="R550" s="1"/>
  <c r="S550" s="1"/>
  <c r="AA550"/>
  <c r="AC550"/>
  <c r="Z550"/>
  <c r="AD550"/>
  <c r="T550" l="1"/>
  <c r="L549"/>
  <c r="U549" l="1"/>
  <c r="D550" s="1"/>
  <c r="AH550"/>
  <c r="AG550"/>
  <c r="Y548"/>
  <c r="E550" l="1"/>
  <c r="H550" s="1"/>
  <c r="K550" s="1"/>
  <c r="AE550" s="1"/>
  <c r="G550"/>
  <c r="F550" l="1"/>
  <c r="I550"/>
  <c r="J550"/>
  <c r="M550"/>
  <c r="N550" s="1"/>
  <c r="V550"/>
  <c r="A551"/>
  <c r="B551" s="1"/>
  <c r="W550" l="1"/>
  <c r="L550"/>
  <c r="AD551"/>
  <c r="P551"/>
  <c r="Q551" s="1"/>
  <c r="R551" s="1"/>
  <c r="S551" s="1"/>
  <c r="AC551"/>
  <c r="AA551"/>
  <c r="Z551"/>
  <c r="T551" l="1"/>
  <c r="AG551" s="1"/>
  <c r="U550"/>
  <c r="Y549"/>
  <c r="D551" l="1"/>
  <c r="G551" s="1"/>
  <c r="AH551"/>
  <c r="E551"/>
  <c r="H551" s="1"/>
  <c r="F551" l="1"/>
  <c r="I551"/>
  <c r="J551"/>
  <c r="M551"/>
  <c r="N551" s="1"/>
  <c r="K551"/>
  <c r="AE551" s="1"/>
  <c r="V551" l="1"/>
  <c r="W551" s="1"/>
  <c r="A552"/>
  <c r="B552" s="1"/>
  <c r="L551"/>
  <c r="U551" l="1"/>
  <c r="Y550"/>
  <c r="AA552"/>
  <c r="P552"/>
  <c r="Q552" s="1"/>
  <c r="R552" s="1"/>
  <c r="S552" s="1"/>
  <c r="AC552"/>
  <c r="Z552"/>
  <c r="AD552"/>
  <c r="T552" l="1"/>
  <c r="D552" s="1"/>
  <c r="AG552" l="1"/>
  <c r="AH552"/>
  <c r="E552"/>
  <c r="H552" s="1"/>
  <c r="K552" s="1"/>
  <c r="AE552" s="1"/>
  <c r="G552"/>
  <c r="F552" l="1"/>
  <c r="I552"/>
  <c r="J552"/>
  <c r="M552"/>
  <c r="N552" s="1"/>
  <c r="V552"/>
  <c r="A553"/>
  <c r="B553" s="1"/>
  <c r="W552" l="1"/>
  <c r="L552"/>
  <c r="P553"/>
  <c r="Q553" s="1"/>
  <c r="R553" s="1"/>
  <c r="S553" s="1"/>
  <c r="Z553"/>
  <c r="AC553"/>
  <c r="AA553"/>
  <c r="AD553"/>
  <c r="T553" l="1"/>
  <c r="U552"/>
  <c r="Y551"/>
  <c r="D553" l="1"/>
  <c r="G553" s="1"/>
  <c r="AH553"/>
  <c r="AG553"/>
  <c r="E553"/>
  <c r="H553" s="1"/>
  <c r="K553" l="1"/>
  <c r="AE553" s="1"/>
  <c r="F553"/>
  <c r="I553"/>
  <c r="J553"/>
  <c r="M553"/>
  <c r="N553" s="1"/>
  <c r="V553" l="1"/>
  <c r="W553" s="1"/>
  <c r="A554"/>
  <c r="B554" s="1"/>
  <c r="L553"/>
  <c r="U553" l="1"/>
  <c r="Y552"/>
  <c r="AA554"/>
  <c r="AC554"/>
  <c r="P554"/>
  <c r="Q554" s="1"/>
  <c r="R554" s="1"/>
  <c r="S554" s="1"/>
  <c r="Z554"/>
  <c r="T554" l="1"/>
  <c r="AH554" s="1"/>
  <c r="E554" l="1"/>
  <c r="H554" s="1"/>
  <c r="K554" s="1"/>
  <c r="AE554" s="1"/>
  <c r="AG554"/>
  <c r="D554"/>
  <c r="V554" l="1"/>
  <c r="A555"/>
  <c r="B555" s="1"/>
  <c r="F554"/>
  <c r="G554"/>
  <c r="I554" l="1"/>
  <c r="W554" s="1"/>
  <c r="J554"/>
  <c r="AD554" s="1"/>
  <c r="M554"/>
  <c r="N554" s="1"/>
  <c r="AA555"/>
  <c r="Z555"/>
  <c r="AC555"/>
  <c r="P555"/>
  <c r="Q555" s="1"/>
  <c r="R555" s="1"/>
  <c r="S555" s="1"/>
  <c r="AD555"/>
  <c r="L554" l="1"/>
  <c r="T555"/>
  <c r="U554" l="1"/>
  <c r="E555" s="1"/>
  <c r="H555" s="1"/>
  <c r="AG555"/>
  <c r="AH555"/>
  <c r="Y553"/>
  <c r="K555" l="1"/>
  <c r="AE555" s="1"/>
  <c r="D555"/>
  <c r="F555" l="1"/>
  <c r="G555"/>
  <c r="V555"/>
  <c r="A556"/>
  <c r="B556" s="1"/>
  <c r="P556" l="1"/>
  <c r="Q556" s="1"/>
  <c r="R556" s="1"/>
  <c r="S556" s="1"/>
  <c r="AA556"/>
  <c r="AD556"/>
  <c r="Z556"/>
  <c r="AC556"/>
  <c r="I555"/>
  <c r="W555" s="1"/>
  <c r="J555"/>
  <c r="M555"/>
  <c r="N555" s="1"/>
  <c r="T556" l="1"/>
  <c r="L555"/>
  <c r="AH556" l="1"/>
  <c r="U555"/>
  <c r="D556" s="1"/>
  <c r="AG556"/>
  <c r="Y554"/>
  <c r="E556" l="1"/>
  <c r="H556" s="1"/>
  <c r="K556" s="1"/>
  <c r="AE556" s="1"/>
  <c r="G556"/>
  <c r="F556" l="1"/>
  <c r="I556"/>
  <c r="J556"/>
  <c r="M556"/>
  <c r="N556" s="1"/>
  <c r="V556"/>
  <c r="A557"/>
  <c r="B557" s="1"/>
  <c r="W556" l="1"/>
  <c r="L556"/>
  <c r="AD557"/>
  <c r="P557"/>
  <c r="Q557" s="1"/>
  <c r="R557" s="1"/>
  <c r="S557" s="1"/>
  <c r="AA557"/>
  <c r="AC557"/>
  <c r="Z557"/>
  <c r="U556" l="1"/>
  <c r="Y555"/>
  <c r="T557"/>
  <c r="AH557" s="1"/>
  <c r="D557" l="1"/>
  <c r="G557" s="1"/>
  <c r="AG557"/>
  <c r="E557"/>
  <c r="H557" s="1"/>
  <c r="K557" s="1"/>
  <c r="AE557" s="1"/>
  <c r="F557" l="1"/>
  <c r="I557"/>
  <c r="J557"/>
  <c r="M557"/>
  <c r="N557" s="1"/>
  <c r="V557"/>
  <c r="A558"/>
  <c r="B558" s="1"/>
  <c r="W557" l="1"/>
  <c r="L557"/>
  <c r="AA558"/>
  <c r="AD558"/>
  <c r="P558"/>
  <c r="Q558" s="1"/>
  <c r="R558" s="1"/>
  <c r="S558" s="1"/>
  <c r="Z558"/>
  <c r="AC558"/>
  <c r="T558" l="1"/>
  <c r="AG558" s="1"/>
  <c r="U557"/>
  <c r="Y556"/>
  <c r="E558" l="1"/>
  <c r="H558" s="1"/>
  <c r="AH558"/>
  <c r="D558"/>
  <c r="F558" l="1"/>
  <c r="G558"/>
  <c r="K558"/>
  <c r="AE558" s="1"/>
  <c r="I558" l="1"/>
  <c r="J558"/>
  <c r="M558"/>
  <c r="N558" s="1"/>
  <c r="V558"/>
  <c r="A559"/>
  <c r="B559" s="1"/>
  <c r="W558" l="1"/>
  <c r="L558"/>
  <c r="AC559"/>
  <c r="P559"/>
  <c r="Q559" s="1"/>
  <c r="R559" s="1"/>
  <c r="S559" s="1"/>
  <c r="AA559"/>
  <c r="Z559"/>
  <c r="AD559"/>
  <c r="T559" l="1"/>
  <c r="U558"/>
  <c r="Y557"/>
  <c r="E559" l="1"/>
  <c r="H559" s="1"/>
  <c r="K559" s="1"/>
  <c r="AE559" s="1"/>
  <c r="AH559"/>
  <c r="AG559"/>
  <c r="D559"/>
  <c r="V559" l="1"/>
  <c r="A560"/>
  <c r="B560" s="1"/>
  <c r="F559"/>
  <c r="G559"/>
  <c r="I559" l="1"/>
  <c r="W559" s="1"/>
  <c r="J559"/>
  <c r="M559"/>
  <c r="N559" s="1"/>
  <c r="AD560"/>
  <c r="Z560"/>
  <c r="AC560"/>
  <c r="AA560"/>
  <c r="P560"/>
  <c r="Q560" s="1"/>
  <c r="R560" s="1"/>
  <c r="S560" s="1"/>
  <c r="T560" l="1"/>
  <c r="L559"/>
  <c r="AG560" l="1"/>
  <c r="U559"/>
  <c r="D560" s="1"/>
  <c r="AH560"/>
  <c r="Y558"/>
  <c r="E560" l="1"/>
  <c r="H560" s="1"/>
  <c r="K560" s="1"/>
  <c r="AE560" s="1"/>
  <c r="G560"/>
  <c r="F560" l="1"/>
  <c r="V560"/>
  <c r="A561"/>
  <c r="B561" s="1"/>
  <c r="I560"/>
  <c r="J560"/>
  <c r="M560"/>
  <c r="N560" s="1"/>
  <c r="W560" l="1"/>
  <c r="L560"/>
  <c r="AA561"/>
  <c r="P561"/>
  <c r="Q561" s="1"/>
  <c r="R561" s="1"/>
  <c r="S561" s="1"/>
  <c r="Z561"/>
  <c r="AD561"/>
  <c r="AC561"/>
  <c r="U560" l="1"/>
  <c r="Y559"/>
  <c r="T561"/>
  <c r="E561" l="1"/>
  <c r="H561" s="1"/>
  <c r="K561" s="1"/>
  <c r="AE561" s="1"/>
  <c r="D561"/>
  <c r="AH561"/>
  <c r="AG561"/>
  <c r="F561" l="1"/>
  <c r="G561"/>
  <c r="M561" s="1"/>
  <c r="N561" s="1"/>
  <c r="V561"/>
  <c r="A562"/>
  <c r="B562" s="1"/>
  <c r="I561" l="1"/>
  <c r="W561" s="1"/>
  <c r="J561"/>
  <c r="L561" s="1"/>
  <c r="Z562"/>
  <c r="AA562"/>
  <c r="AD562"/>
  <c r="P562"/>
  <c r="Q562" s="1"/>
  <c r="R562" s="1"/>
  <c r="S562" s="1"/>
  <c r="AC562"/>
  <c r="U561" l="1"/>
  <c r="Y560"/>
  <c r="T562"/>
  <c r="AH562" s="1"/>
  <c r="AG562" l="1"/>
  <c r="E562"/>
  <c r="H562" s="1"/>
  <c r="K562" s="1"/>
  <c r="AE562" s="1"/>
  <c r="D562"/>
  <c r="F562" l="1"/>
  <c r="G562"/>
  <c r="J562" s="1"/>
  <c r="V562"/>
  <c r="A563"/>
  <c r="B563" s="1"/>
  <c r="M562" l="1"/>
  <c r="N562" s="1"/>
  <c r="I562"/>
  <c r="W562" s="1"/>
  <c r="L562"/>
  <c r="Z563"/>
  <c r="P563"/>
  <c r="Q563" s="1"/>
  <c r="R563" s="1"/>
  <c r="S563" s="1"/>
  <c r="AC563"/>
  <c r="AA563"/>
  <c r="AD563"/>
  <c r="U562" l="1"/>
  <c r="Y561"/>
  <c r="T563"/>
  <c r="AH563" s="1"/>
  <c r="AG563" l="1"/>
  <c r="D563"/>
  <c r="E563"/>
  <c r="H563" s="1"/>
  <c r="K563" s="1"/>
  <c r="AE563" s="1"/>
  <c r="F563" l="1"/>
  <c r="G563"/>
  <c r="M563" s="1"/>
  <c r="N563" s="1"/>
  <c r="V563"/>
  <c r="A564"/>
  <c r="B564" s="1"/>
  <c r="I563" l="1"/>
  <c r="W563" s="1"/>
  <c r="J563"/>
  <c r="L563" s="1"/>
  <c r="Z564"/>
  <c r="P564"/>
  <c r="Q564" s="1"/>
  <c r="R564" s="1"/>
  <c r="S564" s="1"/>
  <c r="AC564"/>
  <c r="AA564"/>
  <c r="U563" l="1"/>
  <c r="Y562"/>
  <c r="T564"/>
  <c r="AH564" s="1"/>
  <c r="D564" l="1"/>
  <c r="E564"/>
  <c r="H564" s="1"/>
  <c r="AG564"/>
  <c r="K564" l="1"/>
  <c r="AE564" s="1"/>
  <c r="F564"/>
  <c r="G564"/>
  <c r="V564" l="1"/>
  <c r="A565"/>
  <c r="B565" s="1"/>
  <c r="I564"/>
  <c r="J564"/>
  <c r="AD564" s="1"/>
  <c r="M564"/>
  <c r="N564" s="1"/>
  <c r="W564" l="1"/>
  <c r="L564"/>
  <c r="Z565"/>
  <c r="AC565"/>
  <c r="P565"/>
  <c r="Q565" s="1"/>
  <c r="R565" s="1"/>
  <c r="S565" s="1"/>
  <c r="AA565"/>
  <c r="AD565"/>
  <c r="U564" l="1"/>
  <c r="Y563"/>
  <c r="T565"/>
  <c r="E565" l="1"/>
  <c r="H565" s="1"/>
  <c r="K565" s="1"/>
  <c r="AE565" s="1"/>
  <c r="D565"/>
  <c r="AG565"/>
  <c r="AH565"/>
  <c r="V565" l="1"/>
  <c r="A566"/>
  <c r="B566" s="1"/>
  <c r="F565"/>
  <c r="G565"/>
  <c r="I565" l="1"/>
  <c r="W565" s="1"/>
  <c r="J565"/>
  <c r="M565"/>
  <c r="N565" s="1"/>
  <c r="AD566"/>
  <c r="Z566"/>
  <c r="AA566"/>
  <c r="P566"/>
  <c r="Q566" s="1"/>
  <c r="R566" s="1"/>
  <c r="S566" s="1"/>
  <c r="AC566"/>
  <c r="L565" l="1"/>
  <c r="T566"/>
  <c r="AG566" l="1"/>
  <c r="AH566"/>
  <c r="U565"/>
  <c r="D566" s="1"/>
  <c r="Y564"/>
  <c r="G566" l="1"/>
  <c r="E566"/>
  <c r="H566" s="1"/>
  <c r="F566" l="1"/>
  <c r="I566"/>
  <c r="J566"/>
  <c r="M566"/>
  <c r="N566" s="1"/>
  <c r="K566"/>
  <c r="AE566" s="1"/>
  <c r="V566" l="1"/>
  <c r="W566" s="1"/>
  <c r="A567"/>
  <c r="B567" s="1"/>
  <c r="L566"/>
  <c r="U566" l="1"/>
  <c r="Y565"/>
  <c r="P567"/>
  <c r="Q567" s="1"/>
  <c r="R567" s="1"/>
  <c r="S567" s="1"/>
  <c r="AA567"/>
  <c r="AD567"/>
  <c r="Z567"/>
  <c r="AC567"/>
  <c r="T567" l="1"/>
  <c r="AG567" s="1"/>
  <c r="AH567" l="1"/>
  <c r="E567"/>
  <c r="H567" s="1"/>
  <c r="K567" s="1"/>
  <c r="AE567" s="1"/>
  <c r="D567"/>
  <c r="G567" s="1"/>
  <c r="F567" l="1"/>
  <c r="I567"/>
  <c r="J567"/>
  <c r="M567"/>
  <c r="N567" s="1"/>
  <c r="V567"/>
  <c r="A568"/>
  <c r="B568" s="1"/>
  <c r="W567" l="1"/>
  <c r="L567"/>
  <c r="AC568"/>
  <c r="AD568"/>
  <c r="P568"/>
  <c r="Q568" s="1"/>
  <c r="R568" s="1"/>
  <c r="S568" s="1"/>
  <c r="AA568"/>
  <c r="Z568"/>
  <c r="U567" l="1"/>
  <c r="Y566"/>
  <c r="T568"/>
  <c r="AG568" s="1"/>
  <c r="D568" l="1"/>
  <c r="G568" s="1"/>
  <c r="E568"/>
  <c r="H568" s="1"/>
  <c r="K568" s="1"/>
  <c r="AE568" s="1"/>
  <c r="AH568"/>
  <c r="F568" l="1"/>
  <c r="V568"/>
  <c r="A569"/>
  <c r="B569" s="1"/>
  <c r="I568"/>
  <c r="J568"/>
  <c r="M568"/>
  <c r="N568" s="1"/>
  <c r="L568" l="1"/>
  <c r="W568"/>
  <c r="AA569"/>
  <c r="AD569"/>
  <c r="P569"/>
  <c r="Q569" s="1"/>
  <c r="R569" s="1"/>
  <c r="S569" s="1"/>
  <c r="AC569"/>
  <c r="Z569"/>
  <c r="T569" l="1"/>
  <c r="AH569" s="1"/>
  <c r="U568"/>
  <c r="Y567"/>
  <c r="D569" l="1"/>
  <c r="G569" s="1"/>
  <c r="AG569"/>
  <c r="E569"/>
  <c r="H569" s="1"/>
  <c r="F569" l="1"/>
  <c r="I569"/>
  <c r="J569"/>
  <c r="M569"/>
  <c r="N569" s="1"/>
  <c r="K569"/>
  <c r="AE569" s="1"/>
  <c r="L569" l="1"/>
  <c r="V569"/>
  <c r="W569" s="1"/>
  <c r="A570"/>
  <c r="B570" s="1"/>
  <c r="AC570" l="1"/>
  <c r="P570"/>
  <c r="Q570" s="1"/>
  <c r="R570" s="1"/>
  <c r="S570" s="1"/>
  <c r="AD570"/>
  <c r="Z570"/>
  <c r="AA570"/>
  <c r="U569"/>
  <c r="Y568"/>
  <c r="T570" l="1"/>
  <c r="D570" l="1"/>
  <c r="E570"/>
  <c r="H570" s="1"/>
  <c r="AG570"/>
  <c r="AH570"/>
  <c r="F570" l="1"/>
  <c r="G570"/>
  <c r="K570"/>
  <c r="AE570" s="1"/>
  <c r="V570" l="1"/>
  <c r="A571"/>
  <c r="B571" s="1"/>
  <c r="I570"/>
  <c r="J570"/>
  <c r="M570"/>
  <c r="N570" s="1"/>
  <c r="W570" l="1"/>
  <c r="L570"/>
  <c r="P571"/>
  <c r="Q571" s="1"/>
  <c r="R571" s="1"/>
  <c r="S571" s="1"/>
  <c r="AD571"/>
  <c r="AA571"/>
  <c r="Z571"/>
  <c r="AC571"/>
  <c r="U570" l="1"/>
  <c r="Y569"/>
  <c r="T571"/>
  <c r="D571" l="1"/>
  <c r="G571" s="1"/>
  <c r="AG571"/>
  <c r="AH571"/>
  <c r="E571"/>
  <c r="H571" s="1"/>
  <c r="K571" s="1"/>
  <c r="AE571" s="1"/>
  <c r="F571" l="1"/>
  <c r="V571"/>
  <c r="A572"/>
  <c r="B572" s="1"/>
  <c r="I571"/>
  <c r="J571"/>
  <c r="M571"/>
  <c r="N571" s="1"/>
  <c r="W571" l="1"/>
  <c r="L571"/>
  <c r="AC572"/>
  <c r="AD572"/>
  <c r="P572"/>
  <c r="Q572" s="1"/>
  <c r="R572" s="1"/>
  <c r="S572" s="1"/>
  <c r="AA572"/>
  <c r="Z572"/>
  <c r="T572" l="1"/>
  <c r="AH572" s="1"/>
  <c r="U571"/>
  <c r="Y570"/>
  <c r="E572" l="1"/>
  <c r="H572" s="1"/>
  <c r="AG572"/>
  <c r="D572"/>
  <c r="F572" l="1"/>
  <c r="G572"/>
  <c r="K572"/>
  <c r="AE572" s="1"/>
  <c r="V572" l="1"/>
  <c r="A573"/>
  <c r="B573" s="1"/>
  <c r="I572"/>
  <c r="J572"/>
  <c r="M572"/>
  <c r="N572" s="1"/>
  <c r="W572" l="1"/>
  <c r="L572"/>
  <c r="P573"/>
  <c r="Q573" s="1"/>
  <c r="R573" s="1"/>
  <c r="S573" s="1"/>
  <c r="Z573"/>
  <c r="AC573"/>
  <c r="AA573"/>
  <c r="AD573"/>
  <c r="U572" l="1"/>
  <c r="Y571"/>
  <c r="T573"/>
  <c r="E573" l="1"/>
  <c r="H573" s="1"/>
  <c r="K573" s="1"/>
  <c r="AE573" s="1"/>
  <c r="D573"/>
  <c r="AH573"/>
  <c r="AG573"/>
  <c r="F573" l="1"/>
  <c r="G573"/>
  <c r="I573" s="1"/>
  <c r="V573"/>
  <c r="A574"/>
  <c r="B574" s="1"/>
  <c r="J573" l="1"/>
  <c r="L573" s="1"/>
  <c r="M573"/>
  <c r="N573" s="1"/>
  <c r="W573"/>
  <c r="AA574"/>
  <c r="Z574"/>
  <c r="P574"/>
  <c r="Q574" s="1"/>
  <c r="R574" s="1"/>
  <c r="S574" s="1"/>
  <c r="AC574"/>
  <c r="U573" l="1"/>
  <c r="Y572"/>
  <c r="T574"/>
  <c r="AH574" s="1"/>
  <c r="D574" l="1"/>
  <c r="G574" s="1"/>
  <c r="AG574"/>
  <c r="E574"/>
  <c r="H574" s="1"/>
  <c r="K574" l="1"/>
  <c r="AE574" s="1"/>
  <c r="I574"/>
  <c r="J574"/>
  <c r="AD574" s="1"/>
  <c r="M574"/>
  <c r="N574" s="1"/>
  <c r="F574"/>
  <c r="V574" l="1"/>
  <c r="W574" s="1"/>
  <c r="A575"/>
  <c r="B575" s="1"/>
  <c r="L574"/>
  <c r="U574" l="1"/>
  <c r="Y573"/>
  <c r="P575"/>
  <c r="Q575" s="1"/>
  <c r="R575" s="1"/>
  <c r="S575" s="1"/>
  <c r="Z575"/>
  <c r="AC575"/>
  <c r="AA575"/>
  <c r="AD575"/>
  <c r="T575" l="1"/>
  <c r="AH575" s="1"/>
  <c r="AG575" l="1"/>
  <c r="E575"/>
  <c r="H575" s="1"/>
  <c r="D575"/>
  <c r="K575" l="1"/>
  <c r="AE575" s="1"/>
  <c r="F575"/>
  <c r="G575"/>
  <c r="V575" l="1"/>
  <c r="A576"/>
  <c r="B576" s="1"/>
  <c r="I575"/>
  <c r="J575"/>
  <c r="M575"/>
  <c r="N575" s="1"/>
  <c r="W575" l="1"/>
  <c r="L575"/>
  <c r="AA576"/>
  <c r="P576"/>
  <c r="Q576" s="1"/>
  <c r="R576" s="1"/>
  <c r="S576" s="1"/>
  <c r="AD576"/>
  <c r="Z576"/>
  <c r="AC576"/>
  <c r="U575" l="1"/>
  <c r="Y574"/>
  <c r="T576"/>
  <c r="E576" l="1"/>
  <c r="H576" s="1"/>
  <c r="K576" s="1"/>
  <c r="AE576" s="1"/>
  <c r="AH576"/>
  <c r="D576"/>
  <c r="G576" s="1"/>
  <c r="AG576"/>
  <c r="F576" l="1"/>
  <c r="V576"/>
  <c r="A577"/>
  <c r="B577" s="1"/>
  <c r="I576"/>
  <c r="J576"/>
  <c r="M576"/>
  <c r="N576" s="1"/>
  <c r="W576" l="1"/>
  <c r="L576"/>
  <c r="P577"/>
  <c r="Q577" s="1"/>
  <c r="R577" s="1"/>
  <c r="S577" s="1"/>
  <c r="AD577"/>
  <c r="AC577"/>
  <c r="AA577"/>
  <c r="Z577"/>
  <c r="U576" l="1"/>
  <c r="Y575"/>
  <c r="T577"/>
  <c r="AH577" s="1"/>
  <c r="E577" l="1"/>
  <c r="H577" s="1"/>
  <c r="K577" s="1"/>
  <c r="AE577" s="1"/>
  <c r="AG577"/>
  <c r="D577"/>
  <c r="F577" l="1"/>
  <c r="G577"/>
  <c r="J577" s="1"/>
  <c r="V577"/>
  <c r="A578"/>
  <c r="B578" s="1"/>
  <c r="M577" l="1"/>
  <c r="N577" s="1"/>
  <c r="I577"/>
  <c r="W577" s="1"/>
  <c r="L577"/>
  <c r="AC578"/>
  <c r="AD578"/>
  <c r="P578"/>
  <c r="Q578" s="1"/>
  <c r="R578" s="1"/>
  <c r="S578" s="1"/>
  <c r="Z578"/>
  <c r="AA578"/>
  <c r="U577" l="1"/>
  <c r="Y576"/>
  <c r="T578"/>
  <c r="AG578" s="1"/>
  <c r="D578" l="1"/>
  <c r="G578" s="1"/>
  <c r="AH578"/>
  <c r="E578"/>
  <c r="H578" s="1"/>
  <c r="K578" s="1"/>
  <c r="AE578" s="1"/>
  <c r="F578" l="1"/>
  <c r="I578"/>
  <c r="J578"/>
  <c r="M578"/>
  <c r="N578" s="1"/>
  <c r="V578"/>
  <c r="A579"/>
  <c r="B579" s="1"/>
  <c r="W578" l="1"/>
  <c r="L578"/>
  <c r="AC579"/>
  <c r="Z579"/>
  <c r="P579"/>
  <c r="Q579" s="1"/>
  <c r="R579" s="1"/>
  <c r="S579" s="1"/>
  <c r="AD579"/>
  <c r="AA579"/>
  <c r="U578" l="1"/>
  <c r="Y577"/>
  <c r="T579"/>
  <c r="AG579" s="1"/>
  <c r="E579" l="1"/>
  <c r="H579" s="1"/>
  <c r="K579" s="1"/>
  <c r="AE579" s="1"/>
  <c r="AH579"/>
  <c r="D579"/>
  <c r="F579" l="1"/>
  <c r="G579"/>
  <c r="M579" s="1"/>
  <c r="N579" s="1"/>
  <c r="V579"/>
  <c r="A580"/>
  <c r="B580" s="1"/>
  <c r="I579" l="1"/>
  <c r="W579" s="1"/>
  <c r="J579"/>
  <c r="L579" s="1"/>
  <c r="AD580"/>
  <c r="P580"/>
  <c r="Q580" s="1"/>
  <c r="R580" s="1"/>
  <c r="S580" s="1"/>
  <c r="AA580"/>
  <c r="AC580"/>
  <c r="Z580"/>
  <c r="U579" l="1"/>
  <c r="Y578"/>
  <c r="T580"/>
  <c r="AH580" s="1"/>
  <c r="E580" l="1"/>
  <c r="H580" s="1"/>
  <c r="D580"/>
  <c r="AG580"/>
  <c r="K580" l="1"/>
  <c r="AE580" s="1"/>
  <c r="F580"/>
  <c r="G580"/>
  <c r="I580" l="1"/>
  <c r="J580"/>
  <c r="M580"/>
  <c r="N580" s="1"/>
  <c r="V580"/>
  <c r="A581"/>
  <c r="B581" s="1"/>
  <c r="W580" l="1"/>
  <c r="P581"/>
  <c r="Q581" s="1"/>
  <c r="R581" s="1"/>
  <c r="S581" s="1"/>
  <c r="Z581"/>
  <c r="AA581"/>
  <c r="AC581"/>
  <c r="AD581"/>
  <c r="L580"/>
  <c r="T581" l="1"/>
  <c r="AH581" s="1"/>
  <c r="U580"/>
  <c r="Y579"/>
  <c r="D581" l="1"/>
  <c r="G581" s="1"/>
  <c r="AG581"/>
  <c r="E581"/>
  <c r="H581" s="1"/>
  <c r="I581" l="1"/>
  <c r="J581"/>
  <c r="M581"/>
  <c r="N581" s="1"/>
  <c r="F581"/>
  <c r="K581"/>
  <c r="AE581" s="1"/>
  <c r="L581" l="1"/>
  <c r="V581"/>
  <c r="W581" s="1"/>
  <c r="A582"/>
  <c r="B582" s="1"/>
  <c r="P582" l="1"/>
  <c r="Q582" s="1"/>
  <c r="R582" s="1"/>
  <c r="S582" s="1"/>
  <c r="Z582"/>
  <c r="AD582"/>
  <c r="AC582"/>
  <c r="AA582"/>
  <c r="U581"/>
  <c r="Y580"/>
  <c r="T582" l="1"/>
  <c r="AH582" s="1"/>
  <c r="E582" l="1"/>
  <c r="H582" s="1"/>
  <c r="K582" s="1"/>
  <c r="AE582" s="1"/>
  <c r="AG582"/>
  <c r="D582"/>
  <c r="V582" l="1"/>
  <c r="A583"/>
  <c r="B583" s="1"/>
  <c r="F582"/>
  <c r="G582"/>
  <c r="I582" l="1"/>
  <c r="W582" s="1"/>
  <c r="J582"/>
  <c r="M582"/>
  <c r="N582" s="1"/>
  <c r="AD583"/>
  <c r="AA583"/>
  <c r="Z583"/>
  <c r="P583"/>
  <c r="Q583" s="1"/>
  <c r="R583" s="1"/>
  <c r="S583" s="1"/>
  <c r="AC583"/>
  <c r="T583" l="1"/>
  <c r="L582"/>
  <c r="U582" l="1"/>
  <c r="E583" s="1"/>
  <c r="H583" s="1"/>
  <c r="AG583"/>
  <c r="AH583"/>
  <c r="Y581"/>
  <c r="D583" l="1"/>
  <c r="G583" s="1"/>
  <c r="K583"/>
  <c r="AE583" s="1"/>
  <c r="F583" l="1"/>
  <c r="V583"/>
  <c r="A584"/>
  <c r="B584" s="1"/>
  <c r="I583"/>
  <c r="J583"/>
  <c r="M583"/>
  <c r="N583" s="1"/>
  <c r="W583" l="1"/>
  <c r="L583"/>
  <c r="AC584"/>
  <c r="P584"/>
  <c r="Q584" s="1"/>
  <c r="R584" s="1"/>
  <c r="S584" s="1"/>
  <c r="AA584"/>
  <c r="Z584"/>
  <c r="U583" l="1"/>
  <c r="Y582"/>
  <c r="T584"/>
  <c r="AG584" s="1"/>
  <c r="E584" l="1"/>
  <c r="H584" s="1"/>
  <c r="K584" s="1"/>
  <c r="AE584" s="1"/>
  <c r="AH584"/>
  <c r="D584"/>
  <c r="V584" l="1"/>
  <c r="A585"/>
  <c r="B585" s="1"/>
  <c r="F584"/>
  <c r="G584"/>
  <c r="Z585" l="1"/>
  <c r="AA585"/>
  <c r="P585"/>
  <c r="Q585" s="1"/>
  <c r="R585" s="1"/>
  <c r="S585" s="1"/>
  <c r="AD585"/>
  <c r="AC585"/>
  <c r="I584"/>
  <c r="W584" s="1"/>
  <c r="J584"/>
  <c r="AD584" s="1"/>
  <c r="M584"/>
  <c r="N584" s="1"/>
  <c r="T585" l="1"/>
  <c r="L584"/>
  <c r="AG585" l="1"/>
  <c r="U584"/>
  <c r="D585" s="1"/>
  <c r="AH585"/>
  <c r="Y583"/>
  <c r="G585" l="1"/>
  <c r="E585"/>
  <c r="H585" s="1"/>
  <c r="F585" l="1"/>
  <c r="I585"/>
  <c r="J585"/>
  <c r="M585"/>
  <c r="N585" s="1"/>
  <c r="K585"/>
  <c r="AE585" s="1"/>
  <c r="V585" l="1"/>
  <c r="W585" s="1"/>
  <c r="A586"/>
  <c r="B586" s="1"/>
  <c r="L585"/>
  <c r="U585" l="1"/>
  <c r="Y584"/>
  <c r="P586"/>
  <c r="Q586" s="1"/>
  <c r="R586" s="1"/>
  <c r="S586" s="1"/>
  <c r="AA586"/>
  <c r="Z586"/>
  <c r="AD586"/>
  <c r="AC586"/>
  <c r="T586" l="1"/>
  <c r="E586" s="1"/>
  <c r="H586" s="1"/>
  <c r="AH586" l="1"/>
  <c r="K586"/>
  <c r="AE586" s="1"/>
  <c r="AG586"/>
  <c r="D586"/>
  <c r="F586" l="1"/>
  <c r="G586"/>
  <c r="V586"/>
  <c r="A587"/>
  <c r="B587" s="1"/>
  <c r="AA587" l="1"/>
  <c r="AD587"/>
  <c r="Z587"/>
  <c r="AC587"/>
  <c r="P587"/>
  <c r="Q587" s="1"/>
  <c r="R587" s="1"/>
  <c r="S587" s="1"/>
  <c r="I586"/>
  <c r="W586" s="1"/>
  <c r="J586"/>
  <c r="M586"/>
  <c r="N586" s="1"/>
  <c r="T587" l="1"/>
  <c r="L586"/>
  <c r="AH587" l="1"/>
  <c r="U586"/>
  <c r="D587" s="1"/>
  <c r="AG587"/>
  <c r="Y585"/>
  <c r="G587" l="1"/>
  <c r="E587"/>
  <c r="H587" s="1"/>
  <c r="F587" l="1"/>
  <c r="K587"/>
  <c r="AE587" s="1"/>
  <c r="I587"/>
  <c r="J587"/>
  <c r="M587"/>
  <c r="N587" s="1"/>
  <c r="L587" l="1"/>
  <c r="V587"/>
  <c r="W587" s="1"/>
  <c r="A588"/>
  <c r="B588" s="1"/>
  <c r="U587" l="1"/>
  <c r="Y586"/>
  <c r="P588"/>
  <c r="Q588" s="1"/>
  <c r="R588" s="1"/>
  <c r="S588" s="1"/>
  <c r="AD588"/>
  <c r="Z588"/>
  <c r="AC588"/>
  <c r="AA588"/>
  <c r="T588" l="1"/>
  <c r="AH588" s="1"/>
  <c r="E588" l="1"/>
  <c r="H588" s="1"/>
  <c r="K588" s="1"/>
  <c r="AE588" s="1"/>
  <c r="AG588"/>
  <c r="D588"/>
  <c r="G588" s="1"/>
  <c r="F588" l="1"/>
  <c r="I588"/>
  <c r="J588"/>
  <c r="M588"/>
  <c r="N588" s="1"/>
  <c r="V588"/>
  <c r="A589"/>
  <c r="B589" s="1"/>
  <c r="W588" l="1"/>
  <c r="L588"/>
  <c r="AA589"/>
  <c r="Z589"/>
  <c r="AC589"/>
  <c r="P589"/>
  <c r="Q589" s="1"/>
  <c r="R589" s="1"/>
  <c r="S589" s="1"/>
  <c r="AD589"/>
  <c r="T589" l="1"/>
  <c r="AG589" s="1"/>
  <c r="U588"/>
  <c r="Y587"/>
  <c r="AH589" l="1"/>
  <c r="D589"/>
  <c r="E589"/>
  <c r="H589" s="1"/>
  <c r="F589" l="1"/>
  <c r="G589"/>
  <c r="K589"/>
  <c r="AE589" s="1"/>
  <c r="I589" l="1"/>
  <c r="J589"/>
  <c r="M589"/>
  <c r="N589" s="1"/>
  <c r="V589"/>
  <c r="A590"/>
  <c r="B590" s="1"/>
  <c r="W589" l="1"/>
  <c r="L589"/>
  <c r="P590"/>
  <c r="Q590" s="1"/>
  <c r="R590" s="1"/>
  <c r="S590" s="1"/>
  <c r="AC590"/>
  <c r="AA590"/>
  <c r="Z590"/>
  <c r="AD590"/>
  <c r="U589" l="1"/>
  <c r="Y588"/>
  <c r="T590"/>
  <c r="AH590" s="1"/>
  <c r="D590" l="1"/>
  <c r="G590" s="1"/>
  <c r="E590"/>
  <c r="H590" s="1"/>
  <c r="K590" s="1"/>
  <c r="AE590" s="1"/>
  <c r="AG590"/>
  <c r="F590" l="1"/>
  <c r="V590"/>
  <c r="A591"/>
  <c r="B591" s="1"/>
  <c r="I590"/>
  <c r="J590"/>
  <c r="M590"/>
  <c r="N590" s="1"/>
  <c r="W590" l="1"/>
  <c r="L590"/>
  <c r="AC591"/>
  <c r="P591"/>
  <c r="Q591" s="1"/>
  <c r="R591" s="1"/>
  <c r="S591" s="1"/>
  <c r="Z591"/>
  <c r="AA591"/>
  <c r="AD591"/>
  <c r="U590" l="1"/>
  <c r="Y589"/>
  <c r="T591"/>
  <c r="AG591" s="1"/>
  <c r="D591" l="1"/>
  <c r="G591" s="1"/>
  <c r="E591"/>
  <c r="H591" s="1"/>
  <c r="K591" s="1"/>
  <c r="AE591" s="1"/>
  <c r="AH591"/>
  <c r="F591" l="1"/>
  <c r="I591"/>
  <c r="J591"/>
  <c r="M591"/>
  <c r="N591" s="1"/>
  <c r="V591"/>
  <c r="A592"/>
  <c r="B592" s="1"/>
  <c r="W591" l="1"/>
  <c r="L591"/>
  <c r="AA592"/>
  <c r="AC592"/>
  <c r="Z592"/>
  <c r="AD592"/>
  <c r="P592"/>
  <c r="Q592" s="1"/>
  <c r="R592" s="1"/>
  <c r="S592" s="1"/>
  <c r="U591" l="1"/>
  <c r="Y590"/>
  <c r="T592"/>
  <c r="D592" l="1"/>
  <c r="G592" s="1"/>
  <c r="AH592"/>
  <c r="AG592"/>
  <c r="E592"/>
  <c r="H592" s="1"/>
  <c r="K592" s="1"/>
  <c r="AE592" s="1"/>
  <c r="F592" l="1"/>
  <c r="I592"/>
  <c r="J592"/>
  <c r="M592"/>
  <c r="N592" s="1"/>
  <c r="V592"/>
  <c r="A593"/>
  <c r="B593" s="1"/>
  <c r="W592" l="1"/>
  <c r="L592"/>
  <c r="Z593"/>
  <c r="P593"/>
  <c r="Q593" s="1"/>
  <c r="R593" s="1"/>
  <c r="S593" s="1"/>
  <c r="AD593"/>
  <c r="AA593"/>
  <c r="AC593"/>
  <c r="U592" l="1"/>
  <c r="Y591"/>
  <c r="T593"/>
  <c r="E593" l="1"/>
  <c r="H593" s="1"/>
  <c r="K593" s="1"/>
  <c r="AE593" s="1"/>
  <c r="D593"/>
  <c r="G593" s="1"/>
  <c r="AH593"/>
  <c r="AG593"/>
  <c r="F593" l="1"/>
  <c r="I593"/>
  <c r="J593"/>
  <c r="M593"/>
  <c r="N593" s="1"/>
  <c r="V593"/>
  <c r="A594"/>
  <c r="B594" s="1"/>
  <c r="W593" l="1"/>
  <c r="L593"/>
  <c r="Z594"/>
  <c r="AA594"/>
  <c r="P594"/>
  <c r="Q594" s="1"/>
  <c r="R594" s="1"/>
  <c r="S594" s="1"/>
  <c r="AC594"/>
  <c r="U593" l="1"/>
  <c r="Y592"/>
  <c r="T594"/>
  <c r="AG594" s="1"/>
  <c r="AH594" l="1"/>
  <c r="E594"/>
  <c r="H594" s="1"/>
  <c r="K594" s="1"/>
  <c r="AE594" s="1"/>
  <c r="D594"/>
  <c r="V594" l="1"/>
  <c r="A595"/>
  <c r="B595" s="1"/>
  <c r="F594"/>
  <c r="G594"/>
  <c r="I594" l="1"/>
  <c r="W594" s="1"/>
  <c r="J594"/>
  <c r="AD594" s="1"/>
  <c r="M594"/>
  <c r="N594" s="1"/>
  <c r="AC595"/>
  <c r="AA595"/>
  <c r="P595"/>
  <c r="Q595" s="1"/>
  <c r="R595" s="1"/>
  <c r="S595" s="1"/>
  <c r="Z595"/>
  <c r="AD595"/>
  <c r="T595" l="1"/>
  <c r="L594"/>
  <c r="AH595" l="1"/>
  <c r="U594"/>
  <c r="E595" s="1"/>
  <c r="H595" s="1"/>
  <c r="AG595"/>
  <c r="Y593"/>
  <c r="D595" l="1"/>
  <c r="G595" s="1"/>
  <c r="K595"/>
  <c r="AE595" s="1"/>
  <c r="F595" l="1"/>
  <c r="V595"/>
  <c r="A596"/>
  <c r="B596" s="1"/>
  <c r="I595"/>
  <c r="J595"/>
  <c r="M595"/>
  <c r="N595" s="1"/>
  <c r="W595" l="1"/>
  <c r="L595"/>
  <c r="P596"/>
  <c r="Q596" s="1"/>
  <c r="R596" s="1"/>
  <c r="S596" s="1"/>
  <c r="AA596"/>
  <c r="AC596"/>
  <c r="AD596"/>
  <c r="Z596"/>
  <c r="T596" l="1"/>
  <c r="AG596" s="1"/>
  <c r="U595"/>
  <c r="Y594"/>
  <c r="D596" l="1"/>
  <c r="E596"/>
  <c r="H596" s="1"/>
  <c r="AH596"/>
  <c r="F596" l="1"/>
  <c r="G596"/>
  <c r="K596"/>
  <c r="AE596" s="1"/>
  <c r="V596" l="1"/>
  <c r="A597"/>
  <c r="B597" s="1"/>
  <c r="I596"/>
  <c r="J596"/>
  <c r="M596"/>
  <c r="N596" s="1"/>
  <c r="W596" l="1"/>
  <c r="L596"/>
  <c r="Z597"/>
  <c r="P597"/>
  <c r="Q597" s="1"/>
  <c r="R597" s="1"/>
  <c r="S597" s="1"/>
  <c r="AA597"/>
  <c r="AC597"/>
  <c r="AD597"/>
  <c r="U596" l="1"/>
  <c r="Y595"/>
  <c r="T597"/>
  <c r="E597" l="1"/>
  <c r="H597" s="1"/>
  <c r="K597" s="1"/>
  <c r="AE597" s="1"/>
  <c r="AH597"/>
  <c r="AG597"/>
  <c r="D597"/>
  <c r="G597" s="1"/>
  <c r="F597" l="1"/>
  <c r="I597"/>
  <c r="J597"/>
  <c r="M597"/>
  <c r="N597" s="1"/>
  <c r="V597"/>
  <c r="A598"/>
  <c r="B598" s="1"/>
  <c r="W597" l="1"/>
  <c r="L597"/>
  <c r="AC598"/>
  <c r="P598"/>
  <c r="Q598" s="1"/>
  <c r="R598" s="1"/>
  <c r="S598" s="1"/>
  <c r="Z598"/>
  <c r="AA598"/>
  <c r="AD598"/>
  <c r="U597" l="1"/>
  <c r="Y596"/>
  <c r="T598"/>
  <c r="AG598" s="1"/>
  <c r="AH598" l="1"/>
  <c r="E598"/>
  <c r="H598" s="1"/>
  <c r="K598" s="1"/>
  <c r="AE598" s="1"/>
  <c r="D598"/>
  <c r="V598" l="1"/>
  <c r="A599"/>
  <c r="B599" s="1"/>
  <c r="F598"/>
  <c r="G598"/>
  <c r="I598" l="1"/>
  <c r="W598" s="1"/>
  <c r="J598"/>
  <c r="M598"/>
  <c r="N598" s="1"/>
  <c r="AC599"/>
  <c r="AA599"/>
  <c r="P599"/>
  <c r="Q599" s="1"/>
  <c r="R599" s="1"/>
  <c r="S599" s="1"/>
  <c r="AD599"/>
  <c r="Z599"/>
  <c r="T599" l="1"/>
  <c r="L598"/>
  <c r="U598" l="1"/>
  <c r="D599" s="1"/>
  <c r="AG599"/>
  <c r="AH599"/>
  <c r="Y597"/>
  <c r="G599" l="1"/>
  <c r="E599"/>
  <c r="H599" s="1"/>
  <c r="I599" l="1"/>
  <c r="J599"/>
  <c r="M599"/>
  <c r="N599" s="1"/>
  <c r="K599"/>
  <c r="AE599" s="1"/>
  <c r="F599"/>
  <c r="V599" l="1"/>
  <c r="W599" s="1"/>
  <c r="A600"/>
  <c r="B600" s="1"/>
  <c r="L599"/>
  <c r="U599" l="1"/>
  <c r="Y598"/>
  <c r="AC600"/>
  <c r="P600"/>
  <c r="Q600" s="1"/>
  <c r="R600" s="1"/>
  <c r="S600" s="1"/>
  <c r="Z600"/>
  <c r="AA600"/>
  <c r="AD600"/>
  <c r="T600" l="1"/>
  <c r="E600" s="1"/>
  <c r="H600" s="1"/>
  <c r="AH600" l="1"/>
  <c r="K600"/>
  <c r="AE600" s="1"/>
  <c r="AG600"/>
  <c r="D600"/>
  <c r="V600" l="1"/>
  <c r="A601"/>
  <c r="B601" s="1"/>
  <c r="F600"/>
  <c r="G600"/>
  <c r="I600" l="1"/>
  <c r="W600" s="1"/>
  <c r="J600"/>
  <c r="M600"/>
  <c r="N600" s="1"/>
  <c r="P601"/>
  <c r="Q601" s="1"/>
  <c r="R601" s="1"/>
  <c r="S601" s="1"/>
  <c r="AA601"/>
  <c r="AC601"/>
  <c r="Z601"/>
  <c r="AD601"/>
  <c r="T601" l="1"/>
  <c r="L600"/>
  <c r="AH601" l="1"/>
  <c r="U600"/>
  <c r="D601" s="1"/>
  <c r="AG601"/>
  <c r="Y599"/>
  <c r="E601" l="1"/>
  <c r="H601" s="1"/>
  <c r="K601" s="1"/>
  <c r="AE601" s="1"/>
  <c r="G601"/>
  <c r="F601" l="1"/>
  <c r="I601"/>
  <c r="J601"/>
  <c r="M601"/>
  <c r="N601" s="1"/>
  <c r="V601"/>
  <c r="A602"/>
  <c r="B602" s="1"/>
  <c r="W601" l="1"/>
  <c r="L601"/>
  <c r="P602"/>
  <c r="Q602" s="1"/>
  <c r="R602" s="1"/>
  <c r="S602" s="1"/>
  <c r="Z602"/>
  <c r="AC602"/>
  <c r="AD602"/>
  <c r="AA602"/>
  <c r="U601" l="1"/>
  <c r="Y600"/>
  <c r="T602"/>
  <c r="AG602" s="1"/>
  <c r="D602" l="1"/>
  <c r="E602"/>
  <c r="H602" s="1"/>
  <c r="AH602"/>
  <c r="K602" l="1"/>
  <c r="AE602" s="1"/>
  <c r="F602"/>
  <c r="G602"/>
  <c r="I602" l="1"/>
  <c r="J602"/>
  <c r="M602"/>
  <c r="N602" s="1"/>
  <c r="V602"/>
  <c r="A603"/>
  <c r="B603" s="1"/>
  <c r="W602" l="1"/>
  <c r="L602"/>
  <c r="AA603"/>
  <c r="AC603"/>
  <c r="AD603"/>
  <c r="Z603"/>
  <c r="P603"/>
  <c r="Q603" s="1"/>
  <c r="R603" s="1"/>
  <c r="S603" s="1"/>
  <c r="U602" l="1"/>
  <c r="Y601"/>
  <c r="T603"/>
  <c r="AG603" s="1"/>
  <c r="AH603" l="1"/>
  <c r="D603"/>
  <c r="G603" s="1"/>
  <c r="E603"/>
  <c r="H603" s="1"/>
  <c r="K603" s="1"/>
  <c r="AE603" s="1"/>
  <c r="F603" l="1"/>
  <c r="I603"/>
  <c r="J603"/>
  <c r="M603"/>
  <c r="N603" s="1"/>
  <c r="V603"/>
  <c r="A604"/>
  <c r="B604" s="1"/>
  <c r="W603" l="1"/>
  <c r="L603"/>
  <c r="AC604"/>
  <c r="Z604"/>
  <c r="AA604"/>
  <c r="P604"/>
  <c r="Q604" s="1"/>
  <c r="R604" s="1"/>
  <c r="S604" s="1"/>
  <c r="U603" l="1"/>
  <c r="Y602"/>
  <c r="T604"/>
  <c r="AH604" s="1"/>
  <c r="D604" l="1"/>
  <c r="E604"/>
  <c r="H604" s="1"/>
  <c r="AG604"/>
  <c r="F604" l="1"/>
  <c r="G604"/>
  <c r="K604"/>
  <c r="AE604" s="1"/>
  <c r="V604" l="1"/>
  <c r="A605"/>
  <c r="B605" s="1"/>
  <c r="I604"/>
  <c r="J604"/>
  <c r="AD604" s="1"/>
  <c r="M604"/>
  <c r="N604" s="1"/>
  <c r="W604" l="1"/>
  <c r="L604"/>
  <c r="P605"/>
  <c r="Q605" s="1"/>
  <c r="R605" s="1"/>
  <c r="S605" s="1"/>
  <c r="Z605"/>
  <c r="AA605"/>
  <c r="AD605"/>
  <c r="AC605"/>
  <c r="U604" l="1"/>
  <c r="Y603"/>
  <c r="T605"/>
  <c r="AG605" s="1"/>
  <c r="AH605" l="1"/>
  <c r="D605"/>
  <c r="E605"/>
  <c r="H605" s="1"/>
  <c r="K605" s="1"/>
  <c r="AE605" s="1"/>
  <c r="F605" l="1"/>
  <c r="G605"/>
  <c r="M605" s="1"/>
  <c r="N605" s="1"/>
  <c r="V605"/>
  <c r="A606"/>
  <c r="B606" s="1"/>
  <c r="I605" l="1"/>
  <c r="W605" s="1"/>
  <c r="J605"/>
  <c r="L605" s="1"/>
  <c r="P606"/>
  <c r="Q606" s="1"/>
  <c r="R606" s="1"/>
  <c r="S606" s="1"/>
  <c r="AC606"/>
  <c r="AD606"/>
  <c r="AA606"/>
  <c r="Z606"/>
  <c r="U605" l="1"/>
  <c r="Y604"/>
  <c r="T606"/>
  <c r="AG606" s="1"/>
  <c r="E606" l="1"/>
  <c r="H606" s="1"/>
  <c r="AH606"/>
  <c r="D606"/>
  <c r="F606" l="1"/>
  <c r="G606"/>
  <c r="K606"/>
  <c r="AE606" s="1"/>
  <c r="I606" l="1"/>
  <c r="J606"/>
  <c r="M606"/>
  <c r="N606" s="1"/>
  <c r="V606"/>
  <c r="A607"/>
  <c r="B607" s="1"/>
  <c r="W606" l="1"/>
  <c r="L606"/>
  <c r="Z607"/>
  <c r="AD607"/>
  <c r="AC607"/>
  <c r="P607"/>
  <c r="Q607" s="1"/>
  <c r="R607" s="1"/>
  <c r="S607" s="1"/>
  <c r="AA607"/>
  <c r="U606" l="1"/>
  <c r="Y605"/>
  <c r="T607"/>
  <c r="AH607" s="1"/>
  <c r="E607" l="1"/>
  <c r="H607" s="1"/>
  <c r="K607" s="1"/>
  <c r="AE607" s="1"/>
  <c r="D607"/>
  <c r="AG607"/>
  <c r="V607" l="1"/>
  <c r="A608"/>
  <c r="B608" s="1"/>
  <c r="F607"/>
  <c r="G607"/>
  <c r="I607" l="1"/>
  <c r="W607" s="1"/>
  <c r="J607"/>
  <c r="M607"/>
  <c r="N607" s="1"/>
  <c r="AD608"/>
  <c r="AA608"/>
  <c r="P608"/>
  <c r="Q608" s="1"/>
  <c r="R608" s="1"/>
  <c r="S608" s="1"/>
  <c r="Z608"/>
  <c r="AC608"/>
  <c r="T608" l="1"/>
  <c r="L607"/>
  <c r="AH608" l="1"/>
  <c r="AG608"/>
  <c r="U607"/>
  <c r="E608" s="1"/>
  <c r="H608" s="1"/>
  <c r="Y606"/>
  <c r="D608" l="1"/>
  <c r="G608" s="1"/>
  <c r="K608"/>
  <c r="AE608" s="1"/>
  <c r="F608" l="1"/>
  <c r="I608"/>
  <c r="J608"/>
  <c r="M608"/>
  <c r="N608" s="1"/>
  <c r="V608"/>
  <c r="A609"/>
  <c r="B609" s="1"/>
  <c r="L608" l="1"/>
  <c r="W608"/>
  <c r="Z609"/>
  <c r="P609"/>
  <c r="Q609" s="1"/>
  <c r="R609" s="1"/>
  <c r="S609" s="1"/>
  <c r="AC609"/>
  <c r="AA609"/>
  <c r="AD609"/>
  <c r="U608" l="1"/>
  <c r="Y607"/>
  <c r="T609"/>
  <c r="AG609" s="1"/>
  <c r="E609" l="1"/>
  <c r="H609" s="1"/>
  <c r="D609"/>
  <c r="AH609"/>
  <c r="K609" l="1"/>
  <c r="AE609" s="1"/>
  <c r="F609"/>
  <c r="G609"/>
  <c r="I609" l="1"/>
  <c r="J609"/>
  <c r="M609"/>
  <c r="N609" s="1"/>
  <c r="V609"/>
  <c r="A610"/>
  <c r="B610" s="1"/>
  <c r="L609" l="1"/>
  <c r="W609"/>
  <c r="AA610"/>
  <c r="P610"/>
  <c r="Q610" s="1"/>
  <c r="R610" s="1"/>
  <c r="S610" s="1"/>
  <c r="Z610"/>
  <c r="AC610"/>
  <c r="AD610"/>
  <c r="U609" l="1"/>
  <c r="Y608"/>
  <c r="T610"/>
  <c r="AG610" s="1"/>
  <c r="AH610" l="1"/>
  <c r="D610"/>
  <c r="G610" s="1"/>
  <c r="E610"/>
  <c r="H610" s="1"/>
  <c r="K610" s="1"/>
  <c r="AE610" s="1"/>
  <c r="F610" l="1"/>
  <c r="I610"/>
  <c r="J610"/>
  <c r="M610"/>
  <c r="N610" s="1"/>
  <c r="V610"/>
  <c r="A611"/>
  <c r="B611" s="1"/>
  <c r="W610" l="1"/>
  <c r="L610"/>
  <c r="AA611"/>
  <c r="P611"/>
  <c r="Q611" s="1"/>
  <c r="R611" s="1"/>
  <c r="S611" s="1"/>
  <c r="AC611"/>
  <c r="AD611"/>
  <c r="Z611"/>
  <c r="T611" l="1"/>
  <c r="U610"/>
  <c r="Y609"/>
  <c r="E611" l="1"/>
  <c r="H611" s="1"/>
  <c r="K611" s="1"/>
  <c r="AE611" s="1"/>
  <c r="AH611"/>
  <c r="AG611"/>
  <c r="D611"/>
  <c r="V611" l="1"/>
  <c r="A612"/>
  <c r="B612" s="1"/>
  <c r="F611"/>
  <c r="G611"/>
  <c r="I611" l="1"/>
  <c r="W611" s="1"/>
  <c r="J611"/>
  <c r="M611"/>
  <c r="N611" s="1"/>
  <c r="Z612"/>
  <c r="P612"/>
  <c r="Q612" s="1"/>
  <c r="R612" s="1"/>
  <c r="S612" s="1"/>
  <c r="AD612"/>
  <c r="AC612"/>
  <c r="AA612"/>
  <c r="T612" l="1"/>
  <c r="L611"/>
  <c r="U611" l="1"/>
  <c r="E612" s="1"/>
  <c r="H612" s="1"/>
  <c r="AH612"/>
  <c r="AG612"/>
  <c r="Y610"/>
  <c r="D612" l="1"/>
  <c r="G612" s="1"/>
  <c r="K612"/>
  <c r="AE612" s="1"/>
  <c r="F612" l="1"/>
  <c r="V612"/>
  <c r="A613"/>
  <c r="B613" s="1"/>
  <c r="I612"/>
  <c r="J612"/>
  <c r="M612"/>
  <c r="N612" s="1"/>
  <c r="W612" l="1"/>
  <c r="L612"/>
  <c r="P613"/>
  <c r="Q613" s="1"/>
  <c r="R613" s="1"/>
  <c r="S613" s="1"/>
  <c r="AD613"/>
  <c r="AA613"/>
  <c r="Z613"/>
  <c r="AC613"/>
  <c r="U612" l="1"/>
  <c r="Y611"/>
  <c r="T613"/>
  <c r="AG613" s="1"/>
  <c r="D613" l="1"/>
  <c r="AH613"/>
  <c r="E613"/>
  <c r="H613" s="1"/>
  <c r="F613" l="1"/>
  <c r="G613"/>
  <c r="K613"/>
  <c r="AE613" s="1"/>
  <c r="V613" l="1"/>
  <c r="A614"/>
  <c r="B614" s="1"/>
  <c r="I613"/>
  <c r="J613"/>
  <c r="M613"/>
  <c r="N613" s="1"/>
  <c r="W613" l="1"/>
  <c r="L613"/>
  <c r="AC614"/>
  <c r="AA614"/>
  <c r="Z614"/>
  <c r="P614"/>
  <c r="Q614" s="1"/>
  <c r="R614" s="1"/>
  <c r="S614" s="1"/>
  <c r="U613" l="1"/>
  <c r="Y612"/>
  <c r="T614"/>
  <c r="AG614" s="1"/>
  <c r="D614" l="1"/>
  <c r="G614" s="1"/>
  <c r="E614"/>
  <c r="H614" s="1"/>
  <c r="K614" s="1"/>
  <c r="AE614" s="1"/>
  <c r="AH614"/>
  <c r="F614" l="1"/>
  <c r="I614"/>
  <c r="J614"/>
  <c r="AD614" s="1"/>
  <c r="M614"/>
  <c r="N614" s="1"/>
  <c r="V614"/>
  <c r="A615"/>
  <c r="B615" s="1"/>
  <c r="L614" l="1"/>
  <c r="W614"/>
  <c r="P615"/>
  <c r="Q615" s="1"/>
  <c r="R615" s="1"/>
  <c r="S615" s="1"/>
  <c r="AC615"/>
  <c r="Z615"/>
  <c r="AA615"/>
  <c r="AD615"/>
  <c r="U614" l="1"/>
  <c r="Y613"/>
  <c r="T615"/>
  <c r="AH615" s="1"/>
  <c r="E615" l="1"/>
  <c r="H615" s="1"/>
  <c r="K615" s="1"/>
  <c r="AE615" s="1"/>
  <c r="AG615"/>
  <c r="D615"/>
  <c r="F615" l="1"/>
  <c r="G615"/>
  <c r="V615"/>
  <c r="A616"/>
  <c r="B616" s="1"/>
  <c r="AD616" l="1"/>
  <c r="P616"/>
  <c r="Q616" s="1"/>
  <c r="R616" s="1"/>
  <c r="S616" s="1"/>
  <c r="Z616"/>
  <c r="AC616"/>
  <c r="AA616"/>
  <c r="I615"/>
  <c r="W615" s="1"/>
  <c r="J615"/>
  <c r="M615"/>
  <c r="N615" s="1"/>
  <c r="L615" l="1"/>
  <c r="T616"/>
  <c r="U615" l="1"/>
  <c r="D616" s="1"/>
  <c r="AH616"/>
  <c r="AG616"/>
  <c r="Y614"/>
  <c r="E616" l="1"/>
  <c r="H616" s="1"/>
  <c r="K616" s="1"/>
  <c r="AE616" s="1"/>
  <c r="G616"/>
  <c r="F616" l="1"/>
  <c r="I616"/>
  <c r="J616"/>
  <c r="M616"/>
  <c r="N616" s="1"/>
  <c r="V616"/>
  <c r="A617"/>
  <c r="B617" s="1"/>
  <c r="W616" l="1"/>
  <c r="L616"/>
  <c r="Z617"/>
  <c r="AC617"/>
  <c r="AD617"/>
  <c r="P617"/>
  <c r="Q617" s="1"/>
  <c r="R617" s="1"/>
  <c r="S617" s="1"/>
  <c r="AA617"/>
  <c r="U616" l="1"/>
  <c r="Y615"/>
  <c r="T617"/>
  <c r="AG617" s="1"/>
  <c r="D617" l="1"/>
  <c r="G617" s="1"/>
  <c r="E617"/>
  <c r="H617" s="1"/>
  <c r="K617" s="1"/>
  <c r="AE617" s="1"/>
  <c r="AH617"/>
  <c r="F617" l="1"/>
  <c r="I617"/>
  <c r="J617"/>
  <c r="M617"/>
  <c r="N617" s="1"/>
  <c r="V617"/>
  <c r="A618"/>
  <c r="B618" s="1"/>
  <c r="W617" l="1"/>
  <c r="L617"/>
  <c r="P618"/>
  <c r="Q618" s="1"/>
  <c r="R618" s="1"/>
  <c r="S618" s="1"/>
  <c r="AD618"/>
  <c r="Z618"/>
  <c r="AC618"/>
  <c r="AA618"/>
  <c r="U617" l="1"/>
  <c r="Y616"/>
  <c r="T618"/>
  <c r="E618" l="1"/>
  <c r="H618" s="1"/>
  <c r="K618" s="1"/>
  <c r="AE618" s="1"/>
  <c r="AG618"/>
  <c r="D618"/>
  <c r="AH618"/>
  <c r="F618" l="1"/>
  <c r="G618"/>
  <c r="V618"/>
  <c r="A619"/>
  <c r="B619" s="1"/>
  <c r="P619" l="1"/>
  <c r="Q619" s="1"/>
  <c r="R619" s="1"/>
  <c r="S619" s="1"/>
  <c r="AD619"/>
  <c r="AA619"/>
  <c r="AC619"/>
  <c r="Z619"/>
  <c r="I618"/>
  <c r="W618" s="1"/>
  <c r="J618"/>
  <c r="M618"/>
  <c r="N618" s="1"/>
  <c r="T619" l="1"/>
  <c r="L618"/>
  <c r="AH619" l="1"/>
  <c r="AG619"/>
  <c r="U618"/>
  <c r="D619" s="1"/>
  <c r="Y617"/>
  <c r="E619" l="1"/>
  <c r="H619" s="1"/>
  <c r="K619" s="1"/>
  <c r="AE619" s="1"/>
  <c r="G619"/>
  <c r="F619" l="1"/>
  <c r="I619"/>
  <c r="J619"/>
  <c r="M619"/>
  <c r="N619" s="1"/>
  <c r="V619"/>
  <c r="A620"/>
  <c r="B620" s="1"/>
  <c r="W619" l="1"/>
  <c r="L619"/>
  <c r="AC620"/>
  <c r="AD620"/>
  <c r="P620"/>
  <c r="Q620" s="1"/>
  <c r="R620" s="1"/>
  <c r="S620" s="1"/>
  <c r="AA620"/>
  <c r="Z620"/>
  <c r="T620" l="1"/>
  <c r="AH620" s="1"/>
  <c r="U619"/>
  <c r="Y618"/>
  <c r="E620" l="1"/>
  <c r="H620" s="1"/>
  <c r="K620" s="1"/>
  <c r="AE620" s="1"/>
  <c r="D620"/>
  <c r="G620" s="1"/>
  <c r="AG620"/>
  <c r="F620" l="1"/>
  <c r="I620"/>
  <c r="J620"/>
  <c r="M620"/>
  <c r="N620" s="1"/>
  <c r="V620"/>
  <c r="A621"/>
  <c r="B621" s="1"/>
  <c r="W620" l="1"/>
  <c r="L620"/>
  <c r="AD621"/>
  <c r="AC621"/>
  <c r="AA621"/>
  <c r="P621"/>
  <c r="Q621" s="1"/>
  <c r="R621" s="1"/>
  <c r="S621" s="1"/>
  <c r="Z621"/>
  <c r="U620" l="1"/>
  <c r="Y619"/>
  <c r="T621"/>
  <c r="D621" l="1"/>
  <c r="G621" s="1"/>
  <c r="AH621"/>
  <c r="E621"/>
  <c r="H621" s="1"/>
  <c r="AG621"/>
  <c r="F621" l="1"/>
  <c r="I621"/>
  <c r="J621"/>
  <c r="M621"/>
  <c r="N621" s="1"/>
  <c r="K621"/>
  <c r="AE621" s="1"/>
  <c r="V621" l="1"/>
  <c r="W621" s="1"/>
  <c r="A622"/>
  <c r="B622" s="1"/>
  <c r="L621"/>
  <c r="U621" l="1"/>
  <c r="Y620"/>
  <c r="AA622"/>
  <c r="AC622"/>
  <c r="P622"/>
  <c r="Q622" s="1"/>
  <c r="R622" s="1"/>
  <c r="S622" s="1"/>
  <c r="Z622"/>
  <c r="AD622"/>
  <c r="T622" l="1"/>
  <c r="AG622" s="1"/>
  <c r="D622" l="1"/>
  <c r="E622"/>
  <c r="H622" s="1"/>
  <c r="K622" s="1"/>
  <c r="AE622" s="1"/>
  <c r="AH622"/>
  <c r="F622" l="1"/>
  <c r="G622"/>
  <c r="I622" s="1"/>
  <c r="V622"/>
  <c r="A623"/>
  <c r="B623" s="1"/>
  <c r="M622" l="1"/>
  <c r="N622" s="1"/>
  <c r="J622"/>
  <c r="L622" s="1"/>
  <c r="W622"/>
  <c r="P623"/>
  <c r="Q623" s="1"/>
  <c r="R623" s="1"/>
  <c r="S623" s="1"/>
  <c r="Z623"/>
  <c r="AD623"/>
  <c r="AA623"/>
  <c r="AC623"/>
  <c r="U622" l="1"/>
  <c r="Y621"/>
  <c r="T623"/>
  <c r="D623" l="1"/>
  <c r="G623" s="1"/>
  <c r="AH623"/>
  <c r="AG623"/>
  <c r="E623"/>
  <c r="H623" s="1"/>
  <c r="K623" l="1"/>
  <c r="AE623" s="1"/>
  <c r="I623"/>
  <c r="J623"/>
  <c r="M623"/>
  <c r="N623" s="1"/>
  <c r="F623"/>
  <c r="L623" l="1"/>
  <c r="V623"/>
  <c r="W623" s="1"/>
  <c r="A624"/>
  <c r="B624" s="1"/>
  <c r="U623" l="1"/>
  <c r="Y622"/>
  <c r="AA624"/>
  <c r="Z624"/>
  <c r="AC624"/>
  <c r="P624"/>
  <c r="Q624" s="1"/>
  <c r="R624" s="1"/>
  <c r="S624" s="1"/>
  <c r="T624" l="1"/>
  <c r="D624" s="1"/>
  <c r="AG624" l="1"/>
  <c r="AH624"/>
  <c r="E624"/>
  <c r="H624" s="1"/>
  <c r="K624" s="1"/>
  <c r="AE624" s="1"/>
  <c r="G624"/>
  <c r="F624" l="1"/>
  <c r="I624"/>
  <c r="J624"/>
  <c r="AD624" s="1"/>
  <c r="M624"/>
  <c r="N624" s="1"/>
  <c r="V624"/>
  <c r="A625"/>
  <c r="B625" s="1"/>
  <c r="W624" l="1"/>
  <c r="L624"/>
  <c r="P625"/>
  <c r="Q625" s="1"/>
  <c r="R625" s="1"/>
  <c r="S625" s="1"/>
  <c r="AD625"/>
  <c r="AA625"/>
  <c r="Z625"/>
  <c r="AC625"/>
  <c r="U624" l="1"/>
  <c r="Y623"/>
  <c r="T625"/>
  <c r="D625" l="1"/>
  <c r="G625" s="1"/>
  <c r="E625"/>
  <c r="H625" s="1"/>
  <c r="AH625"/>
  <c r="AG625"/>
  <c r="F625" l="1"/>
  <c r="I625"/>
  <c r="J625"/>
  <c r="M625"/>
  <c r="N625" s="1"/>
  <c r="K625"/>
  <c r="AE625" s="1"/>
  <c r="V625" l="1"/>
  <c r="W625" s="1"/>
  <c r="A626"/>
  <c r="B626" s="1"/>
  <c r="L625"/>
  <c r="U625" l="1"/>
  <c r="Y624"/>
  <c r="AD626"/>
  <c r="Z626"/>
  <c r="AC626"/>
  <c r="P626"/>
  <c r="Q626" s="1"/>
  <c r="R626" s="1"/>
  <c r="S626" s="1"/>
  <c r="AA626"/>
  <c r="T626" l="1"/>
  <c r="E626" s="1"/>
  <c r="H626" s="1"/>
  <c r="AG626" l="1"/>
  <c r="K626"/>
  <c r="AE626" s="1"/>
  <c r="D626"/>
  <c r="AH626"/>
  <c r="V626" l="1"/>
  <c r="A627"/>
  <c r="B627" s="1"/>
  <c r="F626"/>
  <c r="G626"/>
  <c r="I626" l="1"/>
  <c r="W626" s="1"/>
  <c r="J626"/>
  <c r="M626"/>
  <c r="N626" s="1"/>
  <c r="Z627"/>
  <c r="AD627"/>
  <c r="P627"/>
  <c r="Q627" s="1"/>
  <c r="R627" s="1"/>
  <c r="S627" s="1"/>
  <c r="AC627"/>
  <c r="AA627"/>
  <c r="L626" l="1"/>
  <c r="T627"/>
  <c r="AG627" l="1"/>
  <c r="U626"/>
  <c r="D627" s="1"/>
  <c r="AH627"/>
  <c r="Y625"/>
  <c r="G627" l="1"/>
  <c r="E627"/>
  <c r="H627" s="1"/>
  <c r="K627" l="1"/>
  <c r="AE627" s="1"/>
  <c r="I627"/>
  <c r="J627"/>
  <c r="M627"/>
  <c r="N627" s="1"/>
  <c r="F627"/>
  <c r="L627" l="1"/>
  <c r="V627"/>
  <c r="W627" s="1"/>
  <c r="A628"/>
  <c r="B628" s="1"/>
  <c r="Z628" l="1"/>
  <c r="AA628"/>
  <c r="P628"/>
  <c r="Q628" s="1"/>
  <c r="R628" s="1"/>
  <c r="S628" s="1"/>
  <c r="AC628"/>
  <c r="AD628"/>
  <c r="U627"/>
  <c r="Y626"/>
  <c r="T628" l="1"/>
  <c r="D628" l="1"/>
  <c r="E628"/>
  <c r="H628" s="1"/>
  <c r="AG628"/>
  <c r="AH628"/>
  <c r="F628" l="1"/>
  <c r="G628"/>
  <c r="K628"/>
  <c r="AE628" s="1"/>
  <c r="I628" l="1"/>
  <c r="J628"/>
  <c r="M628"/>
  <c r="N628" s="1"/>
  <c r="V628"/>
  <c r="A629"/>
  <c r="B629" s="1"/>
  <c r="W628" l="1"/>
  <c r="L628"/>
  <c r="AC629"/>
  <c r="AA629"/>
  <c r="P629"/>
  <c r="Q629" s="1"/>
  <c r="R629" s="1"/>
  <c r="S629" s="1"/>
  <c r="AD629"/>
  <c r="Z629"/>
  <c r="T629" l="1"/>
  <c r="U628"/>
  <c r="Y627"/>
  <c r="E629" l="1"/>
  <c r="H629" s="1"/>
  <c r="K629" s="1"/>
  <c r="AE629" s="1"/>
  <c r="AH629"/>
  <c r="AG629"/>
  <c r="D629"/>
  <c r="F629" l="1"/>
  <c r="G629"/>
  <c r="V629"/>
  <c r="A630"/>
  <c r="B630" s="1"/>
  <c r="I629" l="1"/>
  <c r="W629" s="1"/>
  <c r="J629"/>
  <c r="M629"/>
  <c r="N629" s="1"/>
  <c r="AD630"/>
  <c r="P630"/>
  <c r="Q630" s="1"/>
  <c r="R630" s="1"/>
  <c r="S630" s="1"/>
  <c r="AC630"/>
  <c r="AA630"/>
  <c r="Z630"/>
  <c r="T630" l="1"/>
  <c r="L629"/>
  <c r="U629" l="1"/>
  <c r="D630" s="1"/>
  <c r="AH630"/>
  <c r="AG630"/>
  <c r="Y628"/>
  <c r="G630" l="1"/>
  <c r="E630"/>
  <c r="H630" s="1"/>
  <c r="F630" l="1"/>
  <c r="K630"/>
  <c r="AE630" s="1"/>
  <c r="I630"/>
  <c r="J630"/>
  <c r="M630"/>
  <c r="N630" s="1"/>
  <c r="V630" l="1"/>
  <c r="W630" s="1"/>
  <c r="A631"/>
  <c r="B631" s="1"/>
  <c r="L630"/>
  <c r="U630" l="1"/>
  <c r="Y629"/>
  <c r="AD631"/>
  <c r="P631"/>
  <c r="Q631" s="1"/>
  <c r="R631" s="1"/>
  <c r="S631" s="1"/>
  <c r="AC631"/>
  <c r="AA631"/>
  <c r="Z631"/>
  <c r="T631" l="1"/>
  <c r="D631" s="1"/>
  <c r="AH631" l="1"/>
  <c r="E631"/>
  <c r="H631" s="1"/>
  <c r="K631" s="1"/>
  <c r="AE631" s="1"/>
  <c r="G631"/>
  <c r="AG631"/>
  <c r="F631" l="1"/>
  <c r="I631"/>
  <c r="J631"/>
  <c r="M631"/>
  <c r="N631" s="1"/>
  <c r="V631"/>
  <c r="A632"/>
  <c r="B632" s="1"/>
  <c r="L631" l="1"/>
  <c r="W631"/>
  <c r="AC632"/>
  <c r="AA632"/>
  <c r="Z632"/>
  <c r="P632"/>
  <c r="Q632" s="1"/>
  <c r="R632" s="1"/>
  <c r="S632" s="1"/>
  <c r="AD632"/>
  <c r="T632" l="1"/>
  <c r="U631"/>
  <c r="Y630"/>
  <c r="D632" l="1"/>
  <c r="G632" s="1"/>
  <c r="E632"/>
  <c r="H632" s="1"/>
  <c r="K632" s="1"/>
  <c r="AE632" s="1"/>
  <c r="AG632"/>
  <c r="AH632"/>
  <c r="F632" l="1"/>
  <c r="I632"/>
  <c r="J632"/>
  <c r="M632"/>
  <c r="N632" s="1"/>
  <c r="V632"/>
  <c r="A633"/>
  <c r="B633" s="1"/>
  <c r="W632" l="1"/>
  <c r="L632"/>
  <c r="AD633"/>
  <c r="Z633"/>
  <c r="AC633"/>
  <c r="P633"/>
  <c r="Q633" s="1"/>
  <c r="R633" s="1"/>
  <c r="S633" s="1"/>
  <c r="AA633"/>
  <c r="U632" l="1"/>
  <c r="Y631"/>
  <c r="T633"/>
  <c r="AG633" s="1"/>
  <c r="D633" l="1"/>
  <c r="G633" s="1"/>
  <c r="E633"/>
  <c r="H633" s="1"/>
  <c r="K633" s="1"/>
  <c r="AE633" s="1"/>
  <c r="AH633"/>
  <c r="F633" l="1"/>
  <c r="V633"/>
  <c r="A634"/>
  <c r="B634" s="1"/>
  <c r="I633"/>
  <c r="J633"/>
  <c r="M633"/>
  <c r="N633" s="1"/>
  <c r="L633" l="1"/>
  <c r="W633"/>
  <c r="P634"/>
  <c r="Q634" s="1"/>
  <c r="R634" s="1"/>
  <c r="S634" s="1"/>
  <c r="AA634"/>
  <c r="AC634"/>
  <c r="Z634"/>
  <c r="U633" l="1"/>
  <c r="Y632"/>
  <c r="T634"/>
  <c r="AH634" s="1"/>
  <c r="E634" l="1"/>
  <c r="H634" s="1"/>
  <c r="K634" s="1"/>
  <c r="AE634" s="1"/>
  <c r="AG634"/>
  <c r="D634"/>
  <c r="F634" l="1"/>
  <c r="G634"/>
  <c r="V634"/>
  <c r="A635"/>
  <c r="B635" s="1"/>
  <c r="Z635" l="1"/>
  <c r="AA635"/>
  <c r="P635"/>
  <c r="Q635" s="1"/>
  <c r="R635" s="1"/>
  <c r="S635" s="1"/>
  <c r="AD635"/>
  <c r="AC635"/>
  <c r="I634"/>
  <c r="W634" s="1"/>
  <c r="J634"/>
  <c r="AD634" s="1"/>
  <c r="M634"/>
  <c r="N634" s="1"/>
  <c r="T635" l="1"/>
  <c r="L634"/>
  <c r="AH635" l="1"/>
  <c r="U634"/>
  <c r="D635" s="1"/>
  <c r="AG635"/>
  <c r="Y633"/>
  <c r="E635" l="1"/>
  <c r="H635" s="1"/>
  <c r="K635" s="1"/>
  <c r="AE635" s="1"/>
  <c r="G635"/>
  <c r="F635" l="1"/>
  <c r="I635"/>
  <c r="J635"/>
  <c r="M635"/>
  <c r="N635" s="1"/>
  <c r="V635"/>
  <c r="A636"/>
  <c r="B636" s="1"/>
  <c r="W635" l="1"/>
  <c r="L635"/>
  <c r="AC636"/>
  <c r="AD636"/>
  <c r="AA636"/>
  <c r="P636"/>
  <c r="Q636" s="1"/>
  <c r="R636" s="1"/>
  <c r="S636" s="1"/>
  <c r="Z636"/>
  <c r="U635" l="1"/>
  <c r="Y634"/>
  <c r="T636"/>
  <c r="AG636" s="1"/>
  <c r="AH636" l="1"/>
  <c r="D636"/>
  <c r="E636"/>
  <c r="H636" s="1"/>
  <c r="F636" l="1"/>
  <c r="G636"/>
  <c r="K636"/>
  <c r="AE636" s="1"/>
  <c r="I636" l="1"/>
  <c r="J636"/>
  <c r="M636"/>
  <c r="N636" s="1"/>
  <c r="V636"/>
  <c r="A637"/>
  <c r="B637" s="1"/>
  <c r="W636" l="1"/>
  <c r="L636"/>
  <c r="Z637"/>
  <c r="P637"/>
  <c r="Q637" s="1"/>
  <c r="R637" s="1"/>
  <c r="S637" s="1"/>
  <c r="AC637"/>
  <c r="AD637"/>
  <c r="AA637"/>
  <c r="U636" l="1"/>
  <c r="Y635"/>
  <c r="T637"/>
  <c r="AG637" s="1"/>
  <c r="D637" l="1"/>
  <c r="AH637"/>
  <c r="E637"/>
  <c r="H637" s="1"/>
  <c r="F637" l="1"/>
  <c r="G637"/>
  <c r="K637"/>
  <c r="AE637" s="1"/>
  <c r="I637" l="1"/>
  <c r="J637"/>
  <c r="M637"/>
  <c r="N637" s="1"/>
  <c r="V637"/>
  <c r="A638"/>
  <c r="B638" s="1"/>
  <c r="W637" l="1"/>
  <c r="L637"/>
  <c r="P638"/>
  <c r="Q638" s="1"/>
  <c r="R638" s="1"/>
  <c r="S638" s="1"/>
  <c r="AD638"/>
  <c r="AC638"/>
  <c r="AA638"/>
  <c r="Z638"/>
  <c r="T638" l="1"/>
  <c r="AG638" s="1"/>
  <c r="U637"/>
  <c r="Y636"/>
  <c r="D638" l="1"/>
  <c r="G638" s="1"/>
  <c r="E638"/>
  <c r="H638" s="1"/>
  <c r="AH638"/>
  <c r="F638" l="1"/>
  <c r="I638"/>
  <c r="J638"/>
  <c r="M638"/>
  <c r="N638" s="1"/>
  <c r="K638"/>
  <c r="AE638" s="1"/>
  <c r="V638" l="1"/>
  <c r="W638" s="1"/>
  <c r="A639"/>
  <c r="B639" s="1"/>
  <c r="L638"/>
  <c r="U638" l="1"/>
  <c r="Y637"/>
  <c r="AC639"/>
  <c r="P639"/>
  <c r="Q639" s="1"/>
  <c r="R639" s="1"/>
  <c r="S639" s="1"/>
  <c r="AA639"/>
  <c r="AD639"/>
  <c r="Z639"/>
  <c r="T639" l="1"/>
  <c r="D639" s="1"/>
  <c r="AG639" l="1"/>
  <c r="E639"/>
  <c r="H639" s="1"/>
  <c r="K639" s="1"/>
  <c r="AE639" s="1"/>
  <c r="AH639"/>
  <c r="G639"/>
  <c r="F639" l="1"/>
  <c r="V639"/>
  <c r="A640"/>
  <c r="B640" s="1"/>
  <c r="I639"/>
  <c r="J639"/>
  <c r="M639"/>
  <c r="N639" s="1"/>
  <c r="W639" l="1"/>
  <c r="L639"/>
  <c r="AD640"/>
  <c r="P640"/>
  <c r="Q640" s="1"/>
  <c r="R640" s="1"/>
  <c r="S640" s="1"/>
  <c r="AA640"/>
  <c r="AC640"/>
  <c r="Z640"/>
  <c r="U639" l="1"/>
  <c r="Y638"/>
  <c r="T640"/>
  <c r="E640" l="1"/>
  <c r="H640" s="1"/>
  <c r="K640" s="1"/>
  <c r="AE640" s="1"/>
  <c r="D640"/>
  <c r="AG640"/>
  <c r="AH640"/>
  <c r="F640" l="1"/>
  <c r="G640"/>
  <c r="V640"/>
  <c r="A641"/>
  <c r="B641" s="1"/>
  <c r="AC641" l="1"/>
  <c r="AA641"/>
  <c r="AD641"/>
  <c r="Z641"/>
  <c r="P641"/>
  <c r="Q641" s="1"/>
  <c r="R641" s="1"/>
  <c r="S641" s="1"/>
  <c r="I640"/>
  <c r="W640" s="1"/>
  <c r="J640"/>
  <c r="M640"/>
  <c r="N640" s="1"/>
  <c r="L640" l="1"/>
  <c r="T641"/>
  <c r="U640" l="1"/>
  <c r="E641" s="1"/>
  <c r="H641" s="1"/>
  <c r="AG641"/>
  <c r="AH641"/>
  <c r="Y639"/>
  <c r="K641" l="1"/>
  <c r="AE641" s="1"/>
  <c r="D641"/>
  <c r="V641" l="1"/>
  <c r="A642"/>
  <c r="B642" s="1"/>
  <c r="F641"/>
  <c r="G641"/>
  <c r="I641" l="1"/>
  <c r="W641" s="1"/>
  <c r="J641"/>
  <c r="M641"/>
  <c r="N641" s="1"/>
  <c r="Z642"/>
  <c r="AD642"/>
  <c r="P642"/>
  <c r="Q642" s="1"/>
  <c r="R642" s="1"/>
  <c r="S642" s="1"/>
  <c r="AC642"/>
  <c r="AA642"/>
  <c r="T642" l="1"/>
  <c r="L641"/>
  <c r="U641" l="1"/>
  <c r="D642" s="1"/>
  <c r="AG642"/>
  <c r="AH642"/>
  <c r="Y640"/>
  <c r="E642" l="1"/>
  <c r="H642" s="1"/>
  <c r="K642" s="1"/>
  <c r="AE642" s="1"/>
  <c r="G642"/>
  <c r="F642" l="1"/>
  <c r="I642"/>
  <c r="J642"/>
  <c r="M642"/>
  <c r="N642" s="1"/>
  <c r="V642"/>
  <c r="A643"/>
  <c r="B643" s="1"/>
  <c r="W642" l="1"/>
  <c r="L642"/>
  <c r="AA643"/>
  <c r="AD643"/>
  <c r="AC643"/>
  <c r="P643"/>
  <c r="Q643" s="1"/>
  <c r="R643" s="1"/>
  <c r="S643" s="1"/>
  <c r="Z643"/>
  <c r="U642" l="1"/>
  <c r="Y641"/>
  <c r="T643"/>
  <c r="AH643" s="1"/>
  <c r="AG643" l="1"/>
  <c r="E643"/>
  <c r="H643" s="1"/>
  <c r="K643" s="1"/>
  <c r="AE643" s="1"/>
  <c r="D643"/>
  <c r="F643" l="1"/>
  <c r="G643"/>
  <c r="M643" s="1"/>
  <c r="N643" s="1"/>
  <c r="V643"/>
  <c r="A644"/>
  <c r="B644" s="1"/>
  <c r="I643" l="1"/>
  <c r="W643" s="1"/>
  <c r="J643"/>
  <c r="L643" s="1"/>
  <c r="P644"/>
  <c r="Q644" s="1"/>
  <c r="R644" s="1"/>
  <c r="S644" s="1"/>
  <c r="AA644"/>
  <c r="AC644"/>
  <c r="Z644"/>
  <c r="U643" l="1"/>
  <c r="Y642"/>
  <c r="T644"/>
  <c r="AG644" s="1"/>
  <c r="AH644" l="1"/>
  <c r="D644"/>
  <c r="E644"/>
  <c r="H644" s="1"/>
  <c r="K644" l="1"/>
  <c r="AE644" s="1"/>
  <c r="F644"/>
  <c r="G644"/>
  <c r="I644" l="1"/>
  <c r="J644"/>
  <c r="AD644" s="1"/>
  <c r="M644"/>
  <c r="N644" s="1"/>
  <c r="V644"/>
  <c r="A645"/>
  <c r="B645" s="1"/>
  <c r="L644" l="1"/>
  <c r="W644"/>
  <c r="Z645"/>
  <c r="P645"/>
  <c r="Q645" s="1"/>
  <c r="R645" s="1"/>
  <c r="S645" s="1"/>
  <c r="AD645"/>
  <c r="AA645"/>
  <c r="AC645"/>
  <c r="U644" l="1"/>
  <c r="Y643"/>
  <c r="T645"/>
  <c r="AG645" s="1"/>
  <c r="D645" l="1"/>
  <c r="AH645"/>
  <c r="E645"/>
  <c r="H645" s="1"/>
  <c r="F645" l="1"/>
  <c r="G645"/>
  <c r="K645"/>
  <c r="AE645" s="1"/>
  <c r="I645" l="1"/>
  <c r="J645"/>
  <c r="M645"/>
  <c r="N645" s="1"/>
  <c r="V645"/>
  <c r="A646"/>
  <c r="B646" s="1"/>
  <c r="W645" l="1"/>
  <c r="L645"/>
  <c r="AA646"/>
  <c r="Z646"/>
  <c r="AC646"/>
  <c r="AD646"/>
  <c r="P646"/>
  <c r="Q646" s="1"/>
  <c r="R646" s="1"/>
  <c r="S646" s="1"/>
  <c r="U645" l="1"/>
  <c r="Y644"/>
  <c r="T646"/>
  <c r="AG646" s="1"/>
  <c r="E646" l="1"/>
  <c r="H646" s="1"/>
  <c r="D646"/>
  <c r="AH646"/>
  <c r="F646" l="1"/>
  <c r="G646"/>
  <c r="K646"/>
  <c r="AE646" s="1"/>
  <c r="I646" l="1"/>
  <c r="J646"/>
  <c r="M646"/>
  <c r="N646" s="1"/>
  <c r="V646"/>
  <c r="A647"/>
  <c r="B647" s="1"/>
  <c r="L646" l="1"/>
  <c r="W646"/>
  <c r="P647"/>
  <c r="Q647" s="1"/>
  <c r="R647" s="1"/>
  <c r="S647" s="1"/>
  <c r="AC647"/>
  <c r="AA647"/>
  <c r="AD647"/>
  <c r="Z647"/>
  <c r="U646" l="1"/>
  <c r="Y645"/>
  <c r="T647"/>
  <c r="AG647" s="1"/>
  <c r="E647" l="1"/>
  <c r="H647" s="1"/>
  <c r="D647"/>
  <c r="AH647"/>
  <c r="F647" l="1"/>
  <c r="G647"/>
  <c r="K647"/>
  <c r="AE647" s="1"/>
  <c r="V647" l="1"/>
  <c r="A648"/>
  <c r="B648" s="1"/>
  <c r="I647"/>
  <c r="J647"/>
  <c r="M647"/>
  <c r="N647" s="1"/>
  <c r="W647" l="1"/>
  <c r="L647"/>
  <c r="AC648"/>
  <c r="AA648"/>
  <c r="P648"/>
  <c r="Q648" s="1"/>
  <c r="R648" s="1"/>
  <c r="S648" s="1"/>
  <c r="Z648"/>
  <c r="AD648"/>
  <c r="T648" l="1"/>
  <c r="AH648" s="1"/>
  <c r="U647"/>
  <c r="Y646"/>
  <c r="D648" l="1"/>
  <c r="AG648"/>
  <c r="E648"/>
  <c r="H648" s="1"/>
  <c r="F648" l="1"/>
  <c r="G648"/>
  <c r="K648"/>
  <c r="AE648" s="1"/>
  <c r="I648" l="1"/>
  <c r="J648"/>
  <c r="M648"/>
  <c r="N648" s="1"/>
  <c r="V648"/>
  <c r="A649"/>
  <c r="B649" s="1"/>
  <c r="W648" l="1"/>
  <c r="L648"/>
  <c r="AC649"/>
  <c r="AA649"/>
  <c r="AD649"/>
  <c r="P649"/>
  <c r="Q649" s="1"/>
  <c r="R649" s="1"/>
  <c r="S649" s="1"/>
  <c r="Z649"/>
  <c r="U648" l="1"/>
  <c r="Y647"/>
  <c r="T649"/>
  <c r="E649" l="1"/>
  <c r="H649" s="1"/>
  <c r="K649" s="1"/>
  <c r="AE649" s="1"/>
  <c r="D649"/>
  <c r="AH649"/>
  <c r="AG649"/>
  <c r="V649" l="1"/>
  <c r="A650"/>
  <c r="B650" s="1"/>
  <c r="F649"/>
  <c r="G649"/>
  <c r="I649" l="1"/>
  <c r="W649" s="1"/>
  <c r="J649"/>
  <c r="M649"/>
  <c r="N649" s="1"/>
  <c r="AA650"/>
  <c r="P650"/>
  <c r="Q650" s="1"/>
  <c r="R650" s="1"/>
  <c r="S650" s="1"/>
  <c r="Z650"/>
  <c r="AD650"/>
  <c r="AC650"/>
  <c r="L649" l="1"/>
  <c r="T650"/>
  <c r="U649" l="1"/>
  <c r="E650" s="1"/>
  <c r="H650" s="1"/>
  <c r="AG650"/>
  <c r="AH650"/>
  <c r="Y648"/>
  <c r="K650" l="1"/>
  <c r="AE650" s="1"/>
  <c r="D650"/>
  <c r="V650" l="1"/>
  <c r="A651"/>
  <c r="B651" s="1"/>
  <c r="F650"/>
  <c r="G650"/>
  <c r="I650" l="1"/>
  <c r="W650" s="1"/>
  <c r="J650"/>
  <c r="M650"/>
  <c r="N650" s="1"/>
  <c r="Z651"/>
  <c r="AC651"/>
  <c r="P651"/>
  <c r="Q651" s="1"/>
  <c r="R651" s="1"/>
  <c r="S651" s="1"/>
  <c r="AA651"/>
  <c r="AD651"/>
  <c r="T651" l="1"/>
  <c r="L650"/>
  <c r="AH651" l="1"/>
  <c r="U650"/>
  <c r="E651" s="1"/>
  <c r="H651" s="1"/>
  <c r="AG651"/>
  <c r="Y649"/>
  <c r="D651" l="1"/>
  <c r="G651" s="1"/>
  <c r="K651"/>
  <c r="AE651" s="1"/>
  <c r="F651" l="1"/>
  <c r="I651"/>
  <c r="J651"/>
  <c r="M651"/>
  <c r="N651" s="1"/>
  <c r="V651"/>
  <c r="A652"/>
  <c r="B652" s="1"/>
  <c r="W651" l="1"/>
  <c r="L651"/>
  <c r="P652"/>
  <c r="Q652" s="1"/>
  <c r="R652" s="1"/>
  <c r="S652" s="1"/>
  <c r="AC652"/>
  <c r="AA652"/>
  <c r="Z652"/>
  <c r="AD652"/>
  <c r="U651" l="1"/>
  <c r="Y650"/>
  <c r="T652"/>
  <c r="E652" l="1"/>
  <c r="H652" s="1"/>
  <c r="K652" s="1"/>
  <c r="AE652" s="1"/>
  <c r="AH652"/>
  <c r="AG652"/>
  <c r="D652"/>
  <c r="G652" s="1"/>
  <c r="F652" l="1"/>
  <c r="V652"/>
  <c r="A653"/>
  <c r="B653" s="1"/>
  <c r="I652"/>
  <c r="J652"/>
  <c r="M652"/>
  <c r="N652" s="1"/>
  <c r="W652" l="1"/>
  <c r="L652"/>
  <c r="Z653"/>
  <c r="AA653"/>
  <c r="P653"/>
  <c r="Q653" s="1"/>
  <c r="R653" s="1"/>
  <c r="S653" s="1"/>
  <c r="AD653"/>
  <c r="AC653"/>
  <c r="T653" l="1"/>
  <c r="AG653" s="1"/>
  <c r="U652"/>
  <c r="Y651"/>
  <c r="AH653" l="1"/>
  <c r="E653"/>
  <c r="H653" s="1"/>
  <c r="D653"/>
  <c r="K653" l="1"/>
  <c r="AE653" s="1"/>
  <c r="F653"/>
  <c r="G653"/>
  <c r="V653" l="1"/>
  <c r="A654"/>
  <c r="B654" s="1"/>
  <c r="I653"/>
  <c r="J653"/>
  <c r="M653"/>
  <c r="N653" s="1"/>
  <c r="W653" l="1"/>
  <c r="L653"/>
  <c r="Z654"/>
  <c r="P654"/>
  <c r="Q654" s="1"/>
  <c r="R654" s="1"/>
  <c r="S654" s="1"/>
  <c r="AC654"/>
  <c r="AA654"/>
  <c r="T654" l="1"/>
  <c r="AG654" s="1"/>
  <c r="U653"/>
  <c r="Y652"/>
  <c r="AH654" l="1"/>
  <c r="E654"/>
  <c r="H654" s="1"/>
  <c r="D654"/>
  <c r="K654" l="1"/>
  <c r="AE654" s="1"/>
  <c r="F654"/>
  <c r="G654"/>
  <c r="V654" l="1"/>
  <c r="A655"/>
  <c r="B655" s="1"/>
  <c r="I654"/>
  <c r="J654"/>
  <c r="AD654" s="1"/>
  <c r="M654"/>
  <c r="N654" s="1"/>
  <c r="L654" l="1"/>
  <c r="AD655"/>
  <c r="AC655"/>
  <c r="P655"/>
  <c r="Q655" s="1"/>
  <c r="R655" s="1"/>
  <c r="S655" s="1"/>
  <c r="Z655"/>
  <c r="AA655"/>
  <c r="W654"/>
  <c r="U654" l="1"/>
  <c r="Y653"/>
  <c r="T655"/>
  <c r="AH655" s="1"/>
  <c r="AG655" l="1"/>
  <c r="D655"/>
  <c r="E655"/>
  <c r="H655" s="1"/>
  <c r="K655" l="1"/>
  <c r="AE655" s="1"/>
  <c r="F655"/>
  <c r="G655"/>
  <c r="V655" l="1"/>
  <c r="A656"/>
  <c r="B656" s="1"/>
  <c r="I655"/>
  <c r="J655"/>
  <c r="M655"/>
  <c r="N655" s="1"/>
  <c r="W655" l="1"/>
  <c r="L655"/>
  <c r="Z656"/>
  <c r="AA656"/>
  <c r="AD656"/>
  <c r="AC656"/>
  <c r="P656"/>
  <c r="Q656" s="1"/>
  <c r="R656" s="1"/>
  <c r="S656" s="1"/>
  <c r="T656" l="1"/>
  <c r="U655"/>
  <c r="Y654"/>
  <c r="E656" l="1"/>
  <c r="H656" s="1"/>
  <c r="K656" s="1"/>
  <c r="AE656" s="1"/>
  <c r="AH656"/>
  <c r="D656"/>
  <c r="AG656"/>
  <c r="F656" l="1"/>
  <c r="G656"/>
  <c r="V656"/>
  <c r="A657"/>
  <c r="B657" s="1"/>
  <c r="I656" l="1"/>
  <c r="W656" s="1"/>
  <c r="J656"/>
  <c r="M656"/>
  <c r="N656" s="1"/>
  <c r="AC657"/>
  <c r="AD657"/>
  <c r="P657"/>
  <c r="Q657" s="1"/>
  <c r="R657" s="1"/>
  <c r="S657" s="1"/>
  <c r="AA657"/>
  <c r="Z657"/>
  <c r="L656" l="1"/>
  <c r="T657"/>
  <c r="AH657" l="1"/>
  <c r="U656"/>
  <c r="E657" s="1"/>
  <c r="H657" s="1"/>
  <c r="AG657"/>
  <c r="Y655"/>
  <c r="D657" l="1"/>
  <c r="G657" s="1"/>
  <c r="K657"/>
  <c r="AE657" s="1"/>
  <c r="F657" l="1"/>
  <c r="I657"/>
  <c r="J657"/>
  <c r="M657"/>
  <c r="N657" s="1"/>
  <c r="V657"/>
  <c r="A658"/>
  <c r="B658" s="1"/>
  <c r="W657" l="1"/>
  <c r="L657"/>
  <c r="AC658"/>
  <c r="Z658"/>
  <c r="AD658"/>
  <c r="AA658"/>
  <c r="P658"/>
  <c r="Q658" s="1"/>
  <c r="R658" s="1"/>
  <c r="S658" s="1"/>
  <c r="U657" l="1"/>
  <c r="Y656"/>
  <c r="T658"/>
  <c r="AG658" s="1"/>
  <c r="E658" l="1"/>
  <c r="H658" s="1"/>
  <c r="D658"/>
  <c r="AH658"/>
  <c r="K658" l="1"/>
  <c r="AE658" s="1"/>
  <c r="F658"/>
  <c r="G658"/>
  <c r="I658" l="1"/>
  <c r="J658"/>
  <c r="M658"/>
  <c r="N658" s="1"/>
  <c r="V658"/>
  <c r="A659"/>
  <c r="B659" s="1"/>
  <c r="W658" l="1"/>
  <c r="L658"/>
  <c r="AA659"/>
  <c r="P659"/>
  <c r="Q659" s="1"/>
  <c r="R659" s="1"/>
  <c r="S659" s="1"/>
  <c r="Z659"/>
  <c r="AD659"/>
  <c r="AC659"/>
  <c r="U658" l="1"/>
  <c r="Y657"/>
  <c r="T659"/>
  <c r="AH659" s="1"/>
  <c r="E659" l="1"/>
  <c r="H659" s="1"/>
  <c r="K659" s="1"/>
  <c r="AE659" s="1"/>
  <c r="AG659"/>
  <c r="D659"/>
  <c r="G659" s="1"/>
  <c r="F659" l="1"/>
  <c r="I659"/>
  <c r="J659"/>
  <c r="M659"/>
  <c r="N659" s="1"/>
  <c r="V659"/>
  <c r="A660"/>
  <c r="B660" s="1"/>
  <c r="W659" l="1"/>
  <c r="L659"/>
  <c r="AA660"/>
  <c r="P660"/>
  <c r="Q660" s="1"/>
  <c r="R660" s="1"/>
  <c r="S660" s="1"/>
  <c r="AC660"/>
  <c r="AD660"/>
  <c r="Z660"/>
  <c r="T660" l="1"/>
  <c r="AH660" s="1"/>
  <c r="U659"/>
  <c r="Y658"/>
  <c r="AG660" l="1"/>
  <c r="D660"/>
  <c r="E660"/>
  <c r="H660" s="1"/>
  <c r="K660" l="1"/>
  <c r="AE660" s="1"/>
  <c r="F660"/>
  <c r="G660"/>
  <c r="I660" l="1"/>
  <c r="J660"/>
  <c r="M660"/>
  <c r="N660" s="1"/>
  <c r="V660"/>
  <c r="A661"/>
  <c r="B661" s="1"/>
  <c r="L660" l="1"/>
  <c r="W660"/>
  <c r="Z661"/>
  <c r="P661"/>
  <c r="Q661" s="1"/>
  <c r="R661" s="1"/>
  <c r="S661" s="1"/>
  <c r="AA661"/>
  <c r="AD661"/>
  <c r="AC661"/>
  <c r="T661" l="1"/>
  <c r="U660"/>
  <c r="Y659"/>
  <c r="E661" l="1"/>
  <c r="H661" s="1"/>
  <c r="K661" s="1"/>
  <c r="AE661" s="1"/>
  <c r="D661"/>
  <c r="AH661"/>
  <c r="AG661"/>
  <c r="V661" l="1"/>
  <c r="A662"/>
  <c r="B662" s="1"/>
  <c r="F661"/>
  <c r="G661"/>
  <c r="I661" l="1"/>
  <c r="W661" s="1"/>
  <c r="J661"/>
  <c r="M661"/>
  <c r="N661" s="1"/>
  <c r="P662"/>
  <c r="Q662" s="1"/>
  <c r="R662" s="1"/>
  <c r="S662" s="1"/>
  <c r="Z662"/>
  <c r="AD662"/>
  <c r="AA662"/>
  <c r="AC662"/>
  <c r="T662" l="1"/>
  <c r="L661"/>
  <c r="AH662" l="1"/>
  <c r="AG662"/>
  <c r="U661"/>
  <c r="E662" s="1"/>
  <c r="H662" s="1"/>
  <c r="Y660"/>
  <c r="D662" l="1"/>
  <c r="F662" s="1"/>
  <c r="K662"/>
  <c r="AE662" s="1"/>
  <c r="G662" l="1"/>
  <c r="I662" s="1"/>
  <c r="V662"/>
  <c r="A663"/>
  <c r="B663" s="1"/>
  <c r="J662" l="1"/>
  <c r="L662" s="1"/>
  <c r="M662"/>
  <c r="N662" s="1"/>
  <c r="W662"/>
  <c r="AA663"/>
  <c r="Z663"/>
  <c r="P663"/>
  <c r="Q663" s="1"/>
  <c r="R663" s="1"/>
  <c r="S663" s="1"/>
  <c r="AC663"/>
  <c r="AD663"/>
  <c r="U662" l="1"/>
  <c r="Y661"/>
  <c r="T663"/>
  <c r="E663" l="1"/>
  <c r="H663" s="1"/>
  <c r="K663" s="1"/>
  <c r="AE663" s="1"/>
  <c r="AG663"/>
  <c r="AH663"/>
  <c r="D663"/>
  <c r="F663" l="1"/>
  <c r="G663"/>
  <c r="V663"/>
  <c r="A664"/>
  <c r="B664" s="1"/>
  <c r="P664" l="1"/>
  <c r="Q664" s="1"/>
  <c r="R664" s="1"/>
  <c r="S664" s="1"/>
  <c r="AA664"/>
  <c r="AC664"/>
  <c r="Z664"/>
  <c r="I663"/>
  <c r="W663" s="1"/>
  <c r="J663"/>
  <c r="M663"/>
  <c r="N663" s="1"/>
  <c r="T664" l="1"/>
  <c r="L663"/>
  <c r="AH664" l="1"/>
  <c r="U663"/>
  <c r="E664" s="1"/>
  <c r="H664" s="1"/>
  <c r="AG664"/>
  <c r="Y662"/>
  <c r="D664" l="1"/>
  <c r="G664" s="1"/>
  <c r="K664"/>
  <c r="AE664" s="1"/>
  <c r="F664" l="1"/>
  <c r="I664"/>
  <c r="J664"/>
  <c r="AD664" s="1"/>
  <c r="M664"/>
  <c r="N664" s="1"/>
  <c r="V664"/>
  <c r="A665"/>
  <c r="B665" s="1"/>
  <c r="W664" l="1"/>
  <c r="L664"/>
  <c r="AC665"/>
  <c r="P665"/>
  <c r="Q665" s="1"/>
  <c r="R665" s="1"/>
  <c r="S665" s="1"/>
  <c r="AA665"/>
  <c r="Z665"/>
  <c r="AD665"/>
  <c r="U664" l="1"/>
  <c r="Y663"/>
  <c r="T665"/>
  <c r="D665" l="1"/>
  <c r="G665" s="1"/>
  <c r="AG665"/>
  <c r="E665"/>
  <c r="H665" s="1"/>
  <c r="AH665"/>
  <c r="F665" l="1"/>
  <c r="I665"/>
  <c r="J665"/>
  <c r="M665"/>
  <c r="N665" s="1"/>
  <c r="K665"/>
  <c r="AE665" s="1"/>
  <c r="L665" l="1"/>
  <c r="V665"/>
  <c r="W665" s="1"/>
  <c r="A666"/>
  <c r="B666" s="1"/>
  <c r="U665" l="1"/>
  <c r="Y664"/>
  <c r="AA666"/>
  <c r="AD666"/>
  <c r="P666"/>
  <c r="Q666" s="1"/>
  <c r="R666" s="1"/>
  <c r="S666" s="1"/>
  <c r="Z666"/>
  <c r="AC666"/>
  <c r="T666" l="1"/>
  <c r="D666" s="1"/>
  <c r="AG666" l="1"/>
  <c r="E666"/>
  <c r="H666" s="1"/>
  <c r="K666" s="1"/>
  <c r="AE666" s="1"/>
  <c r="AH666"/>
  <c r="G666"/>
  <c r="F666" l="1"/>
  <c r="I666"/>
  <c r="J666"/>
  <c r="M666"/>
  <c r="N666" s="1"/>
  <c r="V666"/>
  <c r="A667"/>
  <c r="B667" s="1"/>
  <c r="L666" l="1"/>
  <c r="W666"/>
  <c r="AC667"/>
  <c r="Z667"/>
  <c r="P667"/>
  <c r="Q667" s="1"/>
  <c r="R667" s="1"/>
  <c r="S667" s="1"/>
  <c r="AD667"/>
  <c r="AA667"/>
  <c r="U666" l="1"/>
  <c r="Y665"/>
  <c r="T667"/>
  <c r="AG667" s="1"/>
  <c r="D667" l="1"/>
  <c r="E667"/>
  <c r="H667" s="1"/>
  <c r="AH667"/>
  <c r="F667" l="1"/>
  <c r="G667"/>
  <c r="K667"/>
  <c r="AE667" s="1"/>
  <c r="I667" l="1"/>
  <c r="J667"/>
  <c r="M667"/>
  <c r="N667" s="1"/>
  <c r="V667"/>
  <c r="A668"/>
  <c r="B668" s="1"/>
  <c r="W667" l="1"/>
  <c r="L667"/>
  <c r="Z668"/>
  <c r="P668"/>
  <c r="Q668" s="1"/>
  <c r="R668" s="1"/>
  <c r="S668" s="1"/>
  <c r="AD668"/>
  <c r="AC668"/>
  <c r="AA668"/>
  <c r="T668" l="1"/>
  <c r="AH668" s="1"/>
  <c r="U667"/>
  <c r="Y666"/>
  <c r="D668" l="1"/>
  <c r="G668" s="1"/>
  <c r="AG668"/>
  <c r="E668"/>
  <c r="H668" s="1"/>
  <c r="F668" l="1"/>
  <c r="I668"/>
  <c r="J668"/>
  <c r="M668"/>
  <c r="N668" s="1"/>
  <c r="K668"/>
  <c r="AE668" s="1"/>
  <c r="L668" l="1"/>
  <c r="V668"/>
  <c r="W668" s="1"/>
  <c r="A669"/>
  <c r="B669" s="1"/>
  <c r="AA669" l="1"/>
  <c r="P669"/>
  <c r="Q669" s="1"/>
  <c r="R669" s="1"/>
  <c r="S669" s="1"/>
  <c r="AD669"/>
  <c r="AC669"/>
  <c r="Z669"/>
  <c r="U668"/>
  <c r="Y667"/>
  <c r="T669" l="1"/>
  <c r="AH669" l="1"/>
  <c r="AG669"/>
  <c r="D669"/>
  <c r="E669"/>
  <c r="H669" s="1"/>
  <c r="F669" l="1"/>
  <c r="G669"/>
  <c r="K669"/>
  <c r="AE669" s="1"/>
  <c r="V669" l="1"/>
  <c r="A670"/>
  <c r="B670" s="1"/>
  <c r="I669"/>
  <c r="J669"/>
  <c r="M669"/>
  <c r="N669" s="1"/>
  <c r="L669" l="1"/>
  <c r="W669"/>
  <c r="AD670"/>
  <c r="P670"/>
  <c r="Q670" s="1"/>
  <c r="R670" s="1"/>
  <c r="S670" s="1"/>
  <c r="AA670"/>
  <c r="Z670"/>
  <c r="AC670"/>
  <c r="T670" l="1"/>
  <c r="U669"/>
  <c r="Y668"/>
  <c r="E670" l="1"/>
  <c r="H670" s="1"/>
  <c r="K670" s="1"/>
  <c r="AE670" s="1"/>
  <c r="AH670"/>
  <c r="AG670"/>
  <c r="D670"/>
  <c r="V670" l="1"/>
  <c r="A671"/>
  <c r="B671" s="1"/>
  <c r="F670"/>
  <c r="G670"/>
  <c r="I670" l="1"/>
  <c r="W670" s="1"/>
  <c r="J670"/>
  <c r="M670"/>
  <c r="N670" s="1"/>
  <c r="AC671"/>
  <c r="Z671"/>
  <c r="AD671"/>
  <c r="AA671"/>
  <c r="P671"/>
  <c r="Q671" s="1"/>
  <c r="R671" s="1"/>
  <c r="S671" s="1"/>
  <c r="T671" l="1"/>
  <c r="L670"/>
  <c r="U670" l="1"/>
  <c r="E671" s="1"/>
  <c r="H671" s="1"/>
  <c r="AG671"/>
  <c r="AH671"/>
  <c r="Y669"/>
  <c r="D671" l="1"/>
  <c r="G671" s="1"/>
  <c r="K671"/>
  <c r="AE671" s="1"/>
  <c r="F671" l="1"/>
  <c r="V671"/>
  <c r="A672"/>
  <c r="B672" s="1"/>
  <c r="I671"/>
  <c r="J671"/>
  <c r="M671"/>
  <c r="N671" s="1"/>
  <c r="W671" l="1"/>
  <c r="L671"/>
  <c r="AD672"/>
  <c r="P672"/>
  <c r="Q672" s="1"/>
  <c r="R672" s="1"/>
  <c r="S672" s="1"/>
  <c r="AC672"/>
  <c r="Z672"/>
  <c r="AA672"/>
  <c r="T672" l="1"/>
  <c r="AG672" s="1"/>
  <c r="U671"/>
  <c r="Y670"/>
  <c r="E672" l="1"/>
  <c r="H672" s="1"/>
  <c r="K672" s="1"/>
  <c r="AE672" s="1"/>
  <c r="D672"/>
  <c r="AH672"/>
  <c r="F672" l="1"/>
  <c r="G672"/>
  <c r="V672"/>
  <c r="A673"/>
  <c r="B673" s="1"/>
  <c r="AC673" l="1"/>
  <c r="AA673"/>
  <c r="P673"/>
  <c r="Q673" s="1"/>
  <c r="R673" s="1"/>
  <c r="S673" s="1"/>
  <c r="AD673"/>
  <c r="Z673"/>
  <c r="I672"/>
  <c r="W672" s="1"/>
  <c r="J672"/>
  <c r="M672"/>
  <c r="N672" s="1"/>
  <c r="L672" l="1"/>
  <c r="T673"/>
  <c r="AH673" l="1"/>
  <c r="AG673"/>
  <c r="U672"/>
  <c r="E673" s="1"/>
  <c r="H673" s="1"/>
  <c r="Y671"/>
  <c r="K673" l="1"/>
  <c r="AE673" s="1"/>
  <c r="D673"/>
  <c r="V673" l="1"/>
  <c r="A674"/>
  <c r="B674" s="1"/>
  <c r="F673"/>
  <c r="G673"/>
  <c r="I673" l="1"/>
  <c r="W673" s="1"/>
  <c r="J673"/>
  <c r="M673"/>
  <c r="N673" s="1"/>
  <c r="P674"/>
  <c r="Q674" s="1"/>
  <c r="R674" s="1"/>
  <c r="S674" s="1"/>
  <c r="AA674"/>
  <c r="Z674"/>
  <c r="AC674"/>
  <c r="T674" l="1"/>
  <c r="L673"/>
  <c r="AH674" l="1"/>
  <c r="U673"/>
  <c r="E674" s="1"/>
  <c r="H674" s="1"/>
  <c r="AG674"/>
  <c r="Y672"/>
  <c r="D674" l="1"/>
  <c r="G674" s="1"/>
  <c r="K674"/>
  <c r="AE674" s="1"/>
  <c r="F674" l="1"/>
  <c r="I674"/>
  <c r="J674"/>
  <c r="AD674" s="1"/>
  <c r="M674"/>
  <c r="N674" s="1"/>
  <c r="V674"/>
  <c r="A675"/>
  <c r="B675" s="1"/>
  <c r="W674" l="1"/>
  <c r="L674"/>
  <c r="P675"/>
  <c r="Q675" s="1"/>
  <c r="R675" s="1"/>
  <c r="S675" s="1"/>
  <c r="AD675"/>
  <c r="AA675"/>
  <c r="AC675"/>
  <c r="Z675"/>
  <c r="U674" l="1"/>
  <c r="Y673"/>
  <c r="T675"/>
  <c r="AH675" s="1"/>
  <c r="AG675" l="1"/>
  <c r="D675"/>
  <c r="E675"/>
  <c r="H675" s="1"/>
  <c r="F675" l="1"/>
  <c r="G675"/>
  <c r="K675"/>
  <c r="AE675" s="1"/>
  <c r="I675" l="1"/>
  <c r="J675"/>
  <c r="M675"/>
  <c r="N675" s="1"/>
  <c r="V675"/>
  <c r="A676"/>
  <c r="B676" s="1"/>
  <c r="W675" l="1"/>
  <c r="L675"/>
  <c r="AD676"/>
  <c r="AC676"/>
  <c r="P676"/>
  <c r="Q676" s="1"/>
  <c r="R676" s="1"/>
  <c r="S676" s="1"/>
  <c r="Z676"/>
  <c r="AA676"/>
  <c r="T676" l="1"/>
  <c r="U675"/>
  <c r="Y674"/>
  <c r="E676" l="1"/>
  <c r="H676" s="1"/>
  <c r="K676" s="1"/>
  <c r="AE676" s="1"/>
  <c r="AH676"/>
  <c r="D676"/>
  <c r="G676" s="1"/>
  <c r="AG676"/>
  <c r="F676" l="1"/>
  <c r="I676"/>
  <c r="J676"/>
  <c r="M676"/>
  <c r="N676" s="1"/>
  <c r="V676"/>
  <c r="A677"/>
  <c r="B677" s="1"/>
  <c r="W676" l="1"/>
  <c r="L676"/>
  <c r="AA677"/>
  <c r="AC677"/>
  <c r="Z677"/>
  <c r="AD677"/>
  <c r="P677"/>
  <c r="Q677" s="1"/>
  <c r="R677" s="1"/>
  <c r="S677" s="1"/>
  <c r="U676" l="1"/>
  <c r="Y675"/>
  <c r="T677"/>
  <c r="AG677" s="1"/>
  <c r="D677" l="1"/>
  <c r="G677" s="1"/>
  <c r="AH677"/>
  <c r="E677"/>
  <c r="H677" s="1"/>
  <c r="F677" l="1"/>
  <c r="I677"/>
  <c r="J677"/>
  <c r="M677"/>
  <c r="N677" s="1"/>
  <c r="K677"/>
  <c r="AE677" s="1"/>
  <c r="V677" l="1"/>
  <c r="W677" s="1"/>
  <c r="A678"/>
  <c r="B678" s="1"/>
  <c r="L677"/>
  <c r="U677" l="1"/>
  <c r="Y676"/>
  <c r="AD678"/>
  <c r="P678"/>
  <c r="Q678" s="1"/>
  <c r="R678" s="1"/>
  <c r="S678" s="1"/>
  <c r="Z678"/>
  <c r="AC678"/>
  <c r="AA678"/>
  <c r="T678" l="1"/>
  <c r="AH678" s="1"/>
  <c r="E678" l="1"/>
  <c r="H678" s="1"/>
  <c r="K678" s="1"/>
  <c r="AE678" s="1"/>
  <c r="D678"/>
  <c r="AG678"/>
  <c r="F678" l="1"/>
  <c r="G678"/>
  <c r="J678" s="1"/>
  <c r="V678"/>
  <c r="A679"/>
  <c r="B679" s="1"/>
  <c r="M678" l="1"/>
  <c r="N678" s="1"/>
  <c r="I678"/>
  <c r="W678" s="1"/>
  <c r="L678"/>
  <c r="P679"/>
  <c r="Q679" s="1"/>
  <c r="R679" s="1"/>
  <c r="S679" s="1"/>
  <c r="AA679"/>
  <c r="Z679"/>
  <c r="AD679"/>
  <c r="AC679"/>
  <c r="T679" l="1"/>
  <c r="U678"/>
  <c r="Y677"/>
  <c r="E679" l="1"/>
  <c r="H679" s="1"/>
  <c r="K679" s="1"/>
  <c r="AE679" s="1"/>
  <c r="AH679"/>
  <c r="AG679"/>
  <c r="D679"/>
  <c r="F679" l="1"/>
  <c r="G679"/>
  <c r="V679"/>
  <c r="A680"/>
  <c r="B680" s="1"/>
  <c r="AC680" l="1"/>
  <c r="P680"/>
  <c r="Q680" s="1"/>
  <c r="R680" s="1"/>
  <c r="S680" s="1"/>
  <c r="AA680"/>
  <c r="Z680"/>
  <c r="AD680"/>
  <c r="I679"/>
  <c r="W679" s="1"/>
  <c r="J679"/>
  <c r="M679"/>
  <c r="N679" s="1"/>
  <c r="L679" l="1"/>
  <c r="T680"/>
  <c r="AH680" l="1"/>
  <c r="U679"/>
  <c r="E680" s="1"/>
  <c r="H680" s="1"/>
  <c r="AG680"/>
  <c r="Y678"/>
  <c r="D680" l="1"/>
  <c r="G680" s="1"/>
  <c r="K680"/>
  <c r="AE680" s="1"/>
  <c r="F680" l="1"/>
  <c r="I680"/>
  <c r="J680"/>
  <c r="M680"/>
  <c r="N680" s="1"/>
  <c r="V680"/>
  <c r="A681"/>
  <c r="B681" s="1"/>
  <c r="W680" l="1"/>
  <c r="L680"/>
  <c r="AD681"/>
  <c r="AA681"/>
  <c r="P681"/>
  <c r="Q681" s="1"/>
  <c r="R681" s="1"/>
  <c r="S681" s="1"/>
  <c r="Z681"/>
  <c r="AC681"/>
  <c r="U680" l="1"/>
  <c r="Y679"/>
  <c r="T681"/>
  <c r="E681" l="1"/>
  <c r="H681" s="1"/>
  <c r="K681" s="1"/>
  <c r="AE681" s="1"/>
  <c r="AG681"/>
  <c r="AH681"/>
  <c r="D681"/>
  <c r="F681" l="1"/>
  <c r="G681"/>
  <c r="V681"/>
  <c r="A682"/>
  <c r="B682" s="1"/>
  <c r="AD682" l="1"/>
  <c r="Z682"/>
  <c r="P682"/>
  <c r="Q682" s="1"/>
  <c r="R682" s="1"/>
  <c r="S682" s="1"/>
  <c r="AC682"/>
  <c r="AA682"/>
  <c r="I681"/>
  <c r="W681" s="1"/>
  <c r="J681"/>
  <c r="M681"/>
  <c r="N681" s="1"/>
  <c r="L681" l="1"/>
  <c r="T682"/>
  <c r="U681" l="1"/>
  <c r="E682" s="1"/>
  <c r="H682" s="1"/>
  <c r="AG682"/>
  <c r="AH682"/>
  <c r="Y680"/>
  <c r="D682" l="1"/>
  <c r="G682" s="1"/>
  <c r="K682"/>
  <c r="AE682" s="1"/>
  <c r="F682" l="1"/>
  <c r="V682"/>
  <c r="A683"/>
  <c r="B683" s="1"/>
  <c r="I682"/>
  <c r="J682"/>
  <c r="M682"/>
  <c r="N682" s="1"/>
  <c r="W682" l="1"/>
  <c r="L682"/>
  <c r="P683"/>
  <c r="Q683" s="1"/>
  <c r="R683" s="1"/>
  <c r="S683" s="1"/>
  <c r="AC683"/>
  <c r="AD683"/>
  <c r="AA683"/>
  <c r="Z683"/>
  <c r="U682" l="1"/>
  <c r="Y681"/>
  <c r="T683"/>
  <c r="E683" l="1"/>
  <c r="H683" s="1"/>
  <c r="K683" s="1"/>
  <c r="AE683" s="1"/>
  <c r="AH683"/>
  <c r="AG683"/>
  <c r="D683"/>
  <c r="F683" l="1"/>
  <c r="G683"/>
  <c r="V683"/>
  <c r="A684"/>
  <c r="B684" s="1"/>
  <c r="Z684" l="1"/>
  <c r="AA684"/>
  <c r="AC684"/>
  <c r="P684"/>
  <c r="Q684" s="1"/>
  <c r="R684" s="1"/>
  <c r="S684" s="1"/>
  <c r="I683"/>
  <c r="W683" s="1"/>
  <c r="J683"/>
  <c r="M683"/>
  <c r="N683" s="1"/>
  <c r="T684" l="1"/>
  <c r="L683"/>
  <c r="AH684" l="1"/>
  <c r="AG684"/>
  <c r="U683"/>
  <c r="D684" s="1"/>
  <c r="Y682"/>
  <c r="E684" l="1"/>
  <c r="H684" s="1"/>
  <c r="K684" s="1"/>
  <c r="AE684" s="1"/>
  <c r="G684"/>
  <c r="F684" l="1"/>
  <c r="V684"/>
  <c r="A685"/>
  <c r="B685" s="1"/>
  <c r="I684"/>
  <c r="J684"/>
  <c r="AD684" s="1"/>
  <c r="M684"/>
  <c r="N684" s="1"/>
  <c r="W684" l="1"/>
  <c r="L684"/>
  <c r="P685"/>
  <c r="Q685" s="1"/>
  <c r="R685" s="1"/>
  <c r="S685" s="1"/>
  <c r="Z685"/>
  <c r="AC685"/>
  <c r="AD685"/>
  <c r="AA685"/>
  <c r="U684" l="1"/>
  <c r="Y683"/>
  <c r="T685"/>
  <c r="AG685" s="1"/>
  <c r="D685" l="1"/>
  <c r="G685" s="1"/>
  <c r="E685"/>
  <c r="H685" s="1"/>
  <c r="AH685"/>
  <c r="F685" l="1"/>
  <c r="I685"/>
  <c r="J685"/>
  <c r="M685"/>
  <c r="N685" s="1"/>
  <c r="K685"/>
  <c r="AE685" s="1"/>
  <c r="V685" l="1"/>
  <c r="W685" s="1"/>
  <c r="A686"/>
  <c r="B686" s="1"/>
  <c r="L685"/>
  <c r="U685" l="1"/>
  <c r="Y684"/>
  <c r="AA686"/>
  <c r="AC686"/>
  <c r="AD686"/>
  <c r="P686"/>
  <c r="Q686" s="1"/>
  <c r="R686" s="1"/>
  <c r="S686" s="1"/>
  <c r="Z686"/>
  <c r="T686" l="1"/>
  <c r="D686" s="1"/>
  <c r="E686" l="1"/>
  <c r="H686" s="1"/>
  <c r="K686" s="1"/>
  <c r="AE686" s="1"/>
  <c r="AG686"/>
  <c r="AH686"/>
  <c r="G686"/>
  <c r="F686" l="1"/>
  <c r="V686"/>
  <c r="A687"/>
  <c r="B687" s="1"/>
  <c r="I686"/>
  <c r="J686"/>
  <c r="M686"/>
  <c r="N686" s="1"/>
  <c r="L686" l="1"/>
  <c r="W686"/>
  <c r="Z687"/>
  <c r="P687"/>
  <c r="Q687" s="1"/>
  <c r="R687" s="1"/>
  <c r="S687" s="1"/>
  <c r="AD687"/>
  <c r="AA687"/>
  <c r="AC687"/>
  <c r="U686" l="1"/>
  <c r="Y685"/>
  <c r="T687"/>
  <c r="AG687" s="1"/>
  <c r="AH687" l="1"/>
  <c r="D687"/>
  <c r="G687" s="1"/>
  <c r="E687"/>
  <c r="H687" s="1"/>
  <c r="K687" s="1"/>
  <c r="AE687" s="1"/>
  <c r="F687" l="1"/>
  <c r="I687"/>
  <c r="J687"/>
  <c r="M687"/>
  <c r="N687" s="1"/>
  <c r="V687"/>
  <c r="A688"/>
  <c r="B688" s="1"/>
  <c r="W687" l="1"/>
  <c r="L687"/>
  <c r="AC688"/>
  <c r="AA688"/>
  <c r="AD688"/>
  <c r="P688"/>
  <c r="Q688" s="1"/>
  <c r="R688" s="1"/>
  <c r="S688" s="1"/>
  <c r="Z688"/>
  <c r="U687" l="1"/>
  <c r="Y686"/>
  <c r="T688"/>
  <c r="AG688" s="1"/>
  <c r="E688" l="1"/>
  <c r="H688" s="1"/>
  <c r="K688" s="1"/>
  <c r="AE688" s="1"/>
  <c r="AH688"/>
  <c r="D688"/>
  <c r="F688" l="1"/>
  <c r="G688"/>
  <c r="V688"/>
  <c r="A689"/>
  <c r="B689" s="1"/>
  <c r="AA689" l="1"/>
  <c r="P689"/>
  <c r="Q689" s="1"/>
  <c r="R689" s="1"/>
  <c r="S689" s="1"/>
  <c r="Z689"/>
  <c r="AD689"/>
  <c r="AC689"/>
  <c r="I688"/>
  <c r="W688" s="1"/>
  <c r="J688"/>
  <c r="M688"/>
  <c r="N688" s="1"/>
  <c r="T689" l="1"/>
  <c r="L688"/>
  <c r="U688" l="1"/>
  <c r="D689" s="1"/>
  <c r="AG689"/>
  <c r="AH689"/>
  <c r="Y687"/>
  <c r="E689" l="1"/>
  <c r="H689" s="1"/>
  <c r="K689" s="1"/>
  <c r="AE689" s="1"/>
  <c r="G689"/>
  <c r="F689" l="1"/>
  <c r="I689"/>
  <c r="J689"/>
  <c r="M689"/>
  <c r="N689" s="1"/>
  <c r="V689"/>
  <c r="A690"/>
  <c r="B690" s="1"/>
  <c r="W689" l="1"/>
  <c r="L689"/>
  <c r="AA690"/>
  <c r="AC690"/>
  <c r="P690"/>
  <c r="Q690" s="1"/>
  <c r="R690" s="1"/>
  <c r="S690" s="1"/>
  <c r="AD690"/>
  <c r="Z690"/>
  <c r="U689" l="1"/>
  <c r="Y688"/>
  <c r="T690"/>
  <c r="AH690" s="1"/>
  <c r="D690" l="1"/>
  <c r="G690" s="1"/>
  <c r="E690"/>
  <c r="H690" s="1"/>
  <c r="K690" s="1"/>
  <c r="AE690" s="1"/>
  <c r="AG690"/>
  <c r="F690" l="1"/>
  <c r="I690"/>
  <c r="J690"/>
  <c r="M690"/>
  <c r="N690" s="1"/>
  <c r="V690"/>
  <c r="A691"/>
  <c r="B691" s="1"/>
  <c r="W690" l="1"/>
  <c r="L690"/>
  <c r="AA691"/>
  <c r="Z691"/>
  <c r="P691"/>
  <c r="Q691" s="1"/>
  <c r="R691" s="1"/>
  <c r="S691" s="1"/>
  <c r="AD691"/>
  <c r="AC691"/>
  <c r="T691" l="1"/>
  <c r="U690"/>
  <c r="Y689"/>
  <c r="D691" l="1"/>
  <c r="G691" s="1"/>
  <c r="AH691"/>
  <c r="E691"/>
  <c r="H691" s="1"/>
  <c r="AG691"/>
  <c r="F691" l="1"/>
  <c r="I691"/>
  <c r="J691"/>
  <c r="M691"/>
  <c r="N691" s="1"/>
  <c r="K691"/>
  <c r="AE691" s="1"/>
  <c r="V691" l="1"/>
  <c r="W691" s="1"/>
  <c r="A692"/>
  <c r="B692" s="1"/>
  <c r="L691"/>
  <c r="U691" l="1"/>
  <c r="Y690"/>
  <c r="AC692"/>
  <c r="AD692"/>
  <c r="AA692"/>
  <c r="Z692"/>
  <c r="P692"/>
  <c r="Q692" s="1"/>
  <c r="R692" s="1"/>
  <c r="S692" s="1"/>
  <c r="T692" l="1"/>
  <c r="E692" s="1"/>
  <c r="H692" s="1"/>
  <c r="D692" l="1"/>
  <c r="G692" s="1"/>
  <c r="AH692"/>
  <c r="K692"/>
  <c r="AE692" s="1"/>
  <c r="AG692"/>
  <c r="F692" l="1"/>
  <c r="I692"/>
  <c r="J692"/>
  <c r="M692"/>
  <c r="N692" s="1"/>
  <c r="V692"/>
  <c r="A693"/>
  <c r="B693" s="1"/>
  <c r="W692" l="1"/>
  <c r="L692"/>
  <c r="AC693"/>
  <c r="AA693"/>
  <c r="AD693"/>
  <c r="P693"/>
  <c r="Q693" s="1"/>
  <c r="R693" s="1"/>
  <c r="S693" s="1"/>
  <c r="Z693"/>
  <c r="U692" l="1"/>
  <c r="Y691"/>
  <c r="T693"/>
  <c r="AG693" s="1"/>
  <c r="D693" l="1"/>
  <c r="G693" s="1"/>
  <c r="E693"/>
  <c r="H693" s="1"/>
  <c r="K693" s="1"/>
  <c r="AE693" s="1"/>
  <c r="AH693"/>
  <c r="F693" l="1"/>
  <c r="V693"/>
  <c r="A694"/>
  <c r="B694" s="1"/>
  <c r="I693"/>
  <c r="J693"/>
  <c r="M693"/>
  <c r="N693" s="1"/>
  <c r="W693" l="1"/>
  <c r="L693"/>
  <c r="AA694"/>
  <c r="AC694"/>
  <c r="P694"/>
  <c r="Q694" s="1"/>
  <c r="R694" s="1"/>
  <c r="S694" s="1"/>
  <c r="Z694"/>
  <c r="U693" l="1"/>
  <c r="Y692"/>
  <c r="T694"/>
  <c r="AG694" s="1"/>
  <c r="E694" l="1"/>
  <c r="H694" s="1"/>
  <c r="K694" s="1"/>
  <c r="AE694" s="1"/>
  <c r="AH694"/>
  <c r="D694"/>
  <c r="G694" s="1"/>
  <c r="F694" l="1"/>
  <c r="I694"/>
  <c r="J694"/>
  <c r="AD694" s="1"/>
  <c r="M694"/>
  <c r="N694" s="1"/>
  <c r="V694"/>
  <c r="A695"/>
  <c r="B695" s="1"/>
  <c r="W694" l="1"/>
  <c r="L694"/>
  <c r="AD695"/>
  <c r="Z695"/>
  <c r="P695"/>
  <c r="Q695" s="1"/>
  <c r="R695" s="1"/>
  <c r="S695" s="1"/>
  <c r="AC695"/>
  <c r="AA695"/>
  <c r="U694" l="1"/>
  <c r="Y693"/>
  <c r="T695"/>
  <c r="E695" l="1"/>
  <c r="H695" s="1"/>
  <c r="K695" s="1"/>
  <c r="AE695" s="1"/>
  <c r="D695"/>
  <c r="AG695"/>
  <c r="AH695"/>
  <c r="V695" l="1"/>
  <c r="A696"/>
  <c r="B696" s="1"/>
  <c r="F695"/>
  <c r="G695"/>
  <c r="I695" l="1"/>
  <c r="W695" s="1"/>
  <c r="J695"/>
  <c r="M695"/>
  <c r="N695" s="1"/>
  <c r="AD696"/>
  <c r="AA696"/>
  <c r="Z696"/>
  <c r="P696"/>
  <c r="Q696" s="1"/>
  <c r="R696" s="1"/>
  <c r="S696" s="1"/>
  <c r="AC696"/>
  <c r="T696" l="1"/>
  <c r="L695"/>
  <c r="AH696" l="1"/>
  <c r="U695"/>
  <c r="D696" s="1"/>
  <c r="AG696"/>
  <c r="Y694"/>
  <c r="E696" l="1"/>
  <c r="H696" s="1"/>
  <c r="K696" s="1"/>
  <c r="AE696" s="1"/>
  <c r="G696"/>
  <c r="F696" l="1"/>
  <c r="V696"/>
  <c r="A697"/>
  <c r="B697" s="1"/>
  <c r="I696"/>
  <c r="J696"/>
  <c r="M696"/>
  <c r="N696" s="1"/>
  <c r="W696" l="1"/>
  <c r="AD697"/>
  <c r="P697"/>
  <c r="Q697" s="1"/>
  <c r="R697" s="1"/>
  <c r="S697" s="1"/>
  <c r="Z697"/>
  <c r="AA697"/>
  <c r="AC697"/>
  <c r="L696"/>
  <c r="U696" l="1"/>
  <c r="Y695"/>
  <c r="T697"/>
  <c r="E697" l="1"/>
  <c r="H697" s="1"/>
  <c r="K697" s="1"/>
  <c r="AE697" s="1"/>
  <c r="D697"/>
  <c r="AH697"/>
  <c r="AG697"/>
  <c r="F697" l="1"/>
  <c r="G697"/>
  <c r="M697" s="1"/>
  <c r="N697" s="1"/>
  <c r="V697"/>
  <c r="A698"/>
  <c r="B698" s="1"/>
  <c r="I697" l="1"/>
  <c r="W697" s="1"/>
  <c r="J697"/>
  <c r="L697" s="1"/>
  <c r="AD698"/>
  <c r="AA698"/>
  <c r="Z698"/>
  <c r="AC698"/>
  <c r="P698"/>
  <c r="Q698" s="1"/>
  <c r="R698" s="1"/>
  <c r="S698" s="1"/>
  <c r="U697" l="1"/>
  <c r="Y696"/>
  <c r="T698"/>
  <c r="AG698" s="1"/>
  <c r="E698" l="1"/>
  <c r="H698" s="1"/>
  <c r="K698" s="1"/>
  <c r="AE698" s="1"/>
  <c r="AH698"/>
  <c r="D698"/>
  <c r="F698" l="1"/>
  <c r="G698"/>
  <c r="J698" s="1"/>
  <c r="V698"/>
  <c r="A699"/>
  <c r="B699" s="1"/>
  <c r="M698" l="1"/>
  <c r="N698" s="1"/>
  <c r="I698"/>
  <c r="W698" s="1"/>
  <c r="L698"/>
  <c r="Z699"/>
  <c r="P699"/>
  <c r="Q699" s="1"/>
  <c r="R699" s="1"/>
  <c r="S699" s="1"/>
  <c r="AA699"/>
  <c r="AD699"/>
  <c r="AC699"/>
  <c r="T699" l="1"/>
  <c r="U698"/>
  <c r="Y697"/>
  <c r="D699" l="1"/>
  <c r="G699" s="1"/>
  <c r="AG699"/>
  <c r="AH699"/>
  <c r="E699"/>
  <c r="H699" s="1"/>
  <c r="K699" l="1"/>
  <c r="AE699" s="1"/>
  <c r="I699"/>
  <c r="J699"/>
  <c r="M699"/>
  <c r="N699" s="1"/>
  <c r="F699"/>
  <c r="L699" l="1"/>
  <c r="V699"/>
  <c r="W699" s="1"/>
  <c r="A700"/>
  <c r="B700" s="1"/>
  <c r="U699" l="1"/>
  <c r="Y698"/>
  <c r="Z700"/>
  <c r="P700"/>
  <c r="Q700" s="1"/>
  <c r="R700" s="1"/>
  <c r="S700" s="1"/>
  <c r="AD700"/>
  <c r="AC700"/>
  <c r="AA700"/>
  <c r="T700" l="1"/>
  <c r="D700" s="1"/>
  <c r="AH700" l="1"/>
  <c r="AG700"/>
  <c r="E700"/>
  <c r="H700" s="1"/>
  <c r="K700" s="1"/>
  <c r="AE700" s="1"/>
  <c r="G700"/>
  <c r="F700" l="1"/>
  <c r="I700"/>
  <c r="J700"/>
  <c r="M700"/>
  <c r="N700" s="1"/>
  <c r="V700"/>
  <c r="A701"/>
  <c r="B701" s="1"/>
  <c r="W700" l="1"/>
  <c r="L700"/>
  <c r="AC701"/>
  <c r="AA701"/>
  <c r="Z701"/>
  <c r="P701"/>
  <c r="Q701" s="1"/>
  <c r="R701" s="1"/>
  <c r="S701" s="1"/>
  <c r="AD701"/>
  <c r="U700" l="1"/>
  <c r="Y699"/>
  <c r="T701"/>
  <c r="AG701" s="1"/>
  <c r="AH701" l="1"/>
  <c r="E701"/>
  <c r="H701" s="1"/>
  <c r="D701"/>
  <c r="F701" l="1"/>
  <c r="G701"/>
  <c r="K701"/>
  <c r="AE701" s="1"/>
  <c r="I701" l="1"/>
  <c r="J701"/>
  <c r="M701"/>
  <c r="N701" s="1"/>
  <c r="V701"/>
  <c r="A702"/>
  <c r="B702" s="1"/>
  <c r="W701" l="1"/>
  <c r="L701"/>
  <c r="AC702"/>
  <c r="AD702"/>
  <c r="P702"/>
  <c r="Q702" s="1"/>
  <c r="R702" s="1"/>
  <c r="S702" s="1"/>
  <c r="Z702"/>
  <c r="AA702"/>
  <c r="U701" l="1"/>
  <c r="Y700"/>
  <c r="T702"/>
  <c r="AH702" s="1"/>
  <c r="D702" l="1"/>
  <c r="G702" s="1"/>
  <c r="E702"/>
  <c r="H702" s="1"/>
  <c r="K702" s="1"/>
  <c r="AE702" s="1"/>
  <c r="AG702"/>
  <c r="F702" l="1"/>
  <c r="V702"/>
  <c r="A703"/>
  <c r="B703" s="1"/>
  <c r="I702"/>
  <c r="J702"/>
  <c r="M702"/>
  <c r="N702" s="1"/>
  <c r="W702" l="1"/>
  <c r="L702"/>
  <c r="AC703"/>
  <c r="AD703"/>
  <c r="P703"/>
  <c r="Q703" s="1"/>
  <c r="R703" s="1"/>
  <c r="S703" s="1"/>
  <c r="AA703"/>
  <c r="Z703"/>
  <c r="T703" l="1"/>
  <c r="AH703" s="1"/>
  <c r="U702"/>
  <c r="Y701"/>
  <c r="E703" l="1"/>
  <c r="H703" s="1"/>
  <c r="K703" s="1"/>
  <c r="AE703" s="1"/>
  <c r="AG703"/>
  <c r="D703"/>
  <c r="F703" l="1"/>
  <c r="G703"/>
  <c r="V703"/>
  <c r="A704"/>
  <c r="B704" s="1"/>
  <c r="P704" l="1"/>
  <c r="Q704" s="1"/>
  <c r="R704" s="1"/>
  <c r="S704" s="1"/>
  <c r="AC704"/>
  <c r="Z704"/>
  <c r="AA704"/>
  <c r="I703"/>
  <c r="W703" s="1"/>
  <c r="J703"/>
  <c r="M703"/>
  <c r="N703" s="1"/>
  <c r="T704" l="1"/>
  <c r="L703"/>
  <c r="U703" l="1"/>
  <c r="D704" s="1"/>
  <c r="AG704"/>
  <c r="AH704"/>
  <c r="Y702"/>
  <c r="G704" l="1"/>
  <c r="E704"/>
  <c r="H704" s="1"/>
  <c r="F704" l="1"/>
  <c r="I704"/>
  <c r="J704"/>
  <c r="AD704" s="1"/>
  <c r="M704"/>
  <c r="N704" s="1"/>
  <c r="K704"/>
  <c r="AE704" s="1"/>
  <c r="V704" l="1"/>
  <c r="W704" s="1"/>
  <c r="A705"/>
  <c r="B705" s="1"/>
  <c r="L704"/>
  <c r="U704" l="1"/>
  <c r="Y703"/>
  <c r="Z705"/>
  <c r="P705"/>
  <c r="Q705" s="1"/>
  <c r="R705" s="1"/>
  <c r="S705" s="1"/>
  <c r="AC705"/>
  <c r="AA705"/>
  <c r="AD705"/>
  <c r="T705" l="1"/>
  <c r="AH705" s="1"/>
  <c r="AG705" l="1"/>
  <c r="D705"/>
  <c r="E705"/>
  <c r="H705" s="1"/>
  <c r="F705" l="1"/>
  <c r="G705"/>
  <c r="K705"/>
  <c r="AE705" s="1"/>
  <c r="I705" l="1"/>
  <c r="J705"/>
  <c r="M705"/>
  <c r="N705" s="1"/>
  <c r="V705"/>
  <c r="A706"/>
  <c r="B706" s="1"/>
  <c r="W705" l="1"/>
  <c r="L705"/>
  <c r="P706"/>
  <c r="Q706" s="1"/>
  <c r="R706" s="1"/>
  <c r="S706" s="1"/>
  <c r="AA706"/>
  <c r="AC706"/>
  <c r="Z706"/>
  <c r="AD706"/>
  <c r="U705" l="1"/>
  <c r="Y704"/>
  <c r="T706"/>
  <c r="AH706" s="1"/>
  <c r="E706" l="1"/>
  <c r="H706" s="1"/>
  <c r="D706"/>
  <c r="AG706"/>
  <c r="K706" l="1"/>
  <c r="AE706" s="1"/>
  <c r="F706"/>
  <c r="G706"/>
  <c r="I706" l="1"/>
  <c r="J706"/>
  <c r="M706"/>
  <c r="N706" s="1"/>
  <c r="V706"/>
  <c r="A707"/>
  <c r="B707" s="1"/>
  <c r="W706" l="1"/>
  <c r="P707"/>
  <c r="Q707" s="1"/>
  <c r="R707" s="1"/>
  <c r="S707" s="1"/>
  <c r="AD707"/>
  <c r="Z707"/>
  <c r="AC707"/>
  <c r="AA707"/>
  <c r="L706"/>
  <c r="T707" l="1"/>
  <c r="AG707" s="1"/>
  <c r="U706"/>
  <c r="Y705"/>
  <c r="E707" l="1"/>
  <c r="H707" s="1"/>
  <c r="K707" s="1"/>
  <c r="AE707" s="1"/>
  <c r="D707"/>
  <c r="AH707"/>
  <c r="V707" l="1"/>
  <c r="A708"/>
  <c r="B708" s="1"/>
  <c r="F707"/>
  <c r="G707"/>
  <c r="I707" l="1"/>
  <c r="W707" s="1"/>
  <c r="J707"/>
  <c r="M707"/>
  <c r="N707" s="1"/>
  <c r="AD708"/>
  <c r="P708"/>
  <c r="Q708" s="1"/>
  <c r="R708" s="1"/>
  <c r="S708" s="1"/>
  <c r="AC708"/>
  <c r="Z708"/>
  <c r="AA708"/>
  <c r="T708" l="1"/>
  <c r="L707"/>
  <c r="U707" l="1"/>
  <c r="D708" s="1"/>
  <c r="AG708"/>
  <c r="AH708"/>
  <c r="Y706"/>
  <c r="E708" l="1"/>
  <c r="H708" s="1"/>
  <c r="K708" s="1"/>
  <c r="AE708" s="1"/>
  <c r="G708"/>
  <c r="F708" l="1"/>
  <c r="I708"/>
  <c r="J708"/>
  <c r="M708"/>
  <c r="N708" s="1"/>
  <c r="V708"/>
  <c r="A709"/>
  <c r="B709" s="1"/>
  <c r="W708" l="1"/>
  <c r="L708"/>
  <c r="Z709"/>
  <c r="AA709"/>
  <c r="AD709"/>
  <c r="P709"/>
  <c r="Q709" s="1"/>
  <c r="R709" s="1"/>
  <c r="S709" s="1"/>
  <c r="AC709"/>
  <c r="U708" l="1"/>
  <c r="Y707"/>
  <c r="T709"/>
  <c r="AG709" s="1"/>
  <c r="AH709" l="1"/>
  <c r="E709"/>
  <c r="H709" s="1"/>
  <c r="D709"/>
  <c r="F709" l="1"/>
  <c r="G709"/>
  <c r="K709"/>
  <c r="AE709" s="1"/>
  <c r="V709" l="1"/>
  <c r="A710"/>
  <c r="B710" s="1"/>
  <c r="I709"/>
  <c r="J709"/>
  <c r="M709"/>
  <c r="N709" s="1"/>
  <c r="W709" l="1"/>
  <c r="L709"/>
  <c r="AD710"/>
  <c r="AC710"/>
  <c r="Z710"/>
  <c r="AA710"/>
  <c r="P710"/>
  <c r="Q710" s="1"/>
  <c r="R710" s="1"/>
  <c r="S710" s="1"/>
  <c r="U709" l="1"/>
  <c r="Y708"/>
  <c r="T710"/>
  <c r="AH710" s="1"/>
  <c r="D710" l="1"/>
  <c r="E710"/>
  <c r="H710" s="1"/>
  <c r="AG710"/>
  <c r="F710" l="1"/>
  <c r="G710"/>
  <c r="K710"/>
  <c r="AE710" s="1"/>
  <c r="I710" l="1"/>
  <c r="J710"/>
  <c r="M710"/>
  <c r="N710" s="1"/>
  <c r="V710"/>
  <c r="A711"/>
  <c r="B711" s="1"/>
  <c r="W710" l="1"/>
  <c r="L710"/>
  <c r="AA711"/>
  <c r="AC711"/>
  <c r="Z711"/>
  <c r="AD711"/>
  <c r="P711"/>
  <c r="Q711" s="1"/>
  <c r="R711" s="1"/>
  <c r="S711" s="1"/>
  <c r="T711" l="1"/>
  <c r="U710"/>
  <c r="Y709"/>
  <c r="D711" l="1"/>
  <c r="G711" s="1"/>
  <c r="E711"/>
  <c r="H711" s="1"/>
  <c r="AH711"/>
  <c r="AG711"/>
  <c r="F711" l="1"/>
  <c r="K711"/>
  <c r="AE711" s="1"/>
  <c r="I711"/>
  <c r="J711"/>
  <c r="M711"/>
  <c r="N711" s="1"/>
  <c r="L711" l="1"/>
  <c r="V711"/>
  <c r="W711" s="1"/>
  <c r="A712"/>
  <c r="B712" s="1"/>
  <c r="AC712" l="1"/>
  <c r="AD712"/>
  <c r="P712"/>
  <c r="Q712" s="1"/>
  <c r="R712" s="1"/>
  <c r="S712" s="1"/>
  <c r="AA712"/>
  <c r="Z712"/>
  <c r="U711"/>
  <c r="Y710"/>
  <c r="T712" l="1"/>
  <c r="AG712" l="1"/>
  <c r="D712"/>
  <c r="E712"/>
  <c r="H712" s="1"/>
  <c r="AH712"/>
  <c r="K712" l="1"/>
  <c r="AE712" s="1"/>
  <c r="F712"/>
  <c r="G712"/>
  <c r="V712" l="1"/>
  <c r="A713"/>
  <c r="B713" s="1"/>
  <c r="I712"/>
  <c r="J712"/>
  <c r="M712"/>
  <c r="N712" s="1"/>
  <c r="W712" l="1"/>
  <c r="L712"/>
  <c r="Z713"/>
  <c r="P713"/>
  <c r="Q713" s="1"/>
  <c r="R713" s="1"/>
  <c r="S713" s="1"/>
  <c r="AC713"/>
  <c r="AD713"/>
  <c r="AA713"/>
  <c r="T713" l="1"/>
  <c r="AH713" s="1"/>
  <c r="U712"/>
  <c r="Y711"/>
  <c r="D713" l="1"/>
  <c r="AG713"/>
  <c r="E713"/>
  <c r="H713" s="1"/>
  <c r="F713" l="1"/>
  <c r="G713"/>
  <c r="M713" s="1"/>
  <c r="N713" s="1"/>
  <c r="K713"/>
  <c r="AE713" s="1"/>
  <c r="I713" l="1"/>
  <c r="J713"/>
  <c r="L713" s="1"/>
  <c r="V713"/>
  <c r="A714"/>
  <c r="B714" s="1"/>
  <c r="W713" l="1"/>
  <c r="U713"/>
  <c r="Y712"/>
  <c r="AA714"/>
  <c r="P714"/>
  <c r="Q714" s="1"/>
  <c r="R714" s="1"/>
  <c r="S714" s="1"/>
  <c r="Z714"/>
  <c r="AC714"/>
  <c r="T714" l="1"/>
  <c r="AH714" s="1"/>
  <c r="D714" l="1"/>
  <c r="G714" s="1"/>
  <c r="E714"/>
  <c r="H714" s="1"/>
  <c r="K714" s="1"/>
  <c r="AE714" s="1"/>
  <c r="AG714"/>
  <c r="F714" l="1"/>
  <c r="V714"/>
  <c r="A715"/>
  <c r="B715" s="1"/>
  <c r="I714"/>
  <c r="J714"/>
  <c r="AD714" s="1"/>
  <c r="M714"/>
  <c r="N714" s="1"/>
  <c r="L714" l="1"/>
  <c r="W714"/>
  <c r="AC715"/>
  <c r="P715"/>
  <c r="Q715" s="1"/>
  <c r="R715" s="1"/>
  <c r="S715" s="1"/>
  <c r="Z715"/>
  <c r="AA715"/>
  <c r="AD715"/>
  <c r="U714" l="1"/>
  <c r="Y713"/>
  <c r="T715"/>
  <c r="AG715" s="1"/>
  <c r="AH715" l="1"/>
  <c r="D715"/>
  <c r="G715" s="1"/>
  <c r="E715"/>
  <c r="H715" s="1"/>
  <c r="F715" l="1"/>
  <c r="I715"/>
  <c r="J715"/>
  <c r="M715"/>
  <c r="N715" s="1"/>
  <c r="K715"/>
  <c r="AE715" s="1"/>
  <c r="V715" l="1"/>
  <c r="W715" s="1"/>
  <c r="A716"/>
  <c r="B716" s="1"/>
  <c r="L715"/>
  <c r="U715" l="1"/>
  <c r="Y714"/>
  <c r="AC716"/>
  <c r="Z716"/>
  <c r="P716"/>
  <c r="Q716" s="1"/>
  <c r="R716" s="1"/>
  <c r="S716" s="1"/>
  <c r="AA716"/>
  <c r="AD716"/>
  <c r="T716" l="1"/>
  <c r="D716" s="1"/>
  <c r="E716" l="1"/>
  <c r="H716" s="1"/>
  <c r="K716" s="1"/>
  <c r="AE716" s="1"/>
  <c r="AH716"/>
  <c r="AG716"/>
  <c r="G716"/>
  <c r="F716" l="1"/>
  <c r="I716"/>
  <c r="J716"/>
  <c r="M716"/>
  <c r="N716" s="1"/>
  <c r="V716"/>
  <c r="A717"/>
  <c r="B717" s="1"/>
  <c r="W716" l="1"/>
  <c r="L716"/>
  <c r="AC717"/>
  <c r="P717"/>
  <c r="Q717" s="1"/>
  <c r="R717" s="1"/>
  <c r="S717" s="1"/>
  <c r="AD717"/>
  <c r="Z717"/>
  <c r="AA717"/>
  <c r="U716" l="1"/>
  <c r="Y715"/>
  <c r="T717"/>
  <c r="AG717" s="1"/>
  <c r="E717" l="1"/>
  <c r="H717" s="1"/>
  <c r="K717" s="1"/>
  <c r="AE717" s="1"/>
  <c r="AH717"/>
  <c r="D717"/>
  <c r="V717" l="1"/>
  <c r="A718"/>
  <c r="B718" s="1"/>
  <c r="F717"/>
  <c r="G717"/>
  <c r="I717" l="1"/>
  <c r="W717" s="1"/>
  <c r="J717"/>
  <c r="M717"/>
  <c r="N717" s="1"/>
  <c r="P718"/>
  <c r="Q718" s="1"/>
  <c r="R718" s="1"/>
  <c r="S718" s="1"/>
  <c r="AC718"/>
  <c r="Z718"/>
  <c r="AD718"/>
  <c r="AA718"/>
  <c r="L717" l="1"/>
  <c r="T718"/>
  <c r="U717" l="1"/>
  <c r="E718" s="1"/>
  <c r="H718" s="1"/>
  <c r="AH718"/>
  <c r="AG718"/>
  <c r="Y716"/>
  <c r="K718" l="1"/>
  <c r="AE718" s="1"/>
  <c r="D718"/>
  <c r="V718" l="1"/>
  <c r="A719"/>
  <c r="B719" s="1"/>
  <c r="F718"/>
  <c r="G718"/>
  <c r="I718" l="1"/>
  <c r="W718" s="1"/>
  <c r="J718"/>
  <c r="M718"/>
  <c r="N718" s="1"/>
  <c r="AD719"/>
  <c r="Z719"/>
  <c r="P719"/>
  <c r="Q719" s="1"/>
  <c r="R719" s="1"/>
  <c r="S719" s="1"/>
  <c r="AA719"/>
  <c r="AC719"/>
  <c r="T719" l="1"/>
  <c r="L718"/>
  <c r="AG719" l="1"/>
  <c r="AH719"/>
  <c r="U718"/>
  <c r="E719" s="1"/>
  <c r="H719" s="1"/>
  <c r="Y717"/>
  <c r="D719" l="1"/>
  <c r="G719" s="1"/>
  <c r="K719"/>
  <c r="AE719" s="1"/>
  <c r="F719" l="1"/>
  <c r="I719"/>
  <c r="J719"/>
  <c r="M719"/>
  <c r="N719" s="1"/>
  <c r="V719"/>
  <c r="A720"/>
  <c r="B720" s="1"/>
  <c r="W719" l="1"/>
  <c r="L719"/>
  <c r="P720"/>
  <c r="Q720" s="1"/>
  <c r="R720" s="1"/>
  <c r="S720" s="1"/>
  <c r="AA720"/>
  <c r="AC720"/>
  <c r="Z720"/>
  <c r="AD720"/>
  <c r="U719" l="1"/>
  <c r="Y718"/>
  <c r="T720"/>
  <c r="AG720" s="1"/>
  <c r="E720" l="1"/>
  <c r="H720" s="1"/>
  <c r="K720" s="1"/>
  <c r="AE720" s="1"/>
  <c r="D720"/>
  <c r="AH720"/>
  <c r="V720" l="1"/>
  <c r="A721"/>
  <c r="B721" s="1"/>
  <c r="F720"/>
  <c r="G720"/>
  <c r="I720" l="1"/>
  <c r="W720" s="1"/>
  <c r="J720"/>
  <c r="M720"/>
  <c r="N720" s="1"/>
  <c r="AD721"/>
  <c r="AA721"/>
  <c r="Z721"/>
  <c r="AC721"/>
  <c r="P721"/>
  <c r="Q721" s="1"/>
  <c r="R721" s="1"/>
  <c r="S721" s="1"/>
  <c r="T721" l="1"/>
  <c r="L720"/>
  <c r="AG721" l="1"/>
  <c r="U720"/>
  <c r="D721" s="1"/>
  <c r="AH721"/>
  <c r="Y719"/>
  <c r="G721" l="1"/>
  <c r="E721"/>
  <c r="H721" s="1"/>
  <c r="F721" l="1"/>
  <c r="I721"/>
  <c r="J721"/>
  <c r="M721"/>
  <c r="N721" s="1"/>
  <c r="K721"/>
  <c r="AE721" s="1"/>
  <c r="V721" l="1"/>
  <c r="W721" s="1"/>
  <c r="A722"/>
  <c r="B722" s="1"/>
  <c r="L721"/>
  <c r="U721" l="1"/>
  <c r="Y720"/>
  <c r="AA722"/>
  <c r="AC722"/>
  <c r="P722"/>
  <c r="Q722" s="1"/>
  <c r="R722" s="1"/>
  <c r="S722" s="1"/>
  <c r="Z722"/>
  <c r="AD722"/>
  <c r="T722" l="1"/>
  <c r="AH722" s="1"/>
  <c r="E722" l="1"/>
  <c r="H722" s="1"/>
  <c r="K722" s="1"/>
  <c r="AE722" s="1"/>
  <c r="D722"/>
  <c r="AG722"/>
  <c r="V722" l="1"/>
  <c r="A723"/>
  <c r="B723" s="1"/>
  <c r="F722"/>
  <c r="G722"/>
  <c r="I722" l="1"/>
  <c r="W722" s="1"/>
  <c r="J722"/>
  <c r="M722"/>
  <c r="N722" s="1"/>
  <c r="Z723"/>
  <c r="AA723"/>
  <c r="AC723"/>
  <c r="P723"/>
  <c r="Q723" s="1"/>
  <c r="R723" s="1"/>
  <c r="S723" s="1"/>
  <c r="AD723"/>
  <c r="T723" l="1"/>
  <c r="L722"/>
  <c r="U722" l="1"/>
  <c r="E723" s="1"/>
  <c r="H723" s="1"/>
  <c r="AG723"/>
  <c r="AH723"/>
  <c r="Y721"/>
  <c r="D723" l="1"/>
  <c r="G723" s="1"/>
  <c r="K723"/>
  <c r="AE723" s="1"/>
  <c r="F723" l="1"/>
  <c r="V723"/>
  <c r="A724"/>
  <c r="B724" s="1"/>
  <c r="I723"/>
  <c r="J723"/>
  <c r="M723"/>
  <c r="N723" s="1"/>
  <c r="W723" l="1"/>
  <c r="L723"/>
  <c r="AA724"/>
  <c r="Z724"/>
  <c r="AC724"/>
  <c r="P724"/>
  <c r="Q724" s="1"/>
  <c r="R724" s="1"/>
  <c r="S724" s="1"/>
  <c r="T724" l="1"/>
  <c r="AH724" s="1"/>
  <c r="U723"/>
  <c r="Y722"/>
  <c r="D724" l="1"/>
  <c r="E724"/>
  <c r="H724" s="1"/>
  <c r="AG724"/>
  <c r="K724" l="1"/>
  <c r="AE724" s="1"/>
  <c r="F724"/>
  <c r="G724"/>
  <c r="I724" l="1"/>
  <c r="J724"/>
  <c r="AD724" s="1"/>
  <c r="M724"/>
  <c r="N724" s="1"/>
  <c r="V724"/>
  <c r="A725"/>
  <c r="B725" s="1"/>
  <c r="W724" l="1"/>
  <c r="L724"/>
  <c r="AC725"/>
  <c r="P725"/>
  <c r="Q725" s="1"/>
  <c r="R725" s="1"/>
  <c r="S725" s="1"/>
  <c r="Z725"/>
  <c r="AA725"/>
  <c r="AD725"/>
  <c r="U724" l="1"/>
  <c r="Y723"/>
  <c r="T725"/>
  <c r="AG725" s="1"/>
  <c r="AH725" l="1"/>
  <c r="D725"/>
  <c r="G725" s="1"/>
  <c r="E725"/>
  <c r="H725" s="1"/>
  <c r="F725" l="1"/>
  <c r="I725"/>
  <c r="J725"/>
  <c r="M725"/>
  <c r="N725" s="1"/>
  <c r="K725"/>
  <c r="AE725" s="1"/>
  <c r="V725" l="1"/>
  <c r="W725" s="1"/>
  <c r="A726"/>
  <c r="B726" s="1"/>
  <c r="L725"/>
  <c r="U725" l="1"/>
  <c r="Y724"/>
  <c r="Z726"/>
  <c r="P726"/>
  <c r="Q726" s="1"/>
  <c r="R726" s="1"/>
  <c r="S726" s="1"/>
  <c r="AA726"/>
  <c r="AD726"/>
  <c r="AC726"/>
  <c r="T726" l="1"/>
  <c r="AG726" s="1"/>
  <c r="D726" l="1"/>
  <c r="G726" s="1"/>
  <c r="E726"/>
  <c r="H726" s="1"/>
  <c r="K726" s="1"/>
  <c r="AE726" s="1"/>
  <c r="AH726"/>
  <c r="F726" l="1"/>
  <c r="I726"/>
  <c r="J726"/>
  <c r="M726"/>
  <c r="N726" s="1"/>
  <c r="V726"/>
  <c r="A727"/>
  <c r="B727" s="1"/>
  <c r="W726" l="1"/>
  <c r="L726"/>
  <c r="P727"/>
  <c r="Q727" s="1"/>
  <c r="R727" s="1"/>
  <c r="S727" s="1"/>
  <c r="Z727"/>
  <c r="AA727"/>
  <c r="AC727"/>
  <c r="AD727"/>
  <c r="U726" l="1"/>
  <c r="Y725"/>
  <c r="T727"/>
  <c r="AH727" s="1"/>
  <c r="E727" l="1"/>
  <c r="H727" s="1"/>
  <c r="K727" s="1"/>
  <c r="AE727" s="1"/>
  <c r="D727"/>
  <c r="AG727"/>
  <c r="F727" l="1"/>
  <c r="G727"/>
  <c r="M727" s="1"/>
  <c r="N727" s="1"/>
  <c r="V727"/>
  <c r="A728"/>
  <c r="B728" s="1"/>
  <c r="I727" l="1"/>
  <c r="W727" s="1"/>
  <c r="J727"/>
  <c r="L727" s="1"/>
  <c r="AA728"/>
  <c r="P728"/>
  <c r="Q728" s="1"/>
  <c r="R728" s="1"/>
  <c r="S728" s="1"/>
  <c r="AC728"/>
  <c r="Z728"/>
  <c r="AD728"/>
  <c r="U727" l="1"/>
  <c r="Y726"/>
  <c r="T728"/>
  <c r="D728" l="1"/>
  <c r="G728" s="1"/>
  <c r="AG728"/>
  <c r="E728"/>
  <c r="H728" s="1"/>
  <c r="AH728"/>
  <c r="F728" l="1"/>
  <c r="I728"/>
  <c r="J728"/>
  <c r="M728"/>
  <c r="N728" s="1"/>
  <c r="K728"/>
  <c r="AE728" s="1"/>
  <c r="V728" l="1"/>
  <c r="W728" s="1"/>
  <c r="A729"/>
  <c r="B729" s="1"/>
  <c r="L728"/>
  <c r="U728" l="1"/>
  <c r="Y727"/>
  <c r="P729"/>
  <c r="Q729" s="1"/>
  <c r="R729" s="1"/>
  <c r="S729" s="1"/>
  <c r="AA729"/>
  <c r="AD729"/>
  <c r="AC729"/>
  <c r="Z729"/>
  <c r="T729" l="1"/>
  <c r="E729" s="1"/>
  <c r="H729" s="1"/>
  <c r="AH729" l="1"/>
  <c r="D729"/>
  <c r="F729" s="1"/>
  <c r="AG729"/>
  <c r="K729"/>
  <c r="AE729" s="1"/>
  <c r="G729" l="1"/>
  <c r="I729" s="1"/>
  <c r="V729"/>
  <c r="A730"/>
  <c r="B730" s="1"/>
  <c r="W729" l="1"/>
  <c r="J729"/>
  <c r="L729" s="1"/>
  <c r="M729"/>
  <c r="N729" s="1"/>
  <c r="AA730"/>
  <c r="Z730"/>
  <c r="AD730"/>
  <c r="P730"/>
  <c r="Q730" s="1"/>
  <c r="R730" s="1"/>
  <c r="S730" s="1"/>
  <c r="AC730"/>
  <c r="U729" l="1"/>
  <c r="Y728"/>
  <c r="T730"/>
  <c r="AG730" s="1"/>
  <c r="D730" l="1"/>
  <c r="E730"/>
  <c r="H730" s="1"/>
  <c r="AH730"/>
  <c r="K730" l="1"/>
  <c r="AE730" s="1"/>
  <c r="F730"/>
  <c r="G730"/>
  <c r="I730" l="1"/>
  <c r="J730"/>
  <c r="M730"/>
  <c r="N730" s="1"/>
  <c r="V730"/>
  <c r="A731"/>
  <c r="B731" s="1"/>
  <c r="W730" l="1"/>
  <c r="L730"/>
  <c r="P731"/>
  <c r="Q731" s="1"/>
  <c r="R731" s="1"/>
  <c r="S731" s="1"/>
  <c r="Z731"/>
  <c r="AA731"/>
  <c r="AD731"/>
  <c r="AC731"/>
  <c r="U730" l="1"/>
  <c r="Y729"/>
  <c r="T731"/>
  <c r="AG731" s="1"/>
  <c r="E731" l="1"/>
  <c r="H731" s="1"/>
  <c r="K731" s="1"/>
  <c r="AE731" s="1"/>
  <c r="AH731"/>
  <c r="D731"/>
  <c r="F731" l="1"/>
  <c r="G731"/>
  <c r="J731" s="1"/>
  <c r="V731"/>
  <c r="A732"/>
  <c r="B732" s="1"/>
  <c r="M731" l="1"/>
  <c r="N731" s="1"/>
  <c r="I731"/>
  <c r="W731" s="1"/>
  <c r="L731"/>
  <c r="AC732"/>
  <c r="Z732"/>
  <c r="AD732"/>
  <c r="AA732"/>
  <c r="P732"/>
  <c r="Q732" s="1"/>
  <c r="R732" s="1"/>
  <c r="S732" s="1"/>
  <c r="U731" l="1"/>
  <c r="Y730"/>
  <c r="T732"/>
  <c r="E732" l="1"/>
  <c r="H732" s="1"/>
  <c r="K732" s="1"/>
  <c r="AE732" s="1"/>
  <c r="D732"/>
  <c r="G732" s="1"/>
  <c r="AH732"/>
  <c r="AG732"/>
  <c r="F732" l="1"/>
  <c r="I732"/>
  <c r="J732"/>
  <c r="M732"/>
  <c r="N732" s="1"/>
  <c r="V732"/>
  <c r="A733"/>
  <c r="B733" s="1"/>
  <c r="W732" l="1"/>
  <c r="L732"/>
  <c r="AC733"/>
  <c r="P733"/>
  <c r="Q733" s="1"/>
  <c r="R733" s="1"/>
  <c r="S733" s="1"/>
  <c r="AA733"/>
  <c r="Z733"/>
  <c r="AD733"/>
  <c r="T733" l="1"/>
  <c r="AH733" s="1"/>
  <c r="U732"/>
  <c r="Y731"/>
  <c r="D733" l="1"/>
  <c r="G733" s="1"/>
  <c r="E733"/>
  <c r="H733" s="1"/>
  <c r="AG733"/>
  <c r="F733" l="1"/>
  <c r="I733"/>
  <c r="J733"/>
  <c r="M733"/>
  <c r="N733" s="1"/>
  <c r="K733"/>
  <c r="AE733" s="1"/>
  <c r="V733" l="1"/>
  <c r="W733" s="1"/>
  <c r="A734"/>
  <c r="B734" s="1"/>
  <c r="L733"/>
  <c r="U733" l="1"/>
  <c r="Y732"/>
  <c r="P734"/>
  <c r="Q734" s="1"/>
  <c r="R734" s="1"/>
  <c r="S734" s="1"/>
  <c r="AC734"/>
  <c r="AA734"/>
  <c r="Z734"/>
  <c r="T734" l="1"/>
  <c r="AG734" s="1"/>
  <c r="D734" l="1"/>
  <c r="E734"/>
  <c r="H734" s="1"/>
  <c r="K734" s="1"/>
  <c r="AE734" s="1"/>
  <c r="AH734"/>
  <c r="F734" l="1"/>
  <c r="G734"/>
  <c r="M734" s="1"/>
  <c r="N734" s="1"/>
  <c r="V734"/>
  <c r="A735"/>
  <c r="B735" s="1"/>
  <c r="I734" l="1"/>
  <c r="W734" s="1"/>
  <c r="J734"/>
  <c r="AA735"/>
  <c r="Z735"/>
  <c r="P735"/>
  <c r="Q735" s="1"/>
  <c r="R735" s="1"/>
  <c r="S735" s="1"/>
  <c r="AC735"/>
  <c r="AD735"/>
  <c r="L734" l="1"/>
  <c r="Y733" s="1"/>
  <c r="AD734"/>
  <c r="T735"/>
  <c r="U734" l="1"/>
  <c r="E735" s="1"/>
  <c r="H735" s="1"/>
  <c r="AH735"/>
  <c r="AG735"/>
  <c r="D735" l="1"/>
  <c r="G735" s="1"/>
  <c r="M735" s="1"/>
  <c r="N735" s="1"/>
  <c r="K735"/>
  <c r="AE735" s="1"/>
  <c r="F735" l="1"/>
  <c r="I735"/>
  <c r="J735"/>
  <c r="L735" s="1"/>
  <c r="V735"/>
  <c r="A736"/>
  <c r="B736" s="1"/>
  <c r="W735" l="1"/>
  <c r="U735"/>
  <c r="Y734"/>
  <c r="Z736"/>
  <c r="P736"/>
  <c r="Q736" s="1"/>
  <c r="R736" s="1"/>
  <c r="S736" s="1"/>
  <c r="AA736"/>
  <c r="AD736"/>
  <c r="AC736"/>
  <c r="T736" l="1"/>
  <c r="E736" s="1"/>
  <c r="H736" s="1"/>
  <c r="AH736" l="1"/>
  <c r="D736"/>
  <c r="F736" s="1"/>
  <c r="K736"/>
  <c r="AE736" s="1"/>
  <c r="AG736"/>
  <c r="G736" l="1"/>
  <c r="M736" s="1"/>
  <c r="N736" s="1"/>
  <c r="V736"/>
  <c r="A737"/>
  <c r="B737" s="1"/>
  <c r="I736" l="1"/>
  <c r="W736" s="1"/>
  <c r="J736"/>
  <c r="L736" s="1"/>
  <c r="AC737"/>
  <c r="P737"/>
  <c r="Q737" s="1"/>
  <c r="R737" s="1"/>
  <c r="S737" s="1"/>
  <c r="AD737"/>
  <c r="Z737"/>
  <c r="AA737"/>
  <c r="U736" l="1"/>
  <c r="Y735"/>
  <c r="T737"/>
  <c r="AH737" s="1"/>
  <c r="D737" l="1"/>
  <c r="E737"/>
  <c r="H737" s="1"/>
  <c r="AG737"/>
  <c r="F737" l="1"/>
  <c r="G737"/>
  <c r="K737"/>
  <c r="AE737" s="1"/>
  <c r="V737" l="1"/>
  <c r="A738"/>
  <c r="B738" s="1"/>
  <c r="I737"/>
  <c r="J737"/>
  <c r="M737"/>
  <c r="N737" s="1"/>
  <c r="W737" l="1"/>
  <c r="L737"/>
  <c r="AA738"/>
  <c r="P738"/>
  <c r="Q738" s="1"/>
  <c r="R738" s="1"/>
  <c r="S738" s="1"/>
  <c r="AC738"/>
  <c r="Z738"/>
  <c r="AD738"/>
  <c r="U737" l="1"/>
  <c r="Y736"/>
  <c r="T738"/>
  <c r="E738" l="1"/>
  <c r="H738" s="1"/>
  <c r="K738" s="1"/>
  <c r="AE738" s="1"/>
  <c r="D738"/>
  <c r="AG738"/>
  <c r="AH738"/>
  <c r="V738" l="1"/>
  <c r="A739"/>
  <c r="B739" s="1"/>
  <c r="F738"/>
  <c r="G738"/>
  <c r="I738" l="1"/>
  <c r="W738" s="1"/>
  <c r="J738"/>
  <c r="M738"/>
  <c r="N738" s="1"/>
  <c r="P739"/>
  <c r="Q739" s="1"/>
  <c r="R739" s="1"/>
  <c r="S739" s="1"/>
  <c r="AC739"/>
  <c r="AA739"/>
  <c r="AD739"/>
  <c r="Z739"/>
  <c r="T739" l="1"/>
  <c r="L738"/>
  <c r="AH739" l="1"/>
  <c r="U738"/>
  <c r="E739" s="1"/>
  <c r="H739" s="1"/>
  <c r="AG739"/>
  <c r="Y737"/>
  <c r="D739" l="1"/>
  <c r="G739" s="1"/>
  <c r="K739"/>
  <c r="AE739" s="1"/>
  <c r="F739" l="1"/>
  <c r="I739"/>
  <c r="J739"/>
  <c r="M739"/>
  <c r="N739" s="1"/>
  <c r="V739"/>
  <c r="A740"/>
  <c r="B740" s="1"/>
  <c r="W739" l="1"/>
  <c r="L739"/>
  <c r="P740"/>
  <c r="Q740" s="1"/>
  <c r="R740" s="1"/>
  <c r="S740" s="1"/>
  <c r="Z740"/>
  <c r="AC740"/>
  <c r="AD740"/>
  <c r="AA740"/>
  <c r="U739" l="1"/>
  <c r="Y738"/>
  <c r="T740"/>
  <c r="E740" l="1"/>
  <c r="H740" s="1"/>
  <c r="K740" s="1"/>
  <c r="AE740" s="1"/>
  <c r="D740"/>
  <c r="G740" s="1"/>
  <c r="AH740"/>
  <c r="AG740"/>
  <c r="F740" l="1"/>
  <c r="I740"/>
  <c r="J740"/>
  <c r="M740"/>
  <c r="N740" s="1"/>
  <c r="V740"/>
  <c r="A741"/>
  <c r="B741" s="1"/>
  <c r="W740" l="1"/>
  <c r="L740"/>
  <c r="AA741"/>
  <c r="P741"/>
  <c r="Q741" s="1"/>
  <c r="R741" s="1"/>
  <c r="S741" s="1"/>
  <c r="AD741"/>
  <c r="Z741"/>
  <c r="AC741"/>
  <c r="T741" l="1"/>
  <c r="AG741" s="1"/>
  <c r="U740"/>
  <c r="Y739"/>
  <c r="E741" l="1"/>
  <c r="H741" s="1"/>
  <c r="D741"/>
  <c r="AH741"/>
  <c r="K741" l="1"/>
  <c r="AE741" s="1"/>
  <c r="F741"/>
  <c r="G741"/>
  <c r="V741" l="1"/>
  <c r="A742"/>
  <c r="B742" s="1"/>
  <c r="I741"/>
  <c r="J741"/>
  <c r="M741"/>
  <c r="N741" s="1"/>
  <c r="L741" l="1"/>
  <c r="W741"/>
  <c r="AC742"/>
  <c r="P742"/>
  <c r="Q742" s="1"/>
  <c r="R742" s="1"/>
  <c r="S742" s="1"/>
  <c r="AD742"/>
  <c r="Z742"/>
  <c r="AA742"/>
  <c r="U741" l="1"/>
  <c r="Y740"/>
  <c r="T742"/>
  <c r="AG742" s="1"/>
  <c r="E742" l="1"/>
  <c r="H742" s="1"/>
  <c r="K742" s="1"/>
  <c r="AE742" s="1"/>
  <c r="AH742"/>
  <c r="D742"/>
  <c r="F742" l="1"/>
  <c r="G742"/>
  <c r="V742"/>
  <c r="A743"/>
  <c r="B743" s="1"/>
  <c r="I742" l="1"/>
  <c r="W742" s="1"/>
  <c r="J742"/>
  <c r="M742"/>
  <c r="N742" s="1"/>
  <c r="Z743"/>
  <c r="AA743"/>
  <c r="P743"/>
  <c r="Q743" s="1"/>
  <c r="R743" s="1"/>
  <c r="S743" s="1"/>
  <c r="AC743"/>
  <c r="AD743"/>
  <c r="T743" l="1"/>
  <c r="L742"/>
  <c r="U742" l="1"/>
  <c r="E743" s="1"/>
  <c r="H743" s="1"/>
  <c r="AH743"/>
  <c r="AG743"/>
  <c r="Y741"/>
  <c r="D743" l="1"/>
  <c r="G743" s="1"/>
  <c r="K743"/>
  <c r="AE743" s="1"/>
  <c r="F743" l="1"/>
  <c r="I743"/>
  <c r="J743"/>
  <c r="M743"/>
  <c r="N743" s="1"/>
  <c r="V743"/>
  <c r="A744"/>
  <c r="B744" s="1"/>
  <c r="W743" l="1"/>
  <c r="L743"/>
  <c r="AA744"/>
  <c r="P744"/>
  <c r="Q744" s="1"/>
  <c r="R744" s="1"/>
  <c r="S744" s="1"/>
  <c r="AC744"/>
  <c r="Z744"/>
  <c r="U743" l="1"/>
  <c r="Y742"/>
  <c r="T744"/>
  <c r="AG744" s="1"/>
  <c r="E744" l="1"/>
  <c r="H744" s="1"/>
  <c r="K744" s="1"/>
  <c r="AE744" s="1"/>
  <c r="D744"/>
  <c r="AH744"/>
  <c r="F744" l="1"/>
  <c r="G744"/>
  <c r="I744" s="1"/>
  <c r="V744"/>
  <c r="A745"/>
  <c r="B745" s="1"/>
  <c r="J744" l="1"/>
  <c r="M744"/>
  <c r="N744" s="1"/>
  <c r="W744"/>
  <c r="P745"/>
  <c r="Q745" s="1"/>
  <c r="R745" s="1"/>
  <c r="S745" s="1"/>
  <c r="AA745"/>
  <c r="AC745"/>
  <c r="AD745"/>
  <c r="Z745"/>
  <c r="L744" l="1"/>
  <c r="U744" s="1"/>
  <c r="AD744"/>
  <c r="T745"/>
  <c r="Y743" l="1"/>
  <c r="AG745"/>
  <c r="E745"/>
  <c r="H745" s="1"/>
  <c r="K745" s="1"/>
  <c r="AE745" s="1"/>
  <c r="D745"/>
  <c r="AH745"/>
  <c r="F745" l="1"/>
  <c r="G745"/>
  <c r="M745" s="1"/>
  <c r="N745" s="1"/>
  <c r="V745"/>
  <c r="A746"/>
  <c r="B746" s="1"/>
  <c r="I745" l="1"/>
  <c r="W745" s="1"/>
  <c r="J745"/>
  <c r="L745" s="1"/>
  <c r="Z746"/>
  <c r="AD746"/>
  <c r="P746"/>
  <c r="Q746" s="1"/>
  <c r="R746" s="1"/>
  <c r="S746" s="1"/>
  <c r="AA746"/>
  <c r="AC746"/>
  <c r="U745" l="1"/>
  <c r="Y744"/>
  <c r="T746"/>
  <c r="D746" l="1"/>
  <c r="G746" s="1"/>
  <c r="AG746"/>
  <c r="E746"/>
  <c r="H746" s="1"/>
  <c r="AH746"/>
  <c r="F746" l="1"/>
  <c r="I746"/>
  <c r="J746"/>
  <c r="M746"/>
  <c r="N746" s="1"/>
  <c r="K746"/>
  <c r="AE746" s="1"/>
  <c r="V746" l="1"/>
  <c r="W746" s="1"/>
  <c r="A747"/>
  <c r="B747" s="1"/>
  <c r="L746"/>
  <c r="U746" l="1"/>
  <c r="Y745"/>
  <c r="AA747"/>
  <c r="AD747"/>
  <c r="Z747"/>
  <c r="AC747"/>
  <c r="P747"/>
  <c r="Q747" s="1"/>
  <c r="R747" s="1"/>
  <c r="S747" s="1"/>
  <c r="T747" l="1"/>
  <c r="D747" s="1"/>
  <c r="AG747" l="1"/>
  <c r="E747"/>
  <c r="H747" s="1"/>
  <c r="K747" s="1"/>
  <c r="AE747" s="1"/>
  <c r="AH747"/>
  <c r="G747"/>
  <c r="F747" l="1"/>
  <c r="I747"/>
  <c r="J747"/>
  <c r="M747"/>
  <c r="N747" s="1"/>
  <c r="V747"/>
  <c r="A748"/>
  <c r="B748" s="1"/>
  <c r="W747" l="1"/>
  <c r="L747"/>
  <c r="AC748"/>
  <c r="P748"/>
  <c r="Q748" s="1"/>
  <c r="R748" s="1"/>
  <c r="S748" s="1"/>
  <c r="AD748"/>
  <c r="Z748"/>
  <c r="AA748"/>
  <c r="U747" l="1"/>
  <c r="Y746"/>
  <c r="T748"/>
  <c r="E748" l="1"/>
  <c r="H748" s="1"/>
  <c r="K748" s="1"/>
  <c r="AE748" s="1"/>
  <c r="D748"/>
  <c r="AH748"/>
  <c r="AG748"/>
  <c r="V748" l="1"/>
  <c r="A749"/>
  <c r="B749" s="1"/>
  <c r="F748"/>
  <c r="G748"/>
  <c r="I748" l="1"/>
  <c r="W748" s="1"/>
  <c r="J748"/>
  <c r="M748"/>
  <c r="N748" s="1"/>
  <c r="AA749"/>
  <c r="Z749"/>
  <c r="P749"/>
  <c r="Q749" s="1"/>
  <c r="R749" s="1"/>
  <c r="S749" s="1"/>
  <c r="AC749"/>
  <c r="AD749"/>
  <c r="T749" l="1"/>
  <c r="L748"/>
  <c r="U748" l="1"/>
  <c r="E749" s="1"/>
  <c r="H749" s="1"/>
  <c r="AG749"/>
  <c r="AH749"/>
  <c r="Y747"/>
  <c r="K749" l="1"/>
  <c r="AE749" s="1"/>
  <c r="D749"/>
  <c r="V749" l="1"/>
  <c r="A750"/>
  <c r="B750" s="1"/>
  <c r="F749"/>
  <c r="G749"/>
  <c r="I749" l="1"/>
  <c r="W749" s="1"/>
  <c r="J749"/>
  <c r="M749"/>
  <c r="N749" s="1"/>
  <c r="AA750"/>
  <c r="AC750"/>
  <c r="Z750"/>
  <c r="AD750"/>
  <c r="P750"/>
  <c r="Q750" s="1"/>
  <c r="R750" s="1"/>
  <c r="S750" s="1"/>
  <c r="T750" l="1"/>
  <c r="L749"/>
  <c r="AH750" l="1"/>
  <c r="AG750"/>
  <c r="U749"/>
  <c r="D750" s="1"/>
  <c r="Y748"/>
  <c r="G750" l="1"/>
  <c r="E750"/>
  <c r="H750" s="1"/>
  <c r="F750" l="1"/>
  <c r="I750"/>
  <c r="J750"/>
  <c r="M750"/>
  <c r="N750" s="1"/>
  <c r="K750"/>
  <c r="AE750" s="1"/>
  <c r="V750" l="1"/>
  <c r="W750" s="1"/>
  <c r="A751"/>
  <c r="B751" s="1"/>
  <c r="L750"/>
  <c r="U750" l="1"/>
  <c r="Y749"/>
  <c r="P751"/>
  <c r="Q751" s="1"/>
  <c r="R751" s="1"/>
  <c r="S751" s="1"/>
  <c r="Z751"/>
  <c r="AA751"/>
  <c r="AC751"/>
  <c r="AD751"/>
  <c r="T751" l="1"/>
  <c r="AH751" s="1"/>
  <c r="E751" l="1"/>
  <c r="H751" s="1"/>
  <c r="K751" s="1"/>
  <c r="AE751" s="1"/>
  <c r="AG751"/>
  <c r="D751"/>
  <c r="F751" l="1"/>
  <c r="G751"/>
  <c r="V751"/>
  <c r="A752"/>
  <c r="B752" s="1"/>
  <c r="AA752" l="1"/>
  <c r="AD752"/>
  <c r="Z752"/>
  <c r="AC752"/>
  <c r="P752"/>
  <c r="Q752" s="1"/>
  <c r="R752" s="1"/>
  <c r="S752" s="1"/>
  <c r="I751"/>
  <c r="W751" s="1"/>
  <c r="J751"/>
  <c r="M751"/>
  <c r="N751" s="1"/>
  <c r="L751" l="1"/>
  <c r="T752"/>
  <c r="U751" l="1"/>
  <c r="E752" s="1"/>
  <c r="H752" s="1"/>
  <c r="AG752"/>
  <c r="AH752"/>
  <c r="Y750"/>
  <c r="K752" l="1"/>
  <c r="AE752" s="1"/>
  <c r="D752"/>
  <c r="V752" l="1"/>
  <c r="A753"/>
  <c r="B753" s="1"/>
  <c r="F752"/>
  <c r="G752"/>
  <c r="I752" l="1"/>
  <c r="W752" s="1"/>
  <c r="J752"/>
  <c r="M752"/>
  <c r="N752" s="1"/>
  <c r="AD753"/>
  <c r="AA753"/>
  <c r="Z753"/>
  <c r="P753"/>
  <c r="Q753" s="1"/>
  <c r="R753" s="1"/>
  <c r="S753" s="1"/>
  <c r="AC753"/>
  <c r="T753" l="1"/>
  <c r="L752"/>
  <c r="AG753" l="1"/>
  <c r="U752"/>
  <c r="E753" s="1"/>
  <c r="H753" s="1"/>
  <c r="AH753"/>
  <c r="Y751"/>
  <c r="K753" l="1"/>
  <c r="AE753" s="1"/>
  <c r="D753"/>
  <c r="V753" l="1"/>
  <c r="A754"/>
  <c r="B754" s="1"/>
  <c r="F753"/>
  <c r="G753"/>
  <c r="I753" l="1"/>
  <c r="W753" s="1"/>
  <c r="J753"/>
  <c r="M753"/>
  <c r="N753" s="1"/>
  <c r="AC754"/>
  <c r="P754"/>
  <c r="Q754" s="1"/>
  <c r="R754" s="1"/>
  <c r="S754" s="1"/>
  <c r="Z754"/>
  <c r="AA754"/>
  <c r="T754" l="1"/>
  <c r="L753"/>
  <c r="AG754" l="1"/>
  <c r="AH754"/>
  <c r="U753"/>
  <c r="E754" s="1"/>
  <c r="H754" s="1"/>
  <c r="Y752"/>
  <c r="D754" l="1"/>
  <c r="G754" s="1"/>
  <c r="K754"/>
  <c r="AE754" s="1"/>
  <c r="F754" l="1"/>
  <c r="I754"/>
  <c r="J754"/>
  <c r="AD754" s="1"/>
  <c r="M754"/>
  <c r="N754" s="1"/>
  <c r="V754"/>
  <c r="A755"/>
  <c r="B755" s="1"/>
  <c r="W754" l="1"/>
  <c r="L754"/>
  <c r="AD755"/>
  <c r="AC755"/>
  <c r="AA755"/>
  <c r="P755"/>
  <c r="Q755" s="1"/>
  <c r="R755" s="1"/>
  <c r="S755" s="1"/>
  <c r="Z755"/>
  <c r="T755" l="1"/>
  <c r="U754"/>
  <c r="Y753"/>
  <c r="E755" l="1"/>
  <c r="H755" s="1"/>
  <c r="K755" s="1"/>
  <c r="AE755" s="1"/>
  <c r="AH755"/>
  <c r="AG755"/>
  <c r="D755"/>
  <c r="F755" l="1"/>
  <c r="G755"/>
  <c r="V755"/>
  <c r="A756"/>
  <c r="B756" s="1"/>
  <c r="P756" l="1"/>
  <c r="Q756" s="1"/>
  <c r="R756" s="1"/>
  <c r="S756" s="1"/>
  <c r="Z756"/>
  <c r="AA756"/>
  <c r="AC756"/>
  <c r="AD756"/>
  <c r="I755"/>
  <c r="W755" s="1"/>
  <c r="J755"/>
  <c r="M755"/>
  <c r="N755" s="1"/>
  <c r="T756" l="1"/>
  <c r="L755"/>
  <c r="AG756" l="1"/>
  <c r="U755"/>
  <c r="E756" s="1"/>
  <c r="H756" s="1"/>
  <c r="AH756"/>
  <c r="Y754"/>
  <c r="D756" l="1"/>
  <c r="F756" s="1"/>
  <c r="K756"/>
  <c r="AE756" s="1"/>
  <c r="G756" l="1"/>
  <c r="M756" s="1"/>
  <c r="N756" s="1"/>
  <c r="V756"/>
  <c r="A757"/>
  <c r="B757" s="1"/>
  <c r="I756" l="1"/>
  <c r="W756" s="1"/>
  <c r="J756"/>
  <c r="L756" s="1"/>
  <c r="AD757"/>
  <c r="AC757"/>
  <c r="P757"/>
  <c r="Q757" s="1"/>
  <c r="R757" s="1"/>
  <c r="S757" s="1"/>
  <c r="Z757"/>
  <c r="AA757"/>
  <c r="T757" l="1"/>
  <c r="U756"/>
  <c r="Y755"/>
  <c r="E757" l="1"/>
  <c r="H757" s="1"/>
  <c r="K757" s="1"/>
  <c r="AE757" s="1"/>
  <c r="AH757"/>
  <c r="D757"/>
  <c r="AG757"/>
  <c r="V757" l="1"/>
  <c r="A758"/>
  <c r="B758" s="1"/>
  <c r="F757"/>
  <c r="G757"/>
  <c r="I757" l="1"/>
  <c r="W757" s="1"/>
  <c r="J757"/>
  <c r="M757"/>
  <c r="N757" s="1"/>
  <c r="AA758"/>
  <c r="Z758"/>
  <c r="AD758"/>
  <c r="AC758"/>
  <c r="P758"/>
  <c r="Q758" s="1"/>
  <c r="R758" s="1"/>
  <c r="S758" s="1"/>
  <c r="T758" l="1"/>
  <c r="L757"/>
  <c r="AG758" l="1"/>
  <c r="U757"/>
  <c r="D758" s="1"/>
  <c r="AH758"/>
  <c r="Y756"/>
  <c r="E758" l="1"/>
  <c r="H758" s="1"/>
  <c r="K758" s="1"/>
  <c r="AE758" s="1"/>
  <c r="G758"/>
  <c r="F758" l="1"/>
  <c r="V758"/>
  <c r="A759"/>
  <c r="B759" s="1"/>
  <c r="I758"/>
  <c r="J758"/>
  <c r="M758"/>
  <c r="N758" s="1"/>
  <c r="L758" l="1"/>
  <c r="W758"/>
  <c r="AD759"/>
  <c r="P759"/>
  <c r="Q759" s="1"/>
  <c r="R759" s="1"/>
  <c r="S759" s="1"/>
  <c r="Z759"/>
  <c r="AA759"/>
  <c r="AC759"/>
  <c r="U758" l="1"/>
  <c r="Y757"/>
  <c r="T759"/>
  <c r="D759" l="1"/>
  <c r="G759" s="1"/>
  <c r="AG759"/>
  <c r="E759"/>
  <c r="H759" s="1"/>
  <c r="AH759"/>
  <c r="F759" l="1"/>
  <c r="I759"/>
  <c r="J759"/>
  <c r="M759"/>
  <c r="N759" s="1"/>
  <c r="K759"/>
  <c r="AE759" s="1"/>
  <c r="V759" l="1"/>
  <c r="W759" s="1"/>
  <c r="A760"/>
  <c r="B760" s="1"/>
  <c r="L759"/>
  <c r="U759" l="1"/>
  <c r="Y758"/>
  <c r="AA760"/>
  <c r="AC760"/>
  <c r="Z760"/>
  <c r="P760"/>
  <c r="Q760" s="1"/>
  <c r="R760" s="1"/>
  <c r="S760" s="1"/>
  <c r="AD760"/>
  <c r="T760" l="1"/>
  <c r="E760" s="1"/>
  <c r="H760" s="1"/>
  <c r="AH760" l="1"/>
  <c r="AG760"/>
  <c r="D760"/>
  <c r="G760" s="1"/>
  <c r="K760"/>
  <c r="AE760" s="1"/>
  <c r="F760" l="1"/>
  <c r="I760"/>
  <c r="J760"/>
  <c r="M760"/>
  <c r="N760" s="1"/>
  <c r="V760"/>
  <c r="A761"/>
  <c r="B761" s="1"/>
  <c r="W760" l="1"/>
  <c r="L760"/>
  <c r="P761"/>
  <c r="Q761" s="1"/>
  <c r="R761" s="1"/>
  <c r="S761" s="1"/>
  <c r="Z761"/>
  <c r="AA761"/>
  <c r="AD761"/>
  <c r="AC761"/>
  <c r="T761" l="1"/>
  <c r="U760"/>
  <c r="Y759"/>
  <c r="D761" l="1"/>
  <c r="G761" s="1"/>
  <c r="AG761"/>
  <c r="AH761"/>
  <c r="E761"/>
  <c r="H761" s="1"/>
  <c r="F761" l="1"/>
  <c r="I761"/>
  <c r="J761"/>
  <c r="M761"/>
  <c r="N761" s="1"/>
  <c r="K761"/>
  <c r="AE761" s="1"/>
  <c r="V761" l="1"/>
  <c r="W761" s="1"/>
  <c r="A762"/>
  <c r="B762" s="1"/>
  <c r="L761"/>
  <c r="U761" l="1"/>
  <c r="Y760"/>
  <c r="AA762"/>
  <c r="Z762"/>
  <c r="AC762"/>
  <c r="P762"/>
  <c r="Q762" s="1"/>
  <c r="R762" s="1"/>
  <c r="S762" s="1"/>
  <c r="AD762"/>
  <c r="T762" l="1"/>
  <c r="D762" s="1"/>
  <c r="E762" l="1"/>
  <c r="H762" s="1"/>
  <c r="K762" s="1"/>
  <c r="AE762" s="1"/>
  <c r="AH762"/>
  <c r="AG762"/>
  <c r="G762"/>
  <c r="F762" l="1"/>
  <c r="I762"/>
  <c r="J762"/>
  <c r="M762"/>
  <c r="N762" s="1"/>
  <c r="V762"/>
  <c r="A763"/>
  <c r="B763" s="1"/>
  <c r="W762" l="1"/>
  <c r="L762"/>
  <c r="AC763"/>
  <c r="Z763"/>
  <c r="AA763"/>
  <c r="P763"/>
  <c r="Q763" s="1"/>
  <c r="R763" s="1"/>
  <c r="S763" s="1"/>
  <c r="AD763"/>
  <c r="U762" l="1"/>
  <c r="Y761"/>
  <c r="T763"/>
  <c r="D763" l="1"/>
  <c r="G763" s="1"/>
  <c r="AG763"/>
  <c r="AH763"/>
  <c r="E763"/>
  <c r="H763" s="1"/>
  <c r="K763" s="1"/>
  <c r="AE763" s="1"/>
  <c r="F763" l="1"/>
  <c r="I763"/>
  <c r="J763"/>
  <c r="M763"/>
  <c r="N763" s="1"/>
  <c r="V763"/>
  <c r="A764"/>
  <c r="B764" s="1"/>
  <c r="W763" l="1"/>
  <c r="L763"/>
  <c r="Z764"/>
  <c r="P764"/>
  <c r="Q764" s="1"/>
  <c r="R764" s="1"/>
  <c r="S764" s="1"/>
  <c r="AC764"/>
  <c r="AA764"/>
  <c r="U763" l="1"/>
  <c r="Y762"/>
  <c r="T764"/>
  <c r="E764" l="1"/>
  <c r="H764" s="1"/>
  <c r="K764" s="1"/>
  <c r="AE764" s="1"/>
  <c r="AG764"/>
  <c r="D764"/>
  <c r="AH764"/>
  <c r="F764" l="1"/>
  <c r="G764"/>
  <c r="V764"/>
  <c r="A765"/>
  <c r="B765" s="1"/>
  <c r="P765" l="1"/>
  <c r="Q765" s="1"/>
  <c r="R765" s="1"/>
  <c r="S765" s="1"/>
  <c r="Z765"/>
  <c r="AA765"/>
  <c r="AC765"/>
  <c r="AD765"/>
  <c r="I764"/>
  <c r="W764" s="1"/>
  <c r="J764"/>
  <c r="AD764" s="1"/>
  <c r="M764"/>
  <c r="N764" s="1"/>
  <c r="T765" l="1"/>
  <c r="L764"/>
  <c r="AG765" l="1"/>
  <c r="AH765"/>
  <c r="U764"/>
  <c r="D765" s="1"/>
  <c r="Y763"/>
  <c r="E765" l="1"/>
  <c r="H765" s="1"/>
  <c r="K765" s="1"/>
  <c r="AE765" s="1"/>
  <c r="G765"/>
  <c r="F765" l="1"/>
  <c r="I765"/>
  <c r="J765"/>
  <c r="M765"/>
  <c r="N765" s="1"/>
  <c r="V765"/>
  <c r="A766"/>
  <c r="B766" s="1"/>
  <c r="W765" l="1"/>
  <c r="L765"/>
  <c r="AD766"/>
  <c r="P766"/>
  <c r="Q766" s="1"/>
  <c r="R766" s="1"/>
  <c r="S766" s="1"/>
  <c r="AA766"/>
  <c r="Z766"/>
  <c r="AC766"/>
  <c r="U765" l="1"/>
  <c r="Y764"/>
  <c r="T766"/>
  <c r="E766" l="1"/>
  <c r="H766" s="1"/>
  <c r="K766" s="1"/>
  <c r="AE766" s="1"/>
  <c r="D766"/>
  <c r="AG766"/>
  <c r="AH766"/>
  <c r="V766" l="1"/>
  <c r="A767"/>
  <c r="B767" s="1"/>
  <c r="F766"/>
  <c r="G766"/>
  <c r="I766" l="1"/>
  <c r="W766" s="1"/>
  <c r="J766"/>
  <c r="M766"/>
  <c r="N766" s="1"/>
  <c r="P767"/>
  <c r="Q767" s="1"/>
  <c r="R767" s="1"/>
  <c r="S767" s="1"/>
  <c r="AC767"/>
  <c r="AD767"/>
  <c r="AA767"/>
  <c r="Z767"/>
  <c r="T767" l="1"/>
  <c r="L766"/>
  <c r="AH767" l="1"/>
  <c r="AG767"/>
  <c r="U766"/>
  <c r="D767" s="1"/>
  <c r="Y765"/>
  <c r="E767" l="1"/>
  <c r="H767" s="1"/>
  <c r="K767" s="1"/>
  <c r="AE767" s="1"/>
  <c r="G767"/>
  <c r="F767" l="1"/>
  <c r="I767"/>
  <c r="J767"/>
  <c r="M767"/>
  <c r="N767" s="1"/>
  <c r="V767"/>
  <c r="A768"/>
  <c r="B768" s="1"/>
  <c r="W767" l="1"/>
  <c r="L767"/>
  <c r="AC768"/>
  <c r="AA768"/>
  <c r="AD768"/>
  <c r="P768"/>
  <c r="Q768" s="1"/>
  <c r="R768" s="1"/>
  <c r="S768" s="1"/>
  <c r="Z768"/>
  <c r="T768" l="1"/>
  <c r="AG768" s="1"/>
  <c r="U767"/>
  <c r="Y766"/>
  <c r="D768" l="1"/>
  <c r="G768" s="1"/>
  <c r="AH768"/>
  <c r="E768"/>
  <c r="H768" s="1"/>
  <c r="K768" l="1"/>
  <c r="AE768" s="1"/>
  <c r="I768"/>
  <c r="J768"/>
  <c r="M768"/>
  <c r="N768" s="1"/>
  <c r="F768"/>
  <c r="L768" l="1"/>
  <c r="V768"/>
  <c r="W768" s="1"/>
  <c r="A769"/>
  <c r="B769" s="1"/>
  <c r="AD769" l="1"/>
  <c r="AC769"/>
  <c r="Z769"/>
  <c r="P769"/>
  <c r="Q769" s="1"/>
  <c r="R769" s="1"/>
  <c r="S769" s="1"/>
  <c r="AA769"/>
  <c r="U768"/>
  <c r="Y767"/>
  <c r="T769" l="1"/>
  <c r="AG769" l="1"/>
  <c r="D769"/>
  <c r="AH769"/>
  <c r="E769"/>
  <c r="H769" s="1"/>
  <c r="F769" l="1"/>
  <c r="G769"/>
  <c r="K769"/>
  <c r="AE769" s="1"/>
  <c r="V769" l="1"/>
  <c r="A770"/>
  <c r="B770" s="1"/>
  <c r="I769"/>
  <c r="J769"/>
  <c r="M769"/>
  <c r="N769" s="1"/>
  <c r="W769" l="1"/>
  <c r="L769"/>
  <c r="AC770"/>
  <c r="P770"/>
  <c r="Q770" s="1"/>
  <c r="R770" s="1"/>
  <c r="S770" s="1"/>
  <c r="AD770"/>
  <c r="Z770"/>
  <c r="AA770"/>
  <c r="U769" l="1"/>
  <c r="Y768"/>
  <c r="T770"/>
  <c r="AG770" s="1"/>
  <c r="E770" l="1"/>
  <c r="H770" s="1"/>
  <c r="K770" s="1"/>
  <c r="AE770" s="1"/>
  <c r="D770"/>
  <c r="AH770"/>
  <c r="F770" l="1"/>
  <c r="G770"/>
  <c r="M770" s="1"/>
  <c r="N770" s="1"/>
  <c r="V770"/>
  <c r="A771"/>
  <c r="B771" s="1"/>
  <c r="I770" l="1"/>
  <c r="W770" s="1"/>
  <c r="J770"/>
  <c r="L770" s="1"/>
  <c r="AA771"/>
  <c r="AC771"/>
  <c r="P771"/>
  <c r="Q771" s="1"/>
  <c r="R771" s="1"/>
  <c r="S771" s="1"/>
  <c r="Z771"/>
  <c r="AD771"/>
  <c r="U770" l="1"/>
  <c r="Y769"/>
  <c r="T771"/>
  <c r="AH771" s="1"/>
  <c r="E771" l="1"/>
  <c r="H771" s="1"/>
  <c r="AG771"/>
  <c r="D771"/>
  <c r="K771" l="1"/>
  <c r="AE771" s="1"/>
  <c r="F771"/>
  <c r="G771"/>
  <c r="V771" l="1"/>
  <c r="A772"/>
  <c r="B772" s="1"/>
  <c r="I771"/>
  <c r="J771"/>
  <c r="M771"/>
  <c r="N771" s="1"/>
  <c r="L771" l="1"/>
  <c r="W771"/>
  <c r="AD772"/>
  <c r="AA772"/>
  <c r="Z772"/>
  <c r="AC772"/>
  <c r="P772"/>
  <c r="Q772" s="1"/>
  <c r="R772" s="1"/>
  <c r="S772" s="1"/>
  <c r="U771" l="1"/>
  <c r="Y770"/>
  <c r="T772"/>
  <c r="E772" l="1"/>
  <c r="H772" s="1"/>
  <c r="K772" s="1"/>
  <c r="AE772" s="1"/>
  <c r="D772"/>
  <c r="G772" s="1"/>
  <c r="AG772"/>
  <c r="AH772"/>
  <c r="F772" l="1"/>
  <c r="V772"/>
  <c r="A773"/>
  <c r="B773" s="1"/>
  <c r="I772"/>
  <c r="J772"/>
  <c r="M772"/>
  <c r="N772" s="1"/>
  <c r="W772" l="1"/>
  <c r="L772"/>
  <c r="AA773"/>
  <c r="P773"/>
  <c r="Q773" s="1"/>
  <c r="R773" s="1"/>
  <c r="S773" s="1"/>
  <c r="Z773"/>
  <c r="AD773"/>
  <c r="AC773"/>
  <c r="U772" l="1"/>
  <c r="Y771"/>
  <c r="T773"/>
  <c r="AG773" s="1"/>
  <c r="D773" l="1"/>
  <c r="E773"/>
  <c r="H773" s="1"/>
  <c r="K773" s="1"/>
  <c r="AE773" s="1"/>
  <c r="AH773"/>
  <c r="F773" l="1"/>
  <c r="G773"/>
  <c r="M773" s="1"/>
  <c r="N773" s="1"/>
  <c r="V773"/>
  <c r="A774"/>
  <c r="B774" s="1"/>
  <c r="I773" l="1"/>
  <c r="W773" s="1"/>
  <c r="J773"/>
  <c r="L773" s="1"/>
  <c r="AC774"/>
  <c r="P774"/>
  <c r="Q774" s="1"/>
  <c r="R774" s="1"/>
  <c r="S774" s="1"/>
  <c r="AA774"/>
  <c r="Z774"/>
  <c r="U773" l="1"/>
  <c r="Y772"/>
  <c r="T774"/>
  <c r="AG774" s="1"/>
  <c r="E774" l="1"/>
  <c r="H774" s="1"/>
  <c r="K774" s="1"/>
  <c r="AE774" s="1"/>
  <c r="AH774"/>
  <c r="D774"/>
  <c r="F774" l="1"/>
  <c r="G774"/>
  <c r="M774" s="1"/>
  <c r="N774" s="1"/>
  <c r="V774"/>
  <c r="A775"/>
  <c r="B775" s="1"/>
  <c r="I774" l="1"/>
  <c r="W774" s="1"/>
  <c r="J774"/>
  <c r="P775"/>
  <c r="Q775" s="1"/>
  <c r="R775" s="1"/>
  <c r="S775" s="1"/>
  <c r="Z775"/>
  <c r="AD775"/>
  <c r="AA775"/>
  <c r="AC775"/>
  <c r="L774" l="1"/>
  <c r="Y773" s="1"/>
  <c r="AD774"/>
  <c r="T775"/>
  <c r="U774" l="1"/>
  <c r="D775" s="1"/>
  <c r="AG775"/>
  <c r="AH775"/>
  <c r="E775" l="1"/>
  <c r="H775" s="1"/>
  <c r="K775" s="1"/>
  <c r="AE775" s="1"/>
  <c r="G775"/>
  <c r="M775" l="1"/>
  <c r="N775" s="1"/>
  <c r="A776"/>
  <c r="B776" s="1"/>
  <c r="AD776" s="1"/>
  <c r="V775"/>
  <c r="F775"/>
  <c r="I775"/>
  <c r="J775"/>
  <c r="L775" s="1"/>
  <c r="W775" l="1"/>
  <c r="P776"/>
  <c r="Q776" s="1"/>
  <c r="R776" s="1"/>
  <c r="S776" s="1"/>
  <c r="T776" s="1"/>
  <c r="AA776"/>
  <c r="AC776"/>
  <c r="Z776"/>
  <c r="U775"/>
  <c r="Y774"/>
  <c r="AG776" l="1"/>
  <c r="AH776"/>
  <c r="E776"/>
  <c r="H776" s="1"/>
  <c r="K776" s="1"/>
  <c r="AE776" s="1"/>
  <c r="D776"/>
  <c r="G776" s="1"/>
  <c r="F776" l="1"/>
  <c r="I776"/>
  <c r="J776"/>
  <c r="M776"/>
  <c r="N776" s="1"/>
  <c r="V776"/>
  <c r="A777"/>
  <c r="B777" s="1"/>
  <c r="W776" l="1"/>
  <c r="L776"/>
  <c r="Z777"/>
  <c r="AA777"/>
  <c r="P777"/>
  <c r="Q777" s="1"/>
  <c r="R777" s="1"/>
  <c r="S777" s="1"/>
  <c r="AD777"/>
  <c r="AC777"/>
  <c r="U776" l="1"/>
  <c r="Y775"/>
  <c r="T777"/>
  <c r="AH777" s="1"/>
  <c r="E777" l="1"/>
  <c r="H777" s="1"/>
  <c r="D777"/>
  <c r="AG777"/>
  <c r="K777" l="1"/>
  <c r="AE777" s="1"/>
  <c r="F777"/>
  <c r="G777"/>
  <c r="I777" l="1"/>
  <c r="J777"/>
  <c r="M777"/>
  <c r="N777" s="1"/>
  <c r="V777"/>
  <c r="A778"/>
  <c r="B778" s="1"/>
  <c r="L777" l="1"/>
  <c r="W777"/>
  <c r="P778"/>
  <c r="Q778" s="1"/>
  <c r="R778" s="1"/>
  <c r="S778" s="1"/>
  <c r="Z778"/>
  <c r="AD778"/>
  <c r="AA778"/>
  <c r="AC778"/>
  <c r="U777" l="1"/>
  <c r="Y776"/>
  <c r="T778"/>
  <c r="AH778" s="1"/>
  <c r="E778" l="1"/>
  <c r="H778" s="1"/>
  <c r="K778" s="1"/>
  <c r="AE778" s="1"/>
  <c r="AG778"/>
  <c r="D778"/>
  <c r="G778" s="1"/>
  <c r="F778" l="1"/>
  <c r="I778"/>
  <c r="J778"/>
  <c r="M778"/>
  <c r="N778" s="1"/>
  <c r="V778"/>
  <c r="A779"/>
  <c r="B779" s="1"/>
  <c r="W778" l="1"/>
  <c r="L778"/>
  <c r="P779"/>
  <c r="Q779" s="1"/>
  <c r="R779" s="1"/>
  <c r="S779" s="1"/>
  <c r="AA779"/>
  <c r="AC779"/>
  <c r="AD779"/>
  <c r="Z779"/>
  <c r="U778" l="1"/>
  <c r="Y777"/>
  <c r="T779"/>
  <c r="E779" l="1"/>
  <c r="H779" s="1"/>
  <c r="K779" s="1"/>
  <c r="AE779" s="1"/>
  <c r="AG779"/>
  <c r="AH779"/>
  <c r="D779"/>
  <c r="G779" s="1"/>
  <c r="F779" l="1"/>
  <c r="I779"/>
  <c r="J779"/>
  <c r="M779"/>
  <c r="N779" s="1"/>
  <c r="V779"/>
  <c r="A780"/>
  <c r="B780" s="1"/>
  <c r="W779" l="1"/>
  <c r="L779"/>
  <c r="P780"/>
  <c r="Q780" s="1"/>
  <c r="R780" s="1"/>
  <c r="S780" s="1"/>
  <c r="AD780"/>
  <c r="AA780"/>
  <c r="Z780"/>
  <c r="AC780"/>
  <c r="U779" l="1"/>
  <c r="Y778"/>
  <c r="T780"/>
  <c r="D780" l="1"/>
  <c r="G780" s="1"/>
  <c r="AH780"/>
  <c r="E780"/>
  <c r="H780" s="1"/>
  <c r="K780" s="1"/>
  <c r="AE780" s="1"/>
  <c r="AG780"/>
  <c r="F780" l="1"/>
  <c r="I780"/>
  <c r="J780"/>
  <c r="M780"/>
  <c r="N780" s="1"/>
  <c r="V780"/>
  <c r="A781"/>
  <c r="B781" s="1"/>
  <c r="W780" l="1"/>
  <c r="L780"/>
  <c r="P781"/>
  <c r="Q781" s="1"/>
  <c r="R781" s="1"/>
  <c r="S781" s="1"/>
  <c r="AD781"/>
  <c r="Z781"/>
  <c r="AA781"/>
  <c r="AC781"/>
  <c r="T781" l="1"/>
  <c r="U780"/>
  <c r="Y779"/>
  <c r="E781" l="1"/>
  <c r="H781" s="1"/>
  <c r="K781" s="1"/>
  <c r="AE781" s="1"/>
  <c r="AG781"/>
  <c r="AH781"/>
  <c r="D781"/>
  <c r="F781" l="1"/>
  <c r="G781"/>
  <c r="V781"/>
  <c r="A782"/>
  <c r="B782" s="1"/>
  <c r="P782" l="1"/>
  <c r="Q782" s="1"/>
  <c r="R782" s="1"/>
  <c r="S782" s="1"/>
  <c r="AC782"/>
  <c r="AD782"/>
  <c r="AA782"/>
  <c r="Z782"/>
  <c r="I781"/>
  <c r="W781" s="1"/>
  <c r="J781"/>
  <c r="M781"/>
  <c r="N781" s="1"/>
  <c r="T782" l="1"/>
  <c r="L781"/>
  <c r="U781" l="1"/>
  <c r="D782" s="1"/>
  <c r="AH782"/>
  <c r="AG782"/>
  <c r="Y780"/>
  <c r="E782" l="1"/>
  <c r="H782" s="1"/>
  <c r="K782" s="1"/>
  <c r="AE782" s="1"/>
  <c r="G782"/>
  <c r="F782" l="1"/>
  <c r="I782"/>
  <c r="J782"/>
  <c r="M782"/>
  <c r="N782" s="1"/>
  <c r="V782"/>
  <c r="A783"/>
  <c r="B783" s="1"/>
  <c r="W782" l="1"/>
  <c r="L782"/>
  <c r="AA783"/>
  <c r="Z783"/>
  <c r="P783"/>
  <c r="Q783" s="1"/>
  <c r="R783" s="1"/>
  <c r="S783" s="1"/>
  <c r="AD783"/>
  <c r="AC783"/>
  <c r="U782" l="1"/>
  <c r="Y781"/>
  <c r="T783"/>
  <c r="AH783" s="1"/>
  <c r="AG783" l="1"/>
  <c r="D783"/>
  <c r="G783" s="1"/>
  <c r="E783"/>
  <c r="H783" s="1"/>
  <c r="K783" s="1"/>
  <c r="AE783" s="1"/>
  <c r="F783" l="1"/>
  <c r="I783"/>
  <c r="J783"/>
  <c r="M783"/>
  <c r="N783" s="1"/>
  <c r="V783"/>
  <c r="A784"/>
  <c r="B784" s="1"/>
  <c r="W783" l="1"/>
  <c r="L783"/>
  <c r="AC784"/>
  <c r="Z784"/>
  <c r="P784"/>
  <c r="Q784" s="1"/>
  <c r="R784" s="1"/>
  <c r="S784" s="1"/>
  <c r="AA784"/>
  <c r="T784" l="1"/>
  <c r="AG784" s="1"/>
  <c r="U783"/>
  <c r="Y782"/>
  <c r="E784" l="1"/>
  <c r="H784" s="1"/>
  <c r="AH784"/>
  <c r="D784"/>
  <c r="K784" l="1"/>
  <c r="AE784" s="1"/>
  <c r="F784"/>
  <c r="G784"/>
  <c r="V784" l="1"/>
  <c r="A785"/>
  <c r="B785" s="1"/>
  <c r="I784"/>
  <c r="J784"/>
  <c r="AD784" s="1"/>
  <c r="M784"/>
  <c r="N784" s="1"/>
  <c r="W784" l="1"/>
  <c r="L784"/>
  <c r="AA785"/>
  <c r="AD785"/>
  <c r="P785"/>
  <c r="Q785" s="1"/>
  <c r="R785" s="1"/>
  <c r="S785" s="1"/>
  <c r="AC785"/>
  <c r="Z785"/>
  <c r="U784" l="1"/>
  <c r="Y783"/>
  <c r="T785"/>
  <c r="AH785" s="1"/>
  <c r="E785" l="1"/>
  <c r="H785" s="1"/>
  <c r="AG785"/>
  <c r="D785"/>
  <c r="K785" l="1"/>
  <c r="AE785" s="1"/>
  <c r="F785"/>
  <c r="G785"/>
  <c r="I785" l="1"/>
  <c r="J785"/>
  <c r="M785"/>
  <c r="N785" s="1"/>
  <c r="V785"/>
  <c r="A786"/>
  <c r="B786" s="1"/>
  <c r="W785" l="1"/>
  <c r="L785"/>
  <c r="Z786"/>
  <c r="AD786"/>
  <c r="AA786"/>
  <c r="P786"/>
  <c r="Q786" s="1"/>
  <c r="R786" s="1"/>
  <c r="S786" s="1"/>
  <c r="AC786"/>
  <c r="U785" l="1"/>
  <c r="Y784"/>
  <c r="T786"/>
  <c r="E786" l="1"/>
  <c r="H786" s="1"/>
  <c r="K786" s="1"/>
  <c r="AE786" s="1"/>
  <c r="AG786"/>
  <c r="D786"/>
  <c r="G786" s="1"/>
  <c r="AH786"/>
  <c r="F786" l="1"/>
  <c r="I786"/>
  <c r="J786"/>
  <c r="M786"/>
  <c r="N786" s="1"/>
  <c r="V786"/>
  <c r="A787"/>
  <c r="B787" s="1"/>
  <c r="L786" l="1"/>
  <c r="W786"/>
  <c r="AC787"/>
  <c r="P787"/>
  <c r="Q787" s="1"/>
  <c r="R787" s="1"/>
  <c r="S787" s="1"/>
  <c r="Z787"/>
  <c r="AD787"/>
  <c r="AA787"/>
  <c r="U786" l="1"/>
  <c r="Y785"/>
  <c r="T787"/>
  <c r="D787" l="1"/>
  <c r="G787" s="1"/>
  <c r="AH787"/>
  <c r="E787"/>
  <c r="H787" s="1"/>
  <c r="AG787"/>
  <c r="F787" l="1"/>
  <c r="I787"/>
  <c r="J787"/>
  <c r="M787"/>
  <c r="N787" s="1"/>
  <c r="K787"/>
  <c r="AE787" s="1"/>
  <c r="V787" l="1"/>
  <c r="W787" s="1"/>
  <c r="A788"/>
  <c r="B788" s="1"/>
  <c r="L787"/>
  <c r="U787" l="1"/>
  <c r="Y786"/>
  <c r="AC788"/>
  <c r="Z788"/>
  <c r="AD788"/>
  <c r="AA788"/>
  <c r="P788"/>
  <c r="Q788" s="1"/>
  <c r="R788" s="1"/>
  <c r="S788" s="1"/>
  <c r="T788" l="1"/>
  <c r="E788" s="1"/>
  <c r="H788" s="1"/>
  <c r="D788" l="1"/>
  <c r="F788" s="1"/>
  <c r="AG788"/>
  <c r="AH788"/>
  <c r="K788"/>
  <c r="AE788" s="1"/>
  <c r="G788" l="1"/>
  <c r="I788" s="1"/>
  <c r="V788"/>
  <c r="A789"/>
  <c r="B789" s="1"/>
  <c r="M788" l="1"/>
  <c r="N788" s="1"/>
  <c r="J788"/>
  <c r="L788" s="1"/>
  <c r="W788"/>
  <c r="P789"/>
  <c r="Q789" s="1"/>
  <c r="R789" s="1"/>
  <c r="S789" s="1"/>
  <c r="AC789"/>
  <c r="AD789"/>
  <c r="AA789"/>
  <c r="Z789"/>
  <c r="U788" l="1"/>
  <c r="Y787"/>
  <c r="T789"/>
  <c r="D789" l="1"/>
  <c r="G789" s="1"/>
  <c r="E789"/>
  <c r="H789" s="1"/>
  <c r="AH789"/>
  <c r="AG789"/>
  <c r="F789" l="1"/>
  <c r="I789"/>
  <c r="J789"/>
  <c r="M789"/>
  <c r="N789" s="1"/>
  <c r="K789"/>
  <c r="AE789" s="1"/>
  <c r="L789" l="1"/>
  <c r="V789"/>
  <c r="W789" s="1"/>
  <c r="A790"/>
  <c r="B790" s="1"/>
  <c r="AA790" l="1"/>
  <c r="AC790"/>
  <c r="Z790"/>
  <c r="AD790"/>
  <c r="P790"/>
  <c r="Q790" s="1"/>
  <c r="R790" s="1"/>
  <c r="S790" s="1"/>
  <c r="U789"/>
  <c r="Y788"/>
  <c r="T790" l="1"/>
  <c r="D790" s="1"/>
  <c r="AG790" l="1"/>
  <c r="G790"/>
  <c r="AH790"/>
  <c r="E790"/>
  <c r="H790" s="1"/>
  <c r="F790" l="1"/>
  <c r="I790"/>
  <c r="J790"/>
  <c r="M790"/>
  <c r="N790" s="1"/>
  <c r="K790"/>
  <c r="AE790" s="1"/>
  <c r="V790" l="1"/>
  <c r="W790" s="1"/>
  <c r="A791"/>
  <c r="B791" s="1"/>
  <c r="L790"/>
  <c r="U790" l="1"/>
  <c r="Y789"/>
  <c r="AD791"/>
  <c r="P791"/>
  <c r="Q791" s="1"/>
  <c r="R791" s="1"/>
  <c r="S791" s="1"/>
  <c r="AA791"/>
  <c r="AC791"/>
  <c r="Z791"/>
  <c r="T791" l="1"/>
  <c r="AG791" s="1"/>
  <c r="E791" l="1"/>
  <c r="H791" s="1"/>
  <c r="K791" s="1"/>
  <c r="AE791" s="1"/>
  <c r="D791"/>
  <c r="G791" s="1"/>
  <c r="AH791"/>
  <c r="F791" l="1"/>
  <c r="I791"/>
  <c r="J791"/>
  <c r="M791"/>
  <c r="N791" s="1"/>
  <c r="V791"/>
  <c r="A792"/>
  <c r="B792" s="1"/>
  <c r="W791" l="1"/>
  <c r="L791"/>
  <c r="P792"/>
  <c r="Q792" s="1"/>
  <c r="R792" s="1"/>
  <c r="S792" s="1"/>
  <c r="AC792"/>
  <c r="AD792"/>
  <c r="Z792"/>
  <c r="AA792"/>
  <c r="U791" l="1"/>
  <c r="Y790"/>
  <c r="T792"/>
  <c r="AG792" s="1"/>
  <c r="AH792" l="1"/>
  <c r="D792"/>
  <c r="E792"/>
  <c r="H792" s="1"/>
  <c r="F792" l="1"/>
  <c r="G792"/>
  <c r="K792"/>
  <c r="AE792" s="1"/>
  <c r="I792" l="1"/>
  <c r="J792"/>
  <c r="M792"/>
  <c r="N792" s="1"/>
  <c r="V792"/>
  <c r="A793"/>
  <c r="B793" s="1"/>
  <c r="L792" l="1"/>
  <c r="W792"/>
  <c r="AD793"/>
  <c r="AC793"/>
  <c r="Z793"/>
  <c r="P793"/>
  <c r="Q793" s="1"/>
  <c r="R793" s="1"/>
  <c r="S793" s="1"/>
  <c r="AA793"/>
  <c r="T793" l="1"/>
  <c r="U792"/>
  <c r="Y791"/>
  <c r="E793" l="1"/>
  <c r="H793" s="1"/>
  <c r="K793" s="1"/>
  <c r="AE793" s="1"/>
  <c r="D793"/>
  <c r="AG793"/>
  <c r="AH793"/>
  <c r="F793" l="1"/>
  <c r="G793"/>
  <c r="M793" s="1"/>
  <c r="N793" s="1"/>
  <c r="V793"/>
  <c r="A794"/>
  <c r="B794" s="1"/>
  <c r="I793" l="1"/>
  <c r="W793" s="1"/>
  <c r="J793"/>
  <c r="L793" s="1"/>
  <c r="Z794"/>
  <c r="AC794"/>
  <c r="P794"/>
  <c r="Q794" s="1"/>
  <c r="R794" s="1"/>
  <c r="S794" s="1"/>
  <c r="AA794"/>
  <c r="T794" l="1"/>
  <c r="AH794" s="1"/>
  <c r="U793"/>
  <c r="Y792"/>
  <c r="AG794" l="1"/>
  <c r="D794"/>
  <c r="E794"/>
  <c r="H794" s="1"/>
  <c r="F794" l="1"/>
  <c r="G794"/>
  <c r="K794"/>
  <c r="AE794" s="1"/>
  <c r="I794" l="1"/>
  <c r="J794"/>
  <c r="AD794" s="1"/>
  <c r="M794"/>
  <c r="N794" s="1"/>
  <c r="V794"/>
  <c r="A795"/>
  <c r="B795" s="1"/>
  <c r="L794" l="1"/>
  <c r="W794"/>
  <c r="P795"/>
  <c r="Q795" s="1"/>
  <c r="R795" s="1"/>
  <c r="S795" s="1"/>
  <c r="AD795"/>
  <c r="Z795"/>
  <c r="AA795"/>
  <c r="AC795"/>
  <c r="T795" l="1"/>
  <c r="U794"/>
  <c r="Y793"/>
  <c r="D795" l="1"/>
  <c r="G795" s="1"/>
  <c r="E795"/>
  <c r="H795" s="1"/>
  <c r="K795" s="1"/>
  <c r="AE795" s="1"/>
  <c r="AH795"/>
  <c r="AG795"/>
  <c r="F795" l="1"/>
  <c r="I795"/>
  <c r="J795"/>
  <c r="M795"/>
  <c r="N795" s="1"/>
  <c r="V795"/>
  <c r="A796"/>
  <c r="B796" s="1"/>
  <c r="W795" l="1"/>
  <c r="L795"/>
  <c r="Z796"/>
  <c r="AA796"/>
  <c r="AD796"/>
  <c r="AC796"/>
  <c r="P796"/>
  <c r="Q796" s="1"/>
  <c r="R796" s="1"/>
  <c r="S796" s="1"/>
  <c r="T796" l="1"/>
  <c r="U795"/>
  <c r="Y794"/>
  <c r="E796" l="1"/>
  <c r="H796" s="1"/>
  <c r="K796" s="1"/>
  <c r="AE796" s="1"/>
  <c r="AH796"/>
  <c r="AG796"/>
  <c r="D796"/>
  <c r="F796" l="1"/>
  <c r="G796"/>
  <c r="V796"/>
  <c r="A797"/>
  <c r="B797" s="1"/>
  <c r="I796" l="1"/>
  <c r="W796" s="1"/>
  <c r="J796"/>
  <c r="M796"/>
  <c r="N796" s="1"/>
  <c r="P797"/>
  <c r="Q797" s="1"/>
  <c r="R797" s="1"/>
  <c r="S797" s="1"/>
  <c r="AA797"/>
  <c r="AC797"/>
  <c r="Z797"/>
  <c r="AD797"/>
  <c r="T797" l="1"/>
  <c r="L796"/>
  <c r="AH797" l="1"/>
  <c r="AG797"/>
  <c r="U796"/>
  <c r="E797" s="1"/>
  <c r="H797" s="1"/>
  <c r="Y795"/>
  <c r="D797" l="1"/>
  <c r="G797" s="1"/>
  <c r="K797"/>
  <c r="AE797" s="1"/>
  <c r="F797" l="1"/>
  <c r="I797"/>
  <c r="J797"/>
  <c r="M797"/>
  <c r="N797" s="1"/>
  <c r="V797"/>
  <c r="A798"/>
  <c r="B798" s="1"/>
  <c r="W797" l="1"/>
  <c r="L797"/>
  <c r="Z798"/>
  <c r="AA798"/>
  <c r="P798"/>
  <c r="Q798" s="1"/>
  <c r="R798" s="1"/>
  <c r="S798" s="1"/>
  <c r="AC798"/>
  <c r="AD798"/>
  <c r="T798" l="1"/>
  <c r="U797"/>
  <c r="Y796"/>
  <c r="E798" l="1"/>
  <c r="H798" s="1"/>
  <c r="K798" s="1"/>
  <c r="AE798" s="1"/>
  <c r="D798"/>
  <c r="G798" s="1"/>
  <c r="AH798"/>
  <c r="AG798"/>
  <c r="F798" l="1"/>
  <c r="I798"/>
  <c r="J798"/>
  <c r="M798"/>
  <c r="N798" s="1"/>
  <c r="V798"/>
  <c r="A799"/>
  <c r="B799" s="1"/>
  <c r="W798" l="1"/>
  <c r="L798"/>
  <c r="Z799"/>
  <c r="P799"/>
  <c r="Q799" s="1"/>
  <c r="R799" s="1"/>
  <c r="S799" s="1"/>
  <c r="AD799"/>
  <c r="AC799"/>
  <c r="AA799"/>
  <c r="T799" l="1"/>
  <c r="AH799" s="1"/>
  <c r="U798"/>
  <c r="Y797"/>
  <c r="AG799" l="1"/>
  <c r="E799"/>
  <c r="H799" s="1"/>
  <c r="D799"/>
  <c r="K799" l="1"/>
  <c r="AE799" s="1"/>
  <c r="F799"/>
  <c r="G799"/>
  <c r="V799" l="1"/>
  <c r="A800"/>
  <c r="B800" s="1"/>
  <c r="I799"/>
  <c r="J799"/>
  <c r="M799"/>
  <c r="N799" s="1"/>
  <c r="W799" l="1"/>
  <c r="L799"/>
  <c r="AC800"/>
  <c r="AA800"/>
  <c r="P800"/>
  <c r="Q800" s="1"/>
  <c r="R800" s="1"/>
  <c r="S800" s="1"/>
  <c r="AD800"/>
  <c r="Z800"/>
  <c r="U799" l="1"/>
  <c r="Y798"/>
  <c r="T800"/>
  <c r="E800" l="1"/>
  <c r="H800" s="1"/>
  <c r="K800" s="1"/>
  <c r="AE800" s="1"/>
  <c r="D800"/>
  <c r="AG800"/>
  <c r="AH800"/>
  <c r="V800" l="1"/>
  <c r="A801"/>
  <c r="B801" s="1"/>
  <c r="F800"/>
  <c r="G800"/>
  <c r="I800" l="1"/>
  <c r="W800" s="1"/>
  <c r="J800"/>
  <c r="M800"/>
  <c r="N800" s="1"/>
  <c r="AA801"/>
  <c r="AD801"/>
  <c r="Z801"/>
  <c r="P801"/>
  <c r="Q801" s="1"/>
  <c r="R801" s="1"/>
  <c r="S801" s="1"/>
  <c r="AC801"/>
  <c r="L800" l="1"/>
  <c r="T801"/>
  <c r="AG801" l="1"/>
  <c r="AH801"/>
  <c r="U800"/>
  <c r="E801" s="1"/>
  <c r="H801" s="1"/>
  <c r="Y799"/>
  <c r="D801" l="1"/>
  <c r="G801" s="1"/>
  <c r="K801"/>
  <c r="AE801" s="1"/>
  <c r="F801" l="1"/>
  <c r="I801"/>
  <c r="J801"/>
  <c r="M801"/>
  <c r="N801" s="1"/>
  <c r="V801"/>
  <c r="A802"/>
  <c r="B802" s="1"/>
  <c r="W801" l="1"/>
  <c r="L801"/>
  <c r="Z802"/>
  <c r="P802"/>
  <c r="Q802" s="1"/>
  <c r="R802" s="1"/>
  <c r="S802" s="1"/>
  <c r="AA802"/>
  <c r="AD802"/>
  <c r="AC802"/>
  <c r="U801" l="1"/>
  <c r="Y800"/>
  <c r="T802"/>
  <c r="AG802" s="1"/>
  <c r="E802" l="1"/>
  <c r="H802" s="1"/>
  <c r="D802"/>
  <c r="AH802"/>
  <c r="K802" l="1"/>
  <c r="AE802" s="1"/>
  <c r="F802"/>
  <c r="G802"/>
  <c r="I802" l="1"/>
  <c r="J802"/>
  <c r="M802"/>
  <c r="N802" s="1"/>
  <c r="V802"/>
  <c r="A803"/>
  <c r="B803" s="1"/>
  <c r="L802" l="1"/>
  <c r="W802"/>
  <c r="Z803"/>
  <c r="AD803"/>
  <c r="AA803"/>
  <c r="AC803"/>
  <c r="P803"/>
  <c r="Q803" s="1"/>
  <c r="R803" s="1"/>
  <c r="S803" s="1"/>
  <c r="U802" l="1"/>
  <c r="Y801"/>
  <c r="T803"/>
  <c r="AG803" s="1"/>
  <c r="AH803" l="1"/>
  <c r="D803"/>
  <c r="E803"/>
  <c r="H803" s="1"/>
  <c r="F803" l="1"/>
  <c r="G803"/>
  <c r="K803"/>
  <c r="AE803" s="1"/>
  <c r="V803" l="1"/>
  <c r="A804"/>
  <c r="B804" s="1"/>
  <c r="I803"/>
  <c r="J803"/>
  <c r="M803"/>
  <c r="N803" s="1"/>
  <c r="L803" l="1"/>
  <c r="W803"/>
  <c r="AC804"/>
  <c r="P804"/>
  <c r="Q804" s="1"/>
  <c r="R804" s="1"/>
  <c r="S804" s="1"/>
  <c r="AA804"/>
  <c r="Z804"/>
  <c r="U803" l="1"/>
  <c r="Y802"/>
  <c r="T804"/>
  <c r="AH804" s="1"/>
  <c r="D804" l="1"/>
  <c r="G804" s="1"/>
  <c r="AG804"/>
  <c r="E804"/>
  <c r="H804" s="1"/>
  <c r="K804" s="1"/>
  <c r="AE804" s="1"/>
  <c r="F804" l="1"/>
  <c r="I804"/>
  <c r="J804"/>
  <c r="AD804" s="1"/>
  <c r="M804"/>
  <c r="N804" s="1"/>
  <c r="V804"/>
  <c r="A805"/>
  <c r="B805" s="1"/>
  <c r="W804" l="1"/>
  <c r="L804"/>
  <c r="Z805"/>
  <c r="P805"/>
  <c r="Q805" s="1"/>
  <c r="R805" s="1"/>
  <c r="S805" s="1"/>
  <c r="AD805"/>
  <c r="AC805"/>
  <c r="AA805"/>
  <c r="T805" l="1"/>
  <c r="AH805" s="1"/>
  <c r="U804"/>
  <c r="Y803"/>
  <c r="E805" l="1"/>
  <c r="H805" s="1"/>
  <c r="AG805"/>
  <c r="D805"/>
  <c r="K805" l="1"/>
  <c r="AE805" s="1"/>
  <c r="F805"/>
  <c r="G805"/>
  <c r="I805" l="1"/>
  <c r="J805"/>
  <c r="M805"/>
  <c r="N805" s="1"/>
  <c r="V805"/>
  <c r="A806"/>
  <c r="B806" s="1"/>
  <c r="W805" l="1"/>
  <c r="L805"/>
  <c r="Z806"/>
  <c r="AA806"/>
  <c r="P806"/>
  <c r="Q806" s="1"/>
  <c r="R806" s="1"/>
  <c r="S806" s="1"/>
  <c r="AC806"/>
  <c r="AD806"/>
  <c r="T806" l="1"/>
  <c r="U805"/>
  <c r="Y804"/>
  <c r="D806" l="1"/>
  <c r="G806" s="1"/>
  <c r="AH806"/>
  <c r="AG806"/>
  <c r="E806"/>
  <c r="H806" s="1"/>
  <c r="K806" l="1"/>
  <c r="AE806" s="1"/>
  <c r="I806"/>
  <c r="J806"/>
  <c r="M806"/>
  <c r="N806" s="1"/>
  <c r="F806"/>
  <c r="L806" l="1"/>
  <c r="V806"/>
  <c r="W806" s="1"/>
  <c r="A807"/>
  <c r="B807" s="1"/>
  <c r="AC807" l="1"/>
  <c r="P807"/>
  <c r="Q807" s="1"/>
  <c r="R807" s="1"/>
  <c r="S807" s="1"/>
  <c r="AA807"/>
  <c r="AD807"/>
  <c r="Z807"/>
  <c r="U806"/>
  <c r="Y805"/>
  <c r="T807" l="1"/>
  <c r="AH807" l="1"/>
  <c r="AG807"/>
  <c r="E807"/>
  <c r="H807" s="1"/>
  <c r="D807"/>
  <c r="K807" l="1"/>
  <c r="AE807" s="1"/>
  <c r="F807"/>
  <c r="G807"/>
  <c r="I807" l="1"/>
  <c r="J807"/>
  <c r="M807"/>
  <c r="N807" s="1"/>
  <c r="V807"/>
  <c r="A808"/>
  <c r="B808" s="1"/>
  <c r="W807" l="1"/>
  <c r="L807"/>
  <c r="P808"/>
  <c r="Q808" s="1"/>
  <c r="R808" s="1"/>
  <c r="S808" s="1"/>
  <c r="AA808"/>
  <c r="Z808"/>
  <c r="AD808"/>
  <c r="AC808"/>
  <c r="U807" l="1"/>
  <c r="Y806"/>
  <c r="T808"/>
  <c r="AH808" s="1"/>
  <c r="D808" l="1"/>
  <c r="G808" s="1"/>
  <c r="E808"/>
  <c r="H808" s="1"/>
  <c r="K808" s="1"/>
  <c r="AE808" s="1"/>
  <c r="AG808"/>
  <c r="F808" l="1"/>
  <c r="I808"/>
  <c r="J808"/>
  <c r="M808"/>
  <c r="N808" s="1"/>
  <c r="V808"/>
  <c r="A809"/>
  <c r="B809" s="1"/>
  <c r="W808" l="1"/>
  <c r="AC809"/>
  <c r="Z809"/>
  <c r="AA809"/>
  <c r="P809"/>
  <c r="Q809" s="1"/>
  <c r="R809" s="1"/>
  <c r="S809" s="1"/>
  <c r="AD809"/>
  <c r="L808"/>
  <c r="T809" l="1"/>
  <c r="U808"/>
  <c r="Y807"/>
  <c r="E809" l="1"/>
  <c r="H809" s="1"/>
  <c r="K809" s="1"/>
  <c r="AE809" s="1"/>
  <c r="AG809"/>
  <c r="D809"/>
  <c r="AH809"/>
  <c r="V809" l="1"/>
  <c r="A810"/>
  <c r="B810" s="1"/>
  <c r="F809"/>
  <c r="G809"/>
  <c r="I809" l="1"/>
  <c r="W809" s="1"/>
  <c r="J809"/>
  <c r="M809"/>
  <c r="N809" s="1"/>
  <c r="AD810"/>
  <c r="P810"/>
  <c r="Q810" s="1"/>
  <c r="R810" s="1"/>
  <c r="S810" s="1"/>
  <c r="AA810"/>
  <c r="AC810"/>
  <c r="Z810"/>
  <c r="T810" l="1"/>
  <c r="L809"/>
  <c r="AH810" l="1"/>
  <c r="AG810"/>
  <c r="U809"/>
  <c r="E810" s="1"/>
  <c r="H810" s="1"/>
  <c r="Y808"/>
  <c r="D810" l="1"/>
  <c r="G810" s="1"/>
  <c r="K810"/>
  <c r="AE810" s="1"/>
  <c r="F810" l="1"/>
  <c r="I810"/>
  <c r="J810"/>
  <c r="M810"/>
  <c r="N810" s="1"/>
  <c r="V810"/>
  <c r="A811"/>
  <c r="B811" s="1"/>
  <c r="L810" l="1"/>
  <c r="W810"/>
  <c r="AA811"/>
  <c r="P811"/>
  <c r="Q811" s="1"/>
  <c r="R811" s="1"/>
  <c r="S811" s="1"/>
  <c r="Z811"/>
  <c r="AD811"/>
  <c r="AC811"/>
  <c r="U810" l="1"/>
  <c r="Y809"/>
  <c r="T811"/>
  <c r="E811" l="1"/>
  <c r="H811" s="1"/>
  <c r="K811" s="1"/>
  <c r="AE811" s="1"/>
  <c r="AH811"/>
  <c r="AG811"/>
  <c r="D811"/>
  <c r="V811" l="1"/>
  <c r="A812"/>
  <c r="B812" s="1"/>
  <c r="F811"/>
  <c r="G811"/>
  <c r="I811" l="1"/>
  <c r="W811" s="1"/>
  <c r="J811"/>
  <c r="M811"/>
  <c r="N811" s="1"/>
  <c r="Z812"/>
  <c r="AA812"/>
  <c r="AD812"/>
  <c r="P812"/>
  <c r="Q812" s="1"/>
  <c r="R812" s="1"/>
  <c r="S812" s="1"/>
  <c r="AC812"/>
  <c r="T812" l="1"/>
  <c r="L811"/>
  <c r="AG812" l="1"/>
  <c r="U811"/>
  <c r="D812" s="1"/>
  <c r="AH812"/>
  <c r="Y810"/>
  <c r="G812" l="1"/>
  <c r="E812"/>
  <c r="H812" s="1"/>
  <c r="I812" l="1"/>
  <c r="J812"/>
  <c r="M812"/>
  <c r="N812" s="1"/>
  <c r="F812"/>
  <c r="K812"/>
  <c r="AE812" s="1"/>
  <c r="L812" l="1"/>
  <c r="V812"/>
  <c r="W812" s="1"/>
  <c r="A813"/>
  <c r="B813" s="1"/>
  <c r="U812" l="1"/>
  <c r="Y811"/>
  <c r="AA813"/>
  <c r="P813"/>
  <c r="Q813" s="1"/>
  <c r="R813" s="1"/>
  <c r="S813" s="1"/>
  <c r="Z813"/>
  <c r="AC813"/>
  <c r="AD813"/>
  <c r="T813" l="1"/>
  <c r="AG813" s="1"/>
  <c r="AH813" l="1"/>
  <c r="D813"/>
  <c r="E813"/>
  <c r="H813" s="1"/>
  <c r="F813" l="1"/>
  <c r="G813"/>
  <c r="K813"/>
  <c r="AE813" s="1"/>
  <c r="I813" l="1"/>
  <c r="J813"/>
  <c r="M813"/>
  <c r="N813" s="1"/>
  <c r="V813"/>
  <c r="A814"/>
  <c r="B814" s="1"/>
  <c r="W813" l="1"/>
  <c r="L813"/>
  <c r="P814"/>
  <c r="Q814" s="1"/>
  <c r="R814" s="1"/>
  <c r="S814" s="1"/>
  <c r="AA814"/>
  <c r="Z814"/>
  <c r="AC814"/>
  <c r="U813" l="1"/>
  <c r="Y812"/>
  <c r="T814"/>
  <c r="D814" l="1"/>
  <c r="G814" s="1"/>
  <c r="E814"/>
  <c r="H814" s="1"/>
  <c r="K814" s="1"/>
  <c r="AE814" s="1"/>
  <c r="AH814"/>
  <c r="AG814"/>
  <c r="F814" l="1"/>
  <c r="I814"/>
  <c r="J814"/>
  <c r="AD814" s="1"/>
  <c r="M814"/>
  <c r="N814" s="1"/>
  <c r="V814"/>
  <c r="A815"/>
  <c r="B815" s="1"/>
  <c r="W814" l="1"/>
  <c r="L814"/>
  <c r="AA815"/>
  <c r="AD815"/>
  <c r="AC815"/>
  <c r="Z815"/>
  <c r="P815"/>
  <c r="Q815" s="1"/>
  <c r="R815" s="1"/>
  <c r="S815" s="1"/>
  <c r="T815" l="1"/>
  <c r="AH815" s="1"/>
  <c r="U814"/>
  <c r="Y813"/>
  <c r="AG815" l="1"/>
  <c r="E815"/>
  <c r="H815" s="1"/>
  <c r="D815"/>
  <c r="K815" l="1"/>
  <c r="AE815" s="1"/>
  <c r="F815"/>
  <c r="G815"/>
  <c r="V815" l="1"/>
  <c r="A816"/>
  <c r="B816" s="1"/>
  <c r="I815"/>
  <c r="J815"/>
  <c r="M815"/>
  <c r="N815" s="1"/>
  <c r="W815" l="1"/>
  <c r="L815"/>
  <c r="P816"/>
  <c r="Q816" s="1"/>
  <c r="R816" s="1"/>
  <c r="S816" s="1"/>
  <c r="AC816"/>
  <c r="AD816"/>
  <c r="AA816"/>
  <c r="Z816"/>
  <c r="T816" l="1"/>
  <c r="U815"/>
  <c r="Y814"/>
  <c r="E816" l="1"/>
  <c r="H816" s="1"/>
  <c r="K816" s="1"/>
  <c r="AE816" s="1"/>
  <c r="D816"/>
  <c r="G816" s="1"/>
  <c r="AG816"/>
  <c r="AH816"/>
  <c r="F816" l="1"/>
  <c r="I816"/>
  <c r="J816"/>
  <c r="M816"/>
  <c r="N816" s="1"/>
  <c r="V816"/>
  <c r="A817"/>
  <c r="B817" s="1"/>
  <c r="W816" l="1"/>
  <c r="L816"/>
  <c r="P817"/>
  <c r="Q817" s="1"/>
  <c r="R817" s="1"/>
  <c r="S817" s="1"/>
  <c r="AD817"/>
  <c r="Z817"/>
  <c r="AA817"/>
  <c r="AC817"/>
  <c r="U816" l="1"/>
  <c r="Y815"/>
  <c r="T817"/>
  <c r="AG817" s="1"/>
  <c r="E817" l="1"/>
  <c r="H817" s="1"/>
  <c r="AH817"/>
  <c r="D817"/>
  <c r="F817" l="1"/>
  <c r="G817"/>
  <c r="K817"/>
  <c r="AE817" s="1"/>
  <c r="V817" l="1"/>
  <c r="A818"/>
  <c r="B818" s="1"/>
  <c r="I817"/>
  <c r="J817"/>
  <c r="M817"/>
  <c r="N817" s="1"/>
  <c r="W817" l="1"/>
  <c r="L817"/>
  <c r="AD818"/>
  <c r="Z818"/>
  <c r="AA818"/>
  <c r="P818"/>
  <c r="Q818" s="1"/>
  <c r="R818" s="1"/>
  <c r="S818" s="1"/>
  <c r="AC818"/>
  <c r="T818" l="1"/>
  <c r="E818" s="1"/>
  <c r="H818" s="1"/>
  <c r="U817"/>
  <c r="Y816"/>
  <c r="D818" l="1"/>
  <c r="G818" s="1"/>
  <c r="K818"/>
  <c r="AE818" s="1"/>
  <c r="AH818"/>
  <c r="AG818"/>
  <c r="F818" l="1"/>
  <c r="V818"/>
  <c r="A819"/>
  <c r="B819" s="1"/>
  <c r="I818"/>
  <c r="J818"/>
  <c r="M818"/>
  <c r="N818" s="1"/>
  <c r="W818" l="1"/>
  <c r="L818"/>
  <c r="AD819"/>
  <c r="AC819"/>
  <c r="AA819"/>
  <c r="Z819"/>
  <c r="P819"/>
  <c r="Q819" s="1"/>
  <c r="R819" s="1"/>
  <c r="S819" s="1"/>
  <c r="T819" l="1"/>
  <c r="AG819" s="1"/>
  <c r="U818"/>
  <c r="Y817"/>
  <c r="AH819" l="1"/>
  <c r="E819"/>
  <c r="H819" s="1"/>
  <c r="K819" s="1"/>
  <c r="AE819" s="1"/>
  <c r="D819"/>
  <c r="V819" l="1"/>
  <c r="A820"/>
  <c r="B820" s="1"/>
  <c r="F819"/>
  <c r="G819"/>
  <c r="I819" l="1"/>
  <c r="W819" s="1"/>
  <c r="J819"/>
  <c r="M819"/>
  <c r="N819" s="1"/>
  <c r="Z820"/>
  <c r="AD820"/>
  <c r="AA820"/>
  <c r="P820"/>
  <c r="Q820" s="1"/>
  <c r="R820" s="1"/>
  <c r="S820" s="1"/>
  <c r="AC820"/>
  <c r="T820" l="1"/>
  <c r="L819"/>
  <c r="U819" l="1"/>
  <c r="E820" s="1"/>
  <c r="H820" s="1"/>
  <c r="AG820"/>
  <c r="AH820"/>
  <c r="Y818"/>
  <c r="D820" l="1"/>
  <c r="G820" s="1"/>
  <c r="K820"/>
  <c r="AE820" s="1"/>
  <c r="F820" l="1"/>
  <c r="I820"/>
  <c r="J820"/>
  <c r="M820"/>
  <c r="N820" s="1"/>
  <c r="V820"/>
  <c r="A821"/>
  <c r="B821" s="1"/>
  <c r="W820" l="1"/>
  <c r="L820"/>
  <c r="P821"/>
  <c r="Q821" s="1"/>
  <c r="R821" s="1"/>
  <c r="S821" s="1"/>
  <c r="AA821"/>
  <c r="Z821"/>
  <c r="AD821"/>
  <c r="AC821"/>
  <c r="U820" l="1"/>
  <c r="Y819"/>
  <c r="T821"/>
  <c r="AH821" s="1"/>
  <c r="AG821" l="1"/>
  <c r="D821"/>
  <c r="G821" s="1"/>
  <c r="E821"/>
  <c r="H821" s="1"/>
  <c r="F821" l="1"/>
  <c r="K821"/>
  <c r="AE821" s="1"/>
  <c r="I821"/>
  <c r="J821"/>
  <c r="M821"/>
  <c r="N821" s="1"/>
  <c r="L821" l="1"/>
  <c r="V821"/>
  <c r="W821" s="1"/>
  <c r="A822"/>
  <c r="B822" s="1"/>
  <c r="P822" l="1"/>
  <c r="Q822" s="1"/>
  <c r="R822" s="1"/>
  <c r="S822" s="1"/>
  <c r="AA822"/>
  <c r="Z822"/>
  <c r="AC822"/>
  <c r="AD822"/>
  <c r="U821"/>
  <c r="Y820"/>
  <c r="T822" l="1"/>
  <c r="AH822" s="1"/>
  <c r="D822" l="1"/>
  <c r="E822"/>
  <c r="H822" s="1"/>
  <c r="AG822"/>
  <c r="K822" l="1"/>
  <c r="AE822" s="1"/>
  <c r="F822"/>
  <c r="G822"/>
  <c r="I822" l="1"/>
  <c r="J822"/>
  <c r="M822"/>
  <c r="N822" s="1"/>
  <c r="V822"/>
  <c r="A823"/>
  <c r="B823" s="1"/>
  <c r="W822" l="1"/>
  <c r="L822"/>
  <c r="AC823"/>
  <c r="Z823"/>
  <c r="P823"/>
  <c r="Q823" s="1"/>
  <c r="R823" s="1"/>
  <c r="S823" s="1"/>
  <c r="AD823"/>
  <c r="AA823"/>
  <c r="U822" l="1"/>
  <c r="Y821"/>
  <c r="T823"/>
  <c r="D823" l="1"/>
  <c r="G823" s="1"/>
  <c r="E823"/>
  <c r="H823" s="1"/>
  <c r="AG823"/>
  <c r="AH823"/>
  <c r="F823" l="1"/>
  <c r="I823"/>
  <c r="J823"/>
  <c r="M823"/>
  <c r="N823" s="1"/>
  <c r="K823"/>
  <c r="AE823" s="1"/>
  <c r="V823" l="1"/>
  <c r="W823" s="1"/>
  <c r="A824"/>
  <c r="B824" s="1"/>
  <c r="L823"/>
  <c r="U823" l="1"/>
  <c r="Y822"/>
  <c r="Z824"/>
  <c r="P824"/>
  <c r="Q824" s="1"/>
  <c r="R824" s="1"/>
  <c r="S824" s="1"/>
  <c r="AC824"/>
  <c r="AA824"/>
  <c r="T824" l="1"/>
  <c r="D824" s="1"/>
  <c r="AH824" l="1"/>
  <c r="E824"/>
  <c r="H824" s="1"/>
  <c r="K824" s="1"/>
  <c r="AE824" s="1"/>
  <c r="AG824"/>
  <c r="G824"/>
  <c r="F824" l="1"/>
  <c r="V824"/>
  <c r="A825"/>
  <c r="B825" s="1"/>
  <c r="I824"/>
  <c r="J824"/>
  <c r="AD824" s="1"/>
  <c r="M824"/>
  <c r="N824" s="1"/>
  <c r="L824" l="1"/>
  <c r="W824"/>
  <c r="Z825"/>
  <c r="AC825"/>
  <c r="P825"/>
  <c r="Q825" s="1"/>
  <c r="R825" s="1"/>
  <c r="S825" s="1"/>
  <c r="AA825"/>
  <c r="AD825"/>
  <c r="T825" l="1"/>
  <c r="AG825" s="1"/>
  <c r="U824"/>
  <c r="Y823"/>
  <c r="D825" l="1"/>
  <c r="E825"/>
  <c r="H825" s="1"/>
  <c r="AH825"/>
  <c r="F825" l="1"/>
  <c r="G825"/>
  <c r="K825"/>
  <c r="AE825" s="1"/>
  <c r="I825" l="1"/>
  <c r="J825"/>
  <c r="M825"/>
  <c r="N825" s="1"/>
  <c r="V825"/>
  <c r="A826"/>
  <c r="B826" s="1"/>
  <c r="W825" l="1"/>
  <c r="L825"/>
  <c r="P826"/>
  <c r="Q826" s="1"/>
  <c r="R826" s="1"/>
  <c r="S826" s="1"/>
  <c r="Z826"/>
  <c r="AA826"/>
  <c r="AD826"/>
  <c r="AC826"/>
  <c r="U825" l="1"/>
  <c r="Y824"/>
  <c r="T826"/>
  <c r="AG826" s="1"/>
  <c r="E826" l="1"/>
  <c r="H826" s="1"/>
  <c r="K826" s="1"/>
  <c r="AE826" s="1"/>
  <c r="AH826"/>
  <c r="D826"/>
  <c r="G826" s="1"/>
  <c r="F826" l="1"/>
  <c r="I826"/>
  <c r="J826"/>
  <c r="M826"/>
  <c r="N826" s="1"/>
  <c r="V826"/>
  <c r="W826" s="1"/>
  <c r="A827"/>
  <c r="B827" s="1"/>
  <c r="L826" l="1"/>
  <c r="Z827"/>
  <c r="AA827"/>
  <c r="AD827"/>
  <c r="P827"/>
  <c r="Q827" s="1"/>
  <c r="R827" s="1"/>
  <c r="S827" s="1"/>
  <c r="AC827"/>
  <c r="U826" l="1"/>
  <c r="Y825"/>
  <c r="T827"/>
  <c r="AH827" s="1"/>
  <c r="D827" l="1"/>
  <c r="G827" s="1"/>
  <c r="E827"/>
  <c r="H827" s="1"/>
  <c r="K827" s="1"/>
  <c r="AE827" s="1"/>
  <c r="AG827"/>
  <c r="F827" l="1"/>
  <c r="V827"/>
  <c r="A828"/>
  <c r="B828" s="1"/>
  <c r="I827"/>
  <c r="J827"/>
  <c r="M827"/>
  <c r="N827" s="1"/>
  <c r="W827" l="1"/>
  <c r="L827"/>
  <c r="AD828"/>
  <c r="P828"/>
  <c r="Q828" s="1"/>
  <c r="R828" s="1"/>
  <c r="S828" s="1"/>
  <c r="AC828"/>
  <c r="AA828"/>
  <c r="Z828"/>
  <c r="U827" l="1"/>
  <c r="Y826"/>
  <c r="T828"/>
  <c r="D828" l="1"/>
  <c r="G828" s="1"/>
  <c r="AG828"/>
  <c r="AH828"/>
  <c r="E828"/>
  <c r="H828" s="1"/>
  <c r="F828" l="1"/>
  <c r="I828"/>
  <c r="J828"/>
  <c r="M828"/>
  <c r="N828" s="1"/>
  <c r="K828"/>
  <c r="AE828" s="1"/>
  <c r="V828" l="1"/>
  <c r="W828" s="1"/>
  <c r="A829"/>
  <c r="B829" s="1"/>
  <c r="L828"/>
  <c r="U828" l="1"/>
  <c r="Y827"/>
  <c r="AC829"/>
  <c r="Z829"/>
  <c r="AA829"/>
  <c r="P829"/>
  <c r="Q829" s="1"/>
  <c r="R829" s="1"/>
  <c r="S829" s="1"/>
  <c r="AD829"/>
  <c r="T829" l="1"/>
  <c r="E829" s="1"/>
  <c r="H829" s="1"/>
  <c r="AH829" l="1"/>
  <c r="D829"/>
  <c r="G829" s="1"/>
  <c r="AG829"/>
  <c r="K829"/>
  <c r="AE829" s="1"/>
  <c r="F829" l="1"/>
  <c r="I829"/>
  <c r="J829"/>
  <c r="M829"/>
  <c r="N829" s="1"/>
  <c r="V829"/>
  <c r="A830"/>
  <c r="B830" s="1"/>
  <c r="W829" l="1"/>
  <c r="L829"/>
  <c r="AA830"/>
  <c r="Z830"/>
  <c r="AC830"/>
  <c r="AD830"/>
  <c r="P830"/>
  <c r="Q830" s="1"/>
  <c r="R830" s="1"/>
  <c r="S830" s="1"/>
  <c r="U829" l="1"/>
  <c r="Y828"/>
  <c r="T830"/>
  <c r="D830" l="1"/>
  <c r="G830" s="1"/>
  <c r="E830"/>
  <c r="H830" s="1"/>
  <c r="AG830"/>
  <c r="AH830"/>
  <c r="F830" l="1"/>
  <c r="I830"/>
  <c r="J830"/>
  <c r="M830"/>
  <c r="N830" s="1"/>
  <c r="K830"/>
  <c r="AE830" s="1"/>
  <c r="V830" l="1"/>
  <c r="W830" s="1"/>
  <c r="A831"/>
  <c r="B831" s="1"/>
  <c r="L830"/>
  <c r="U830" l="1"/>
  <c r="Y829"/>
  <c r="Z831"/>
  <c r="P831"/>
  <c r="Q831" s="1"/>
  <c r="R831" s="1"/>
  <c r="S831" s="1"/>
  <c r="AA831"/>
  <c r="AD831"/>
  <c r="AC831"/>
  <c r="T831" l="1"/>
  <c r="AH831" s="1"/>
  <c r="E831" l="1"/>
  <c r="H831" s="1"/>
  <c r="K831" s="1"/>
  <c r="AE831" s="1"/>
  <c r="D831"/>
  <c r="G831" s="1"/>
  <c r="AG831"/>
  <c r="F831" l="1"/>
  <c r="I831"/>
  <c r="J831"/>
  <c r="M831"/>
  <c r="N831" s="1"/>
  <c r="V831"/>
  <c r="A832"/>
  <c r="B832" s="1"/>
  <c r="W831" l="1"/>
  <c r="L831"/>
  <c r="P832"/>
  <c r="Q832" s="1"/>
  <c r="R832" s="1"/>
  <c r="S832" s="1"/>
  <c r="AC832"/>
  <c r="AD832"/>
  <c r="Z832"/>
  <c r="AA832"/>
  <c r="U831" l="1"/>
  <c r="Y830"/>
  <c r="T832"/>
  <c r="AH832" s="1"/>
  <c r="D832" l="1"/>
  <c r="G832" s="1"/>
  <c r="AG832"/>
  <c r="E832"/>
  <c r="H832" s="1"/>
  <c r="K832" l="1"/>
  <c r="AE832" s="1"/>
  <c r="I832"/>
  <c r="J832"/>
  <c r="M832"/>
  <c r="N832" s="1"/>
  <c r="F832"/>
  <c r="L832" l="1"/>
  <c r="V832"/>
  <c r="W832" s="1"/>
  <c r="A833"/>
  <c r="B833" s="1"/>
  <c r="U832" l="1"/>
  <c r="Y831"/>
  <c r="Z833"/>
  <c r="AC833"/>
  <c r="P833"/>
  <c r="Q833" s="1"/>
  <c r="R833" s="1"/>
  <c r="S833" s="1"/>
  <c r="AD833"/>
  <c r="AA833"/>
  <c r="T833" l="1"/>
  <c r="AH833" s="1"/>
  <c r="E833" l="1"/>
  <c r="H833" s="1"/>
  <c r="K833" s="1"/>
  <c r="AE833" s="1"/>
  <c r="AG833"/>
  <c r="D833"/>
  <c r="G833" s="1"/>
  <c r="F833" l="1"/>
  <c r="I833"/>
  <c r="J833"/>
  <c r="M833"/>
  <c r="N833" s="1"/>
  <c r="V833"/>
  <c r="A834"/>
  <c r="B834" s="1"/>
  <c r="L833" l="1"/>
  <c r="W833"/>
  <c r="AC834"/>
  <c r="P834"/>
  <c r="Q834" s="1"/>
  <c r="R834" s="1"/>
  <c r="S834" s="1"/>
  <c r="AA834"/>
  <c r="Z834"/>
  <c r="U833" l="1"/>
  <c r="Y832"/>
  <c r="T834"/>
  <c r="D834" l="1"/>
  <c r="G834" s="1"/>
  <c r="E834"/>
  <c r="H834" s="1"/>
  <c r="K834" s="1"/>
  <c r="AE834" s="1"/>
  <c r="AH834"/>
  <c r="AG834"/>
  <c r="F834" l="1"/>
  <c r="V834"/>
  <c r="A835"/>
  <c r="B835" s="1"/>
  <c r="I834"/>
  <c r="J834"/>
  <c r="AD834" s="1"/>
  <c r="M834"/>
  <c r="N834" s="1"/>
  <c r="W834" l="1"/>
  <c r="L834"/>
  <c r="Z835"/>
  <c r="P835"/>
  <c r="Q835" s="1"/>
  <c r="R835" s="1"/>
  <c r="S835" s="1"/>
  <c r="AD835"/>
  <c r="AC835"/>
  <c r="AA835"/>
  <c r="T835" l="1"/>
  <c r="U834"/>
  <c r="Y833"/>
  <c r="E835" l="1"/>
  <c r="H835" s="1"/>
  <c r="K835" s="1"/>
  <c r="AE835" s="1"/>
  <c r="AH835"/>
  <c r="AG835"/>
  <c r="D835"/>
  <c r="F835" l="1"/>
  <c r="G835"/>
  <c r="V835"/>
  <c r="A836"/>
  <c r="B836" s="1"/>
  <c r="I835" l="1"/>
  <c r="W835" s="1"/>
  <c r="J835"/>
  <c r="M835"/>
  <c r="N835" s="1"/>
  <c r="Z836"/>
  <c r="AA836"/>
  <c r="AC836"/>
  <c r="P836"/>
  <c r="Q836" s="1"/>
  <c r="R836" s="1"/>
  <c r="S836" s="1"/>
  <c r="AD836"/>
  <c r="T836" l="1"/>
  <c r="L835"/>
  <c r="AG836" l="1"/>
  <c r="U835"/>
  <c r="D836" s="1"/>
  <c r="AH836"/>
  <c r="Y834"/>
  <c r="E836" l="1"/>
  <c r="H836" s="1"/>
  <c r="K836" s="1"/>
  <c r="AE836" s="1"/>
  <c r="G836"/>
  <c r="F836" l="1"/>
  <c r="V836"/>
  <c r="A837"/>
  <c r="B837" s="1"/>
  <c r="I836"/>
  <c r="J836"/>
  <c r="M836"/>
  <c r="N836" s="1"/>
  <c r="L836" l="1"/>
  <c r="W836"/>
  <c r="P837"/>
  <c r="Q837" s="1"/>
  <c r="R837" s="1"/>
  <c r="S837" s="1"/>
  <c r="AD837"/>
  <c r="AA837"/>
  <c r="AC837"/>
  <c r="Z837"/>
  <c r="U836" l="1"/>
  <c r="Y835"/>
  <c r="T837"/>
  <c r="AH837" s="1"/>
  <c r="E837" l="1"/>
  <c r="H837" s="1"/>
  <c r="K837" s="1"/>
  <c r="AE837" s="1"/>
  <c r="D837"/>
  <c r="G837" s="1"/>
  <c r="AG837"/>
  <c r="F837" l="1"/>
  <c r="I837"/>
  <c r="J837"/>
  <c r="M837"/>
  <c r="N837" s="1"/>
  <c r="V837"/>
  <c r="A838"/>
  <c r="B838" s="1"/>
  <c r="W837" l="1"/>
  <c r="L837"/>
  <c r="P838"/>
  <c r="Q838" s="1"/>
  <c r="R838" s="1"/>
  <c r="S838" s="1"/>
  <c r="AA838"/>
  <c r="AC838"/>
  <c r="Z838"/>
  <c r="AD838"/>
  <c r="U837" l="1"/>
  <c r="Y836"/>
  <c r="T838"/>
  <c r="AH838" s="1"/>
  <c r="E838" l="1"/>
  <c r="H838" s="1"/>
  <c r="D838"/>
  <c r="AG838"/>
  <c r="K838" l="1"/>
  <c r="AE838" s="1"/>
  <c r="F838"/>
  <c r="G838"/>
  <c r="V838" l="1"/>
  <c r="A839"/>
  <c r="B839" s="1"/>
  <c r="I838"/>
  <c r="J838"/>
  <c r="M838"/>
  <c r="N838" s="1"/>
  <c r="W838" l="1"/>
  <c r="L838"/>
  <c r="AC839"/>
  <c r="Z839"/>
  <c r="AA839"/>
  <c r="P839"/>
  <c r="Q839" s="1"/>
  <c r="R839" s="1"/>
  <c r="S839" s="1"/>
  <c r="AD839"/>
  <c r="U838" l="1"/>
  <c r="Y837"/>
  <c r="T839"/>
  <c r="AG839" s="1"/>
  <c r="D839" l="1"/>
  <c r="E839"/>
  <c r="H839" s="1"/>
  <c r="AH839"/>
  <c r="F839" l="1"/>
  <c r="G839"/>
  <c r="K839"/>
  <c r="AE839" s="1"/>
  <c r="V839" l="1"/>
  <c r="A840"/>
  <c r="B840" s="1"/>
  <c r="I839"/>
  <c r="J839"/>
  <c r="M839"/>
  <c r="N839" s="1"/>
  <c r="W839" l="1"/>
  <c r="L839"/>
  <c r="AC840"/>
  <c r="P840"/>
  <c r="Q840" s="1"/>
  <c r="R840" s="1"/>
  <c r="S840" s="1"/>
  <c r="AA840"/>
  <c r="Z840"/>
  <c r="AD840"/>
  <c r="T840" l="1"/>
  <c r="U839"/>
  <c r="Y838"/>
  <c r="D840" l="1"/>
  <c r="G840" s="1"/>
  <c r="AG840"/>
  <c r="E840"/>
  <c r="H840" s="1"/>
  <c r="AH840"/>
  <c r="K840" l="1"/>
  <c r="AE840" s="1"/>
  <c r="I840"/>
  <c r="J840"/>
  <c r="M840"/>
  <c r="N840" s="1"/>
  <c r="F840"/>
  <c r="L840" l="1"/>
  <c r="V840"/>
  <c r="W840" s="1"/>
  <c r="A841"/>
  <c r="B841" s="1"/>
  <c r="U840" l="1"/>
  <c r="Y839"/>
  <c r="AA841"/>
  <c r="Z841"/>
  <c r="AD841"/>
  <c r="AC841"/>
  <c r="P841"/>
  <c r="Q841" s="1"/>
  <c r="R841" s="1"/>
  <c r="S841" s="1"/>
  <c r="T841" l="1"/>
  <c r="AH841" s="1"/>
  <c r="E841" l="1"/>
  <c r="H841" s="1"/>
  <c r="K841" s="1"/>
  <c r="AE841" s="1"/>
  <c r="AG841"/>
  <c r="D841"/>
  <c r="G841" s="1"/>
  <c r="F841" l="1"/>
  <c r="I841"/>
  <c r="J841"/>
  <c r="M841"/>
  <c r="N841" s="1"/>
  <c r="V841"/>
  <c r="A842"/>
  <c r="B842" s="1"/>
  <c r="W841" l="1"/>
  <c r="L841"/>
  <c r="P842"/>
  <c r="Q842" s="1"/>
  <c r="R842" s="1"/>
  <c r="S842" s="1"/>
  <c r="AD842"/>
  <c r="Z842"/>
  <c r="AC842"/>
  <c r="AA842"/>
  <c r="U841" l="1"/>
  <c r="Y840"/>
  <c r="T842"/>
  <c r="AG842" s="1"/>
  <c r="D842" l="1"/>
  <c r="G842" s="1"/>
  <c r="E842"/>
  <c r="H842" s="1"/>
  <c r="K842" s="1"/>
  <c r="AE842" s="1"/>
  <c r="AH842"/>
  <c r="F842" l="1"/>
  <c r="V842"/>
  <c r="A843"/>
  <c r="B843" s="1"/>
  <c r="I842"/>
  <c r="J842"/>
  <c r="M842"/>
  <c r="N842" s="1"/>
  <c r="W842" l="1"/>
  <c r="L842"/>
  <c r="AC843"/>
  <c r="AD843"/>
  <c r="AA843"/>
  <c r="Z843"/>
  <c r="P843"/>
  <c r="Q843" s="1"/>
  <c r="R843" s="1"/>
  <c r="S843" s="1"/>
  <c r="U842" l="1"/>
  <c r="Y841"/>
  <c r="T843"/>
  <c r="AG843" s="1"/>
  <c r="D843" l="1"/>
  <c r="E843"/>
  <c r="H843" s="1"/>
  <c r="AH843"/>
  <c r="F843" l="1"/>
  <c r="G843"/>
  <c r="K843"/>
  <c r="AE843" s="1"/>
  <c r="V843" l="1"/>
  <c r="A844"/>
  <c r="B844" s="1"/>
  <c r="I843"/>
  <c r="J843"/>
  <c r="M843"/>
  <c r="N843" s="1"/>
  <c r="W843" l="1"/>
  <c r="L843"/>
  <c r="AC844"/>
  <c r="P844"/>
  <c r="Q844" s="1"/>
  <c r="R844" s="1"/>
  <c r="S844" s="1"/>
  <c r="Z844"/>
  <c r="AA844"/>
  <c r="U843" l="1"/>
  <c r="Y842"/>
  <c r="T844"/>
  <c r="AH844" s="1"/>
  <c r="AG844" l="1"/>
  <c r="E844"/>
  <c r="H844" s="1"/>
  <c r="K844" s="1"/>
  <c r="AE844" s="1"/>
  <c r="D844"/>
  <c r="V844" l="1"/>
  <c r="A845"/>
  <c r="B845" s="1"/>
  <c r="F844"/>
  <c r="G844"/>
  <c r="I844" l="1"/>
  <c r="W844" s="1"/>
  <c r="J844"/>
  <c r="AD844" s="1"/>
  <c r="M844"/>
  <c r="N844" s="1"/>
  <c r="AD845"/>
  <c r="AC845"/>
  <c r="P845"/>
  <c r="Q845" s="1"/>
  <c r="R845" s="1"/>
  <c r="S845" s="1"/>
  <c r="Z845"/>
  <c r="AA845"/>
  <c r="T845" l="1"/>
  <c r="L844"/>
  <c r="AH845" l="1"/>
  <c r="U844"/>
  <c r="D845" s="1"/>
  <c r="AG845"/>
  <c r="Y843"/>
  <c r="E845" l="1"/>
  <c r="H845" s="1"/>
  <c r="K845" s="1"/>
  <c r="AE845" s="1"/>
  <c r="G845"/>
  <c r="F845" l="1"/>
  <c r="I845"/>
  <c r="J845"/>
  <c r="M845"/>
  <c r="N845" s="1"/>
  <c r="V845"/>
  <c r="A846"/>
  <c r="B846" s="1"/>
  <c r="W845" l="1"/>
  <c r="L845"/>
  <c r="P846"/>
  <c r="Q846" s="1"/>
  <c r="R846" s="1"/>
  <c r="S846" s="1"/>
  <c r="AD846"/>
  <c r="AC846"/>
  <c r="Z846"/>
  <c r="AA846"/>
  <c r="U845" l="1"/>
  <c r="Y844"/>
  <c r="T846"/>
  <c r="AH846" s="1"/>
  <c r="D846" l="1"/>
  <c r="G846" s="1"/>
  <c r="E846"/>
  <c r="H846" s="1"/>
  <c r="K846" s="1"/>
  <c r="AE846" s="1"/>
  <c r="AG846"/>
  <c r="F846" l="1"/>
  <c r="I846"/>
  <c r="J846"/>
  <c r="M846"/>
  <c r="N846" s="1"/>
  <c r="V846"/>
  <c r="A847"/>
  <c r="B847" s="1"/>
  <c r="W846" l="1"/>
  <c r="L846"/>
  <c r="AC847"/>
  <c r="P847"/>
  <c r="Q847" s="1"/>
  <c r="R847" s="1"/>
  <c r="S847" s="1"/>
  <c r="AD847"/>
  <c r="AA847"/>
  <c r="Z847"/>
  <c r="U846" l="1"/>
  <c r="Y845"/>
  <c r="T847"/>
  <c r="D847" l="1"/>
  <c r="G847" s="1"/>
  <c r="E847"/>
  <c r="H847" s="1"/>
  <c r="K847" s="1"/>
  <c r="AE847" s="1"/>
  <c r="AH847"/>
  <c r="AG847"/>
  <c r="F847" l="1"/>
  <c r="I847"/>
  <c r="J847"/>
  <c r="M847"/>
  <c r="N847" s="1"/>
  <c r="V847"/>
  <c r="A848"/>
  <c r="B848" s="1"/>
  <c r="W847" l="1"/>
  <c r="L847"/>
  <c r="AA848"/>
  <c r="AD848"/>
  <c r="P848"/>
  <c r="Q848" s="1"/>
  <c r="R848" s="1"/>
  <c r="S848" s="1"/>
  <c r="Z848"/>
  <c r="AC848"/>
  <c r="U847" l="1"/>
  <c r="Y846"/>
  <c r="T848"/>
  <c r="AG848" s="1"/>
  <c r="D848" l="1"/>
  <c r="AH848"/>
  <c r="E848"/>
  <c r="H848" s="1"/>
  <c r="F848" l="1"/>
  <c r="G848"/>
  <c r="K848"/>
  <c r="AE848" s="1"/>
  <c r="V848" l="1"/>
  <c r="A849"/>
  <c r="B849" s="1"/>
  <c r="I848"/>
  <c r="J848"/>
  <c r="M848"/>
  <c r="N848" s="1"/>
  <c r="W848" l="1"/>
  <c r="L848"/>
  <c r="P849"/>
  <c r="Q849" s="1"/>
  <c r="R849" s="1"/>
  <c r="S849" s="1"/>
  <c r="AC849"/>
  <c r="Z849"/>
  <c r="AD849"/>
  <c r="AA849"/>
  <c r="U848" l="1"/>
  <c r="Y847"/>
  <c r="T849"/>
  <c r="AG849" s="1"/>
  <c r="E849" l="1"/>
  <c r="H849" s="1"/>
  <c r="K849" s="1"/>
  <c r="AE849" s="1"/>
  <c r="D849"/>
  <c r="G849" s="1"/>
  <c r="AH849"/>
  <c r="F849" l="1"/>
  <c r="V849"/>
  <c r="A850"/>
  <c r="B850" s="1"/>
  <c r="I849"/>
  <c r="J849"/>
  <c r="M849"/>
  <c r="N849" s="1"/>
  <c r="W849" l="1"/>
  <c r="L849"/>
  <c r="AA850"/>
  <c r="AC850"/>
  <c r="P850"/>
  <c r="Q850" s="1"/>
  <c r="R850" s="1"/>
  <c r="S850" s="1"/>
  <c r="AD850"/>
  <c r="Z850"/>
  <c r="T850" l="1"/>
  <c r="AG850" s="1"/>
  <c r="U849"/>
  <c r="Y848"/>
  <c r="E850" l="1"/>
  <c r="H850" s="1"/>
  <c r="D850"/>
  <c r="AH850"/>
  <c r="K850" l="1"/>
  <c r="AE850" s="1"/>
  <c r="F850"/>
  <c r="G850"/>
  <c r="I850" l="1"/>
  <c r="J850"/>
  <c r="M850"/>
  <c r="N850" s="1"/>
  <c r="V850"/>
  <c r="A851"/>
  <c r="B851" s="1"/>
  <c r="W850" l="1"/>
  <c r="L850"/>
  <c r="P851"/>
  <c r="Q851" s="1"/>
  <c r="R851" s="1"/>
  <c r="S851" s="1"/>
  <c r="AA851"/>
  <c r="AC851"/>
  <c r="AD851"/>
  <c r="Z851"/>
  <c r="U850" l="1"/>
  <c r="Y849"/>
  <c r="T851"/>
  <c r="AH851" s="1"/>
  <c r="E851" l="1"/>
  <c r="H851" s="1"/>
  <c r="K851" s="1"/>
  <c r="AE851" s="1"/>
  <c r="AG851"/>
  <c r="D851"/>
  <c r="F851" l="1"/>
  <c r="G851"/>
  <c r="M851" s="1"/>
  <c r="N851" s="1"/>
  <c r="V851"/>
  <c r="A852"/>
  <c r="B852" s="1"/>
  <c r="I851" l="1"/>
  <c r="W851" s="1"/>
  <c r="J851"/>
  <c r="L851" s="1"/>
  <c r="AC852"/>
  <c r="AA852"/>
  <c r="AD852"/>
  <c r="P852"/>
  <c r="Q852" s="1"/>
  <c r="R852" s="1"/>
  <c r="S852" s="1"/>
  <c r="Z852"/>
  <c r="T852" l="1"/>
  <c r="U851"/>
  <c r="Y850"/>
  <c r="D852" l="1"/>
  <c r="G852" s="1"/>
  <c r="AH852"/>
  <c r="E852"/>
  <c r="H852" s="1"/>
  <c r="AG852"/>
  <c r="F852" l="1"/>
  <c r="I852"/>
  <c r="J852"/>
  <c r="M852"/>
  <c r="N852" s="1"/>
  <c r="K852"/>
  <c r="AE852" s="1"/>
  <c r="L852" l="1"/>
  <c r="V852"/>
  <c r="W852" s="1"/>
  <c r="A853"/>
  <c r="B853" s="1"/>
  <c r="U852" l="1"/>
  <c r="Y851"/>
  <c r="AD853"/>
  <c r="AC853"/>
  <c r="P853"/>
  <c r="Q853" s="1"/>
  <c r="R853" s="1"/>
  <c r="S853" s="1"/>
  <c r="Z853"/>
  <c r="AA853"/>
  <c r="T853" l="1"/>
  <c r="AG853" s="1"/>
  <c r="E853" l="1"/>
  <c r="H853" s="1"/>
  <c r="AH853"/>
  <c r="D853"/>
  <c r="K853" l="1"/>
  <c r="AE853" s="1"/>
  <c r="F853"/>
  <c r="G853"/>
  <c r="I853" l="1"/>
  <c r="J853"/>
  <c r="M853"/>
  <c r="N853" s="1"/>
  <c r="V853"/>
  <c r="A854"/>
  <c r="B854" s="1"/>
  <c r="W853" l="1"/>
  <c r="L853"/>
  <c r="Z854"/>
  <c r="P854"/>
  <c r="Q854" s="1"/>
  <c r="R854" s="1"/>
  <c r="S854" s="1"/>
  <c r="AC854"/>
  <c r="AA854"/>
  <c r="U853" l="1"/>
  <c r="Y852"/>
  <c r="T854"/>
  <c r="AG854" s="1"/>
  <c r="E854" l="1"/>
  <c r="H854" s="1"/>
  <c r="K854" s="1"/>
  <c r="AE854" s="1"/>
  <c r="AH854"/>
  <c r="D854"/>
  <c r="G854" s="1"/>
  <c r="F854" l="1"/>
  <c r="I854"/>
  <c r="J854"/>
  <c r="AD854" s="1"/>
  <c r="M854"/>
  <c r="N854" s="1"/>
  <c r="V854"/>
  <c r="A855"/>
  <c r="B855" s="1"/>
  <c r="W854" l="1"/>
  <c r="L854"/>
  <c r="Z855"/>
  <c r="P855"/>
  <c r="Q855" s="1"/>
  <c r="R855" s="1"/>
  <c r="S855" s="1"/>
  <c r="AA855"/>
  <c r="AC855"/>
  <c r="AD855"/>
  <c r="T855" l="1"/>
  <c r="AG855" s="1"/>
  <c r="U854"/>
  <c r="Y853"/>
  <c r="E855" l="1"/>
  <c r="H855" s="1"/>
  <c r="K855" s="1"/>
  <c r="AE855" s="1"/>
  <c r="D855"/>
  <c r="AH855"/>
  <c r="F855" l="1"/>
  <c r="G855"/>
  <c r="V855"/>
  <c r="A856"/>
  <c r="B856" s="1"/>
  <c r="AA856" l="1"/>
  <c r="P856"/>
  <c r="Q856" s="1"/>
  <c r="R856" s="1"/>
  <c r="S856" s="1"/>
  <c r="Z856"/>
  <c r="AD856"/>
  <c r="AC856"/>
  <c r="I855"/>
  <c r="W855" s="1"/>
  <c r="J855"/>
  <c r="M855"/>
  <c r="N855" s="1"/>
  <c r="L855" l="1"/>
  <c r="T856"/>
  <c r="U855" l="1"/>
  <c r="D856" s="1"/>
  <c r="AH856"/>
  <c r="AG856"/>
  <c r="Y854"/>
  <c r="G856" l="1"/>
  <c r="E856"/>
  <c r="H856" s="1"/>
  <c r="F856" l="1"/>
  <c r="K856"/>
  <c r="AE856" s="1"/>
  <c r="I856"/>
  <c r="J856"/>
  <c r="M856"/>
  <c r="N856" s="1"/>
  <c r="L856" l="1"/>
  <c r="V856"/>
  <c r="W856" s="1"/>
  <c r="A857"/>
  <c r="B857" s="1"/>
  <c r="Z857" l="1"/>
  <c r="AC857"/>
  <c r="AD857"/>
  <c r="AA857"/>
  <c r="P857"/>
  <c r="Q857" s="1"/>
  <c r="R857" s="1"/>
  <c r="S857" s="1"/>
  <c r="U856"/>
  <c r="Y855"/>
  <c r="T857" l="1"/>
  <c r="E857" l="1"/>
  <c r="H857" s="1"/>
  <c r="AG857"/>
  <c r="D857"/>
  <c r="AH857"/>
  <c r="K857" l="1"/>
  <c r="AE857" s="1"/>
  <c r="F857"/>
  <c r="G857"/>
  <c r="I857" l="1"/>
  <c r="J857"/>
  <c r="M857"/>
  <c r="N857" s="1"/>
  <c r="V857"/>
  <c r="A858"/>
  <c r="B858" s="1"/>
  <c r="W857" l="1"/>
  <c r="L857"/>
  <c r="AA858"/>
  <c r="AD858"/>
  <c r="Z858"/>
  <c r="P858"/>
  <c r="Q858" s="1"/>
  <c r="R858" s="1"/>
  <c r="S858" s="1"/>
  <c r="AC858"/>
  <c r="U857" l="1"/>
  <c r="Y856"/>
  <c r="T858"/>
  <c r="D858" l="1"/>
  <c r="G858" s="1"/>
  <c r="E858"/>
  <c r="H858" s="1"/>
  <c r="K858" s="1"/>
  <c r="AE858" s="1"/>
  <c r="AG858"/>
  <c r="AH858"/>
  <c r="F858" l="1"/>
  <c r="V858"/>
  <c r="A859"/>
  <c r="B859" s="1"/>
  <c r="I858"/>
  <c r="J858"/>
  <c r="M858"/>
  <c r="N858" s="1"/>
  <c r="W858" l="1"/>
  <c r="L858"/>
  <c r="AC859"/>
  <c r="P859"/>
  <c r="Q859" s="1"/>
  <c r="R859" s="1"/>
  <c r="S859" s="1"/>
  <c r="AA859"/>
  <c r="Z859"/>
  <c r="AD859"/>
  <c r="U858" l="1"/>
  <c r="Y857"/>
  <c r="T859"/>
  <c r="D859" l="1"/>
  <c r="G859" s="1"/>
  <c r="AH859"/>
  <c r="AG859"/>
  <c r="E859"/>
  <c r="H859" s="1"/>
  <c r="K859" s="1"/>
  <c r="AE859" s="1"/>
  <c r="F859" l="1"/>
  <c r="I859"/>
  <c r="J859"/>
  <c r="M859"/>
  <c r="N859" s="1"/>
  <c r="V859"/>
  <c r="A860"/>
  <c r="B860" s="1"/>
  <c r="W859" l="1"/>
  <c r="AC860"/>
  <c r="AD860"/>
  <c r="Z860"/>
  <c r="AA860"/>
  <c r="P860"/>
  <c r="Q860" s="1"/>
  <c r="R860" s="1"/>
  <c r="S860" s="1"/>
  <c r="L859"/>
  <c r="T860" l="1"/>
  <c r="U859"/>
  <c r="Y858"/>
  <c r="D860" l="1"/>
  <c r="G860" s="1"/>
  <c r="AG860"/>
  <c r="AH860"/>
  <c r="E860"/>
  <c r="H860" s="1"/>
  <c r="I860" l="1"/>
  <c r="J860"/>
  <c r="M860"/>
  <c r="N860" s="1"/>
  <c r="K860"/>
  <c r="AE860" s="1"/>
  <c r="F860"/>
  <c r="L860" l="1"/>
  <c r="V860"/>
  <c r="W860" s="1"/>
  <c r="A861"/>
  <c r="B861" s="1"/>
  <c r="U860" l="1"/>
  <c r="Y859"/>
  <c r="Z861"/>
  <c r="AD861"/>
  <c r="P861"/>
  <c r="Q861" s="1"/>
  <c r="R861" s="1"/>
  <c r="S861" s="1"/>
  <c r="AC861"/>
  <c r="AA861"/>
  <c r="T861" l="1"/>
  <c r="E861" s="1"/>
  <c r="H861" s="1"/>
  <c r="K861" l="1"/>
  <c r="AE861" s="1"/>
  <c r="D861"/>
  <c r="AH861"/>
  <c r="AG861"/>
  <c r="F861" l="1"/>
  <c r="G861"/>
  <c r="V861"/>
  <c r="A862"/>
  <c r="B862" s="1"/>
  <c r="AD862" l="1"/>
  <c r="Z862"/>
  <c r="P862"/>
  <c r="Q862" s="1"/>
  <c r="R862" s="1"/>
  <c r="S862" s="1"/>
  <c r="AC862"/>
  <c r="AA862"/>
  <c r="I861"/>
  <c r="W861" s="1"/>
  <c r="J861"/>
  <c r="M861"/>
  <c r="N861" s="1"/>
  <c r="T862" l="1"/>
  <c r="L861"/>
  <c r="AH862" l="1"/>
  <c r="U861"/>
  <c r="D862" s="1"/>
  <c r="AG862"/>
  <c r="Y860"/>
  <c r="E862" l="1"/>
  <c r="H862" s="1"/>
  <c r="K862" s="1"/>
  <c r="AE862" s="1"/>
  <c r="G862"/>
  <c r="F862" l="1"/>
  <c r="I862"/>
  <c r="J862"/>
  <c r="M862"/>
  <c r="N862" s="1"/>
  <c r="V862"/>
  <c r="A863"/>
  <c r="B863" s="1"/>
  <c r="W862" l="1"/>
  <c r="L862"/>
  <c r="AA863"/>
  <c r="Z863"/>
  <c r="P863"/>
  <c r="Q863" s="1"/>
  <c r="R863" s="1"/>
  <c r="S863" s="1"/>
  <c r="AD863"/>
  <c r="AC863"/>
  <c r="T863" l="1"/>
  <c r="U862"/>
  <c r="Y861"/>
  <c r="E863" l="1"/>
  <c r="H863" s="1"/>
  <c r="K863" s="1"/>
  <c r="AE863" s="1"/>
  <c r="D863"/>
  <c r="G863" s="1"/>
  <c r="AH863"/>
  <c r="AG863"/>
  <c r="F863" l="1"/>
  <c r="I863"/>
  <c r="J863"/>
  <c r="M863"/>
  <c r="N863" s="1"/>
  <c r="V863"/>
  <c r="A864"/>
  <c r="B864" s="1"/>
  <c r="W863" l="1"/>
  <c r="L863"/>
  <c r="AC864"/>
  <c r="Z864"/>
  <c r="AA864"/>
  <c r="P864"/>
  <c r="Q864" s="1"/>
  <c r="R864" s="1"/>
  <c r="S864" s="1"/>
  <c r="U863" l="1"/>
  <c r="Y862"/>
  <c r="T864"/>
  <c r="AH864" s="1"/>
  <c r="E864" l="1"/>
  <c r="H864" s="1"/>
  <c r="D864"/>
  <c r="AG864"/>
  <c r="K864" l="1"/>
  <c r="AE864" s="1"/>
  <c r="F864"/>
  <c r="G864"/>
  <c r="I864" l="1"/>
  <c r="J864"/>
  <c r="AD864" s="1"/>
  <c r="M864"/>
  <c r="N864" s="1"/>
  <c r="V864"/>
  <c r="A865"/>
  <c r="B865" s="1"/>
  <c r="W864" l="1"/>
  <c r="L864"/>
  <c r="AD865"/>
  <c r="P865"/>
  <c r="Q865" s="1"/>
  <c r="R865" s="1"/>
  <c r="S865" s="1"/>
  <c r="AC865"/>
  <c r="Z865"/>
  <c r="AA865"/>
  <c r="U864" l="1"/>
  <c r="Y863"/>
  <c r="T865"/>
  <c r="AG865" s="1"/>
  <c r="E865" l="1"/>
  <c r="H865" s="1"/>
  <c r="K865" s="1"/>
  <c r="AE865" s="1"/>
  <c r="D865"/>
  <c r="G865" s="1"/>
  <c r="AH865"/>
  <c r="F865" l="1"/>
  <c r="V865"/>
  <c r="A866"/>
  <c r="B866" s="1"/>
  <c r="I865"/>
  <c r="J865"/>
  <c r="M865"/>
  <c r="N865" s="1"/>
  <c r="W865" l="1"/>
  <c r="L865"/>
  <c r="P866"/>
  <c r="Q866" s="1"/>
  <c r="R866" s="1"/>
  <c r="S866" s="1"/>
  <c r="AA866"/>
  <c r="Z866"/>
  <c r="AC866"/>
  <c r="AD866"/>
  <c r="T866" l="1"/>
  <c r="U865"/>
  <c r="Y864"/>
  <c r="D866" l="1"/>
  <c r="G866" s="1"/>
  <c r="AG866"/>
  <c r="AH866"/>
  <c r="E866"/>
  <c r="H866" s="1"/>
  <c r="F866" l="1"/>
  <c r="K866"/>
  <c r="AE866" s="1"/>
  <c r="I866"/>
  <c r="J866"/>
  <c r="M866"/>
  <c r="N866" s="1"/>
  <c r="L866" l="1"/>
  <c r="V866"/>
  <c r="W866" s="1"/>
  <c r="A867"/>
  <c r="B867" s="1"/>
  <c r="Z867" l="1"/>
  <c r="AA867"/>
  <c r="P867"/>
  <c r="Q867" s="1"/>
  <c r="R867" s="1"/>
  <c r="S867" s="1"/>
  <c r="AC867"/>
  <c r="AD867"/>
  <c r="U866"/>
  <c r="Y865"/>
  <c r="T867" l="1"/>
  <c r="D867" s="1"/>
  <c r="AG867" l="1"/>
  <c r="E867"/>
  <c r="H867" s="1"/>
  <c r="K867" s="1"/>
  <c r="AE867" s="1"/>
  <c r="AH867"/>
  <c r="G867"/>
  <c r="F867" l="1"/>
  <c r="I867"/>
  <c r="J867"/>
  <c r="M867"/>
  <c r="N867" s="1"/>
  <c r="V867"/>
  <c r="A868"/>
  <c r="B868" s="1"/>
  <c r="W867" l="1"/>
  <c r="L867"/>
  <c r="AD868"/>
  <c r="Z868"/>
  <c r="AA868"/>
  <c r="AC868"/>
  <c r="P868"/>
  <c r="Q868" s="1"/>
  <c r="R868" s="1"/>
  <c r="S868" s="1"/>
  <c r="T868" l="1"/>
  <c r="U867"/>
  <c r="Y866"/>
  <c r="E868" l="1"/>
  <c r="H868" s="1"/>
  <c r="K868" s="1"/>
  <c r="AE868" s="1"/>
  <c r="AH868"/>
  <c r="D868"/>
  <c r="G868" s="1"/>
  <c r="AG868"/>
  <c r="F868" l="1"/>
  <c r="I868"/>
  <c r="J868"/>
  <c r="M868"/>
  <c r="N868" s="1"/>
  <c r="V868"/>
  <c r="A869"/>
  <c r="B869" s="1"/>
  <c r="W868" l="1"/>
  <c r="L868"/>
  <c r="P869"/>
  <c r="Q869" s="1"/>
  <c r="R869" s="1"/>
  <c r="S869" s="1"/>
  <c r="Z869"/>
  <c r="AC869"/>
  <c r="AA869"/>
  <c r="AD869"/>
  <c r="T869" l="1"/>
  <c r="U868"/>
  <c r="Y867"/>
  <c r="E869" l="1"/>
  <c r="H869" s="1"/>
  <c r="K869" s="1"/>
  <c r="AE869" s="1"/>
  <c r="AG869"/>
  <c r="D869"/>
  <c r="AH869"/>
  <c r="V869" l="1"/>
  <c r="A870"/>
  <c r="B870" s="1"/>
  <c r="F869"/>
  <c r="G869"/>
  <c r="I869" l="1"/>
  <c r="W869" s="1"/>
  <c r="J869"/>
  <c r="M869"/>
  <c r="N869" s="1"/>
  <c r="AD870"/>
  <c r="Z870"/>
  <c r="AA870"/>
  <c r="P870"/>
  <c r="Q870" s="1"/>
  <c r="R870" s="1"/>
  <c r="S870" s="1"/>
  <c r="AC870"/>
  <c r="L869" l="1"/>
  <c r="T870"/>
  <c r="U869" l="1"/>
  <c r="E870" s="1"/>
  <c r="H870" s="1"/>
  <c r="AH870"/>
  <c r="AG870"/>
  <c r="Y868"/>
  <c r="D870" l="1"/>
  <c r="G870" s="1"/>
  <c r="K870"/>
  <c r="AE870" s="1"/>
  <c r="F870" l="1"/>
  <c r="V870"/>
  <c r="A871"/>
  <c r="B871" s="1"/>
  <c r="I870"/>
  <c r="J870"/>
  <c r="M870"/>
  <c r="N870" s="1"/>
  <c r="W870" l="1"/>
  <c r="L870"/>
  <c r="Z871"/>
  <c r="P871"/>
  <c r="Q871" s="1"/>
  <c r="R871" s="1"/>
  <c r="S871" s="1"/>
  <c r="AD871"/>
  <c r="AA871"/>
  <c r="AC871"/>
  <c r="T871" l="1"/>
  <c r="AH871" s="1"/>
  <c r="U870"/>
  <c r="Y869"/>
  <c r="E871" l="1"/>
  <c r="H871" s="1"/>
  <c r="K871" s="1"/>
  <c r="AE871" s="1"/>
  <c r="AG871"/>
  <c r="D871"/>
  <c r="F871" l="1"/>
  <c r="G871"/>
  <c r="V871"/>
  <c r="A872"/>
  <c r="B872" s="1"/>
  <c r="AC872" l="1"/>
  <c r="AA872"/>
  <c r="P872"/>
  <c r="Q872" s="1"/>
  <c r="R872" s="1"/>
  <c r="S872" s="1"/>
  <c r="Z872"/>
  <c r="AD872"/>
  <c r="I871"/>
  <c r="W871" s="1"/>
  <c r="J871"/>
  <c r="M871"/>
  <c r="N871" s="1"/>
  <c r="L871" l="1"/>
  <c r="T872"/>
  <c r="AG872" l="1"/>
  <c r="AH872"/>
  <c r="U871"/>
  <c r="E872" s="1"/>
  <c r="H872" s="1"/>
  <c r="Y870"/>
  <c r="D872" l="1"/>
  <c r="G872" s="1"/>
  <c r="K872"/>
  <c r="AE872" s="1"/>
  <c r="F872" l="1"/>
  <c r="I872"/>
  <c r="J872"/>
  <c r="M872"/>
  <c r="N872" s="1"/>
  <c r="V872"/>
  <c r="A873"/>
  <c r="B873" s="1"/>
  <c r="W872" l="1"/>
  <c r="L872"/>
  <c r="AA873"/>
  <c r="AC873"/>
  <c r="AD873"/>
  <c r="P873"/>
  <c r="Q873" s="1"/>
  <c r="R873" s="1"/>
  <c r="S873" s="1"/>
  <c r="Z873"/>
  <c r="T873" l="1"/>
  <c r="AH873" s="1"/>
  <c r="U872"/>
  <c r="Y871"/>
  <c r="AG873" l="1"/>
  <c r="E873"/>
  <c r="H873" s="1"/>
  <c r="D873"/>
  <c r="K873" l="1"/>
  <c r="AE873" s="1"/>
  <c r="F873"/>
  <c r="G873"/>
  <c r="I873" l="1"/>
  <c r="J873"/>
  <c r="M873"/>
  <c r="N873" s="1"/>
  <c r="V873"/>
  <c r="A874"/>
  <c r="B874" s="1"/>
  <c r="W873" l="1"/>
  <c r="L873"/>
  <c r="AA874"/>
  <c r="P874"/>
  <c r="Q874" s="1"/>
  <c r="R874" s="1"/>
  <c r="S874" s="1"/>
  <c r="Z874"/>
  <c r="AC874"/>
  <c r="T874" l="1"/>
  <c r="AH874" s="1"/>
  <c r="U873"/>
  <c r="Y872"/>
  <c r="E874" l="1"/>
  <c r="H874" s="1"/>
  <c r="D874"/>
  <c r="AG874"/>
  <c r="K874" l="1"/>
  <c r="AE874" s="1"/>
  <c r="F874"/>
  <c r="G874"/>
  <c r="I874" l="1"/>
  <c r="J874"/>
  <c r="AD874" s="1"/>
  <c r="M874"/>
  <c r="N874" s="1"/>
  <c r="V874"/>
  <c r="A875"/>
  <c r="B875" s="1"/>
  <c r="W874" l="1"/>
  <c r="L874"/>
  <c r="AA875"/>
  <c r="Z875"/>
  <c r="P875"/>
  <c r="Q875" s="1"/>
  <c r="R875" s="1"/>
  <c r="S875" s="1"/>
  <c r="AD875"/>
  <c r="AC875"/>
  <c r="T875" l="1"/>
  <c r="U874"/>
  <c r="Y873"/>
  <c r="D875" l="1"/>
  <c r="G875" s="1"/>
  <c r="E875"/>
  <c r="H875" s="1"/>
  <c r="K875" s="1"/>
  <c r="AE875" s="1"/>
  <c r="AH875"/>
  <c r="AG875"/>
  <c r="F875" l="1"/>
  <c r="V875"/>
  <c r="A876"/>
  <c r="B876" s="1"/>
  <c r="I875"/>
  <c r="J875"/>
  <c r="M875"/>
  <c r="N875" s="1"/>
  <c r="W875" l="1"/>
  <c r="L875"/>
  <c r="AC876"/>
  <c r="P876"/>
  <c r="Q876" s="1"/>
  <c r="R876" s="1"/>
  <c r="S876" s="1"/>
  <c r="Z876"/>
  <c r="AA876"/>
  <c r="AD876"/>
  <c r="U875" l="1"/>
  <c r="Y874"/>
  <c r="T876"/>
  <c r="AG876" s="1"/>
  <c r="D876" l="1"/>
  <c r="E876"/>
  <c r="H876" s="1"/>
  <c r="AH876"/>
  <c r="K876" l="1"/>
  <c r="AE876" s="1"/>
  <c r="F876"/>
  <c r="G876"/>
  <c r="I876" l="1"/>
  <c r="J876"/>
  <c r="M876"/>
  <c r="N876" s="1"/>
  <c r="V876"/>
  <c r="A877"/>
  <c r="B877" s="1"/>
  <c r="W876" l="1"/>
  <c r="L876"/>
  <c r="P877"/>
  <c r="Q877" s="1"/>
  <c r="R877" s="1"/>
  <c r="S877" s="1"/>
  <c r="AA877"/>
  <c r="Z877"/>
  <c r="AD877"/>
  <c r="AC877"/>
  <c r="U876" l="1"/>
  <c r="Y875"/>
  <c r="T877"/>
  <c r="D877" l="1"/>
  <c r="G877" s="1"/>
  <c r="AH877"/>
  <c r="AG877"/>
  <c r="E877"/>
  <c r="H877" s="1"/>
  <c r="I877" l="1"/>
  <c r="J877"/>
  <c r="M877"/>
  <c r="N877" s="1"/>
  <c r="K877"/>
  <c r="AE877" s="1"/>
  <c r="F877"/>
  <c r="V877" l="1"/>
  <c r="W877" s="1"/>
  <c r="A878"/>
  <c r="B878" s="1"/>
  <c r="L877"/>
  <c r="U877" l="1"/>
  <c r="Y876"/>
  <c r="Z878"/>
  <c r="AD878"/>
  <c r="AC878"/>
  <c r="AA878"/>
  <c r="P878"/>
  <c r="Q878" s="1"/>
  <c r="R878" s="1"/>
  <c r="S878" s="1"/>
  <c r="T878" l="1"/>
  <c r="E878" s="1"/>
  <c r="H878" s="1"/>
  <c r="D878" l="1"/>
  <c r="G878" s="1"/>
  <c r="AG878"/>
  <c r="AH878"/>
  <c r="K878"/>
  <c r="AE878" s="1"/>
  <c r="F878" l="1"/>
  <c r="I878"/>
  <c r="J878"/>
  <c r="M878"/>
  <c r="N878" s="1"/>
  <c r="V878"/>
  <c r="A879"/>
  <c r="B879" s="1"/>
  <c r="W878" l="1"/>
  <c r="L878"/>
  <c r="AC879"/>
  <c r="AD879"/>
  <c r="P879"/>
  <c r="Q879" s="1"/>
  <c r="R879" s="1"/>
  <c r="S879" s="1"/>
  <c r="AA879"/>
  <c r="Z879"/>
  <c r="T879" l="1"/>
  <c r="AG879" s="1"/>
  <c r="U878"/>
  <c r="Y877"/>
  <c r="E879" l="1"/>
  <c r="H879" s="1"/>
  <c r="D879"/>
  <c r="AH879"/>
  <c r="F879" l="1"/>
  <c r="G879"/>
  <c r="K879"/>
  <c r="AE879" s="1"/>
  <c r="I879" l="1"/>
  <c r="J879"/>
  <c r="M879"/>
  <c r="N879" s="1"/>
  <c r="V879"/>
  <c r="A880"/>
  <c r="B880" s="1"/>
  <c r="W879" l="1"/>
  <c r="L879"/>
  <c r="AD880"/>
  <c r="AA880"/>
  <c r="AC880"/>
  <c r="Z880"/>
  <c r="P880"/>
  <c r="Q880" s="1"/>
  <c r="R880" s="1"/>
  <c r="S880" s="1"/>
  <c r="T880" l="1"/>
  <c r="AG880" s="1"/>
  <c r="U879"/>
  <c r="Y878"/>
  <c r="D880" l="1"/>
  <c r="AH880"/>
  <c r="E880"/>
  <c r="H880" s="1"/>
  <c r="F880" l="1"/>
  <c r="G880"/>
  <c r="K880"/>
  <c r="AE880" s="1"/>
  <c r="V880" l="1"/>
  <c r="A881"/>
  <c r="B881" s="1"/>
  <c r="I880"/>
  <c r="J880"/>
  <c r="M880"/>
  <c r="N880" s="1"/>
  <c r="W880" l="1"/>
  <c r="L880"/>
  <c r="AA881"/>
  <c r="AD881"/>
  <c r="P881"/>
  <c r="Q881" s="1"/>
  <c r="R881" s="1"/>
  <c r="S881" s="1"/>
  <c r="Z881"/>
  <c r="AC881"/>
  <c r="U880" l="1"/>
  <c r="Y879"/>
  <c r="T881"/>
  <c r="E881" l="1"/>
  <c r="H881" s="1"/>
  <c r="K881" s="1"/>
  <c r="AE881" s="1"/>
  <c r="D881"/>
  <c r="AG881"/>
  <c r="AH881"/>
  <c r="F881" l="1"/>
  <c r="G881"/>
  <c r="I881" s="1"/>
  <c r="V881"/>
  <c r="A882"/>
  <c r="B882" s="1"/>
  <c r="W881" l="1"/>
  <c r="M881"/>
  <c r="N881" s="1"/>
  <c r="J881"/>
  <c r="L881" s="1"/>
  <c r="Z882"/>
  <c r="P882"/>
  <c r="Q882" s="1"/>
  <c r="R882" s="1"/>
  <c r="S882" s="1"/>
  <c r="AD882"/>
  <c r="AC882"/>
  <c r="AA882"/>
  <c r="T882" l="1"/>
  <c r="AG882" s="1"/>
  <c r="U881"/>
  <c r="Y880"/>
  <c r="AH882" l="1"/>
  <c r="D882"/>
  <c r="E882"/>
  <c r="H882" s="1"/>
  <c r="F882" l="1"/>
  <c r="G882"/>
  <c r="K882"/>
  <c r="AE882" s="1"/>
  <c r="I882" l="1"/>
  <c r="J882"/>
  <c r="M882"/>
  <c r="N882" s="1"/>
  <c r="V882"/>
  <c r="A883"/>
  <c r="B883" s="1"/>
  <c r="W882" l="1"/>
  <c r="L882"/>
  <c r="AC883"/>
  <c r="AA883"/>
  <c r="Z883"/>
  <c r="AD883"/>
  <c r="P883"/>
  <c r="Q883" s="1"/>
  <c r="R883" s="1"/>
  <c r="S883" s="1"/>
  <c r="T883" l="1"/>
  <c r="AG883" s="1"/>
  <c r="U882"/>
  <c r="Y881"/>
  <c r="E883" l="1"/>
  <c r="H883" s="1"/>
  <c r="K883" s="1"/>
  <c r="AE883" s="1"/>
  <c r="D883"/>
  <c r="AH883"/>
  <c r="V883" l="1"/>
  <c r="A884"/>
  <c r="B884" s="1"/>
  <c r="F883"/>
  <c r="G883"/>
  <c r="I883" l="1"/>
  <c r="W883" s="1"/>
  <c r="J883"/>
  <c r="M883"/>
  <c r="N883" s="1"/>
  <c r="AA884"/>
  <c r="Z884"/>
  <c r="P884"/>
  <c r="Q884" s="1"/>
  <c r="R884" s="1"/>
  <c r="S884" s="1"/>
  <c r="AC884"/>
  <c r="T884" l="1"/>
  <c r="L883"/>
  <c r="AG884" l="1"/>
  <c r="U883"/>
  <c r="D884" s="1"/>
  <c r="AH884"/>
  <c r="Y882"/>
  <c r="E884" l="1"/>
  <c r="H884" s="1"/>
  <c r="K884" s="1"/>
  <c r="AE884" s="1"/>
  <c r="G884"/>
  <c r="F884" l="1"/>
  <c r="V884"/>
  <c r="A885"/>
  <c r="B885" s="1"/>
  <c r="I884"/>
  <c r="J884"/>
  <c r="AD884" s="1"/>
  <c r="M884"/>
  <c r="N884" s="1"/>
  <c r="W884" l="1"/>
  <c r="L884"/>
  <c r="P885"/>
  <c r="Q885" s="1"/>
  <c r="R885" s="1"/>
  <c r="S885" s="1"/>
  <c r="AD885"/>
  <c r="Z885"/>
  <c r="AC885"/>
  <c r="AA885"/>
  <c r="U884" l="1"/>
  <c r="Y883"/>
  <c r="T885"/>
  <c r="AH885" s="1"/>
  <c r="D885" l="1"/>
  <c r="G885" s="1"/>
  <c r="E885"/>
  <c r="H885" s="1"/>
  <c r="K885" s="1"/>
  <c r="AE885" s="1"/>
  <c r="AG885"/>
  <c r="F885" l="1"/>
  <c r="V885"/>
  <c r="A886"/>
  <c r="B886" s="1"/>
  <c r="I885"/>
  <c r="J885"/>
  <c r="M885"/>
  <c r="N885" s="1"/>
  <c r="W885" l="1"/>
  <c r="L885"/>
  <c r="P886"/>
  <c r="Q886" s="1"/>
  <c r="R886" s="1"/>
  <c r="S886" s="1"/>
  <c r="AA886"/>
  <c r="AC886"/>
  <c r="AD886"/>
  <c r="Z886"/>
  <c r="U885" l="1"/>
  <c r="Y884"/>
  <c r="T886"/>
  <c r="E886" l="1"/>
  <c r="H886" s="1"/>
  <c r="K886" s="1"/>
  <c r="AE886" s="1"/>
  <c r="AH886"/>
  <c r="AG886"/>
  <c r="D886"/>
  <c r="F886" l="1"/>
  <c r="G886"/>
  <c r="V886"/>
  <c r="A887"/>
  <c r="B887" s="1"/>
  <c r="I886" l="1"/>
  <c r="W886" s="1"/>
  <c r="J886"/>
  <c r="M886"/>
  <c r="N886" s="1"/>
  <c r="P887"/>
  <c r="Q887" s="1"/>
  <c r="R887" s="1"/>
  <c r="S887" s="1"/>
  <c r="Z887"/>
  <c r="AD887"/>
  <c r="AA887"/>
  <c r="AC887"/>
  <c r="T887" l="1"/>
  <c r="L886"/>
  <c r="AG887" l="1"/>
  <c r="AH887"/>
  <c r="U886"/>
  <c r="D887" s="1"/>
  <c r="Y885"/>
  <c r="E887" l="1"/>
  <c r="H887" s="1"/>
  <c r="K887" s="1"/>
  <c r="AE887" s="1"/>
  <c r="G887"/>
  <c r="F887" l="1"/>
  <c r="I887"/>
  <c r="J887"/>
  <c r="M887"/>
  <c r="N887" s="1"/>
  <c r="V887"/>
  <c r="A888"/>
  <c r="B888" s="1"/>
  <c r="W887" l="1"/>
  <c r="L887"/>
  <c r="AC888"/>
  <c r="AD888"/>
  <c r="AA888"/>
  <c r="Z888"/>
  <c r="P888"/>
  <c r="Q888" s="1"/>
  <c r="R888" s="1"/>
  <c r="S888" s="1"/>
  <c r="T888" l="1"/>
  <c r="U887"/>
  <c r="Y886"/>
  <c r="E888" l="1"/>
  <c r="H888" s="1"/>
  <c r="K888" s="1"/>
  <c r="AE888" s="1"/>
  <c r="D888"/>
  <c r="G888" s="1"/>
  <c r="AG888"/>
  <c r="AH888"/>
  <c r="F888" l="1"/>
  <c r="I888"/>
  <c r="J888"/>
  <c r="M888"/>
  <c r="N888" s="1"/>
  <c r="V888"/>
  <c r="A889"/>
  <c r="B889" s="1"/>
  <c r="W888" l="1"/>
  <c r="L888"/>
  <c r="AA889"/>
  <c r="Z889"/>
  <c r="AD889"/>
  <c r="P889"/>
  <c r="Q889" s="1"/>
  <c r="R889" s="1"/>
  <c r="S889" s="1"/>
  <c r="AC889"/>
  <c r="T889" l="1"/>
  <c r="AG889" s="1"/>
  <c r="U888"/>
  <c r="Y887"/>
  <c r="AH889" l="1"/>
  <c r="D889"/>
  <c r="G889" s="1"/>
  <c r="E889"/>
  <c r="H889" s="1"/>
  <c r="I889" l="1"/>
  <c r="J889"/>
  <c r="M889"/>
  <c r="N889" s="1"/>
  <c r="K889"/>
  <c r="AE889" s="1"/>
  <c r="F889"/>
  <c r="L889" l="1"/>
  <c r="V889"/>
  <c r="W889" s="1"/>
  <c r="A890"/>
  <c r="B890" s="1"/>
  <c r="AA890" l="1"/>
  <c r="P890"/>
  <c r="Q890" s="1"/>
  <c r="R890" s="1"/>
  <c r="S890" s="1"/>
  <c r="Z890"/>
  <c r="AC890"/>
  <c r="AD890"/>
  <c r="U889"/>
  <c r="Y888"/>
  <c r="T890" l="1"/>
  <c r="AG890" s="1"/>
  <c r="E890" l="1"/>
  <c r="H890" s="1"/>
  <c r="K890" s="1"/>
  <c r="AE890" s="1"/>
  <c r="AH890"/>
  <c r="D890"/>
  <c r="F890" l="1"/>
  <c r="G890"/>
  <c r="V890"/>
  <c r="A891"/>
  <c r="B891" s="1"/>
  <c r="AD891" l="1"/>
  <c r="P891"/>
  <c r="Q891" s="1"/>
  <c r="R891" s="1"/>
  <c r="S891" s="1"/>
  <c r="AC891"/>
  <c r="Z891"/>
  <c r="AA891"/>
  <c r="I890"/>
  <c r="W890" s="1"/>
  <c r="J890"/>
  <c r="M890"/>
  <c r="N890" s="1"/>
  <c r="L890" l="1"/>
  <c r="T891"/>
  <c r="U890" l="1"/>
  <c r="D891" s="1"/>
  <c r="AH891"/>
  <c r="AG891"/>
  <c r="Y889"/>
  <c r="E891" l="1"/>
  <c r="H891" s="1"/>
  <c r="K891" s="1"/>
  <c r="AE891" s="1"/>
  <c r="G891"/>
  <c r="F891" l="1"/>
  <c r="I891"/>
  <c r="J891"/>
  <c r="M891"/>
  <c r="N891" s="1"/>
  <c r="V891"/>
  <c r="A892"/>
  <c r="B892" s="1"/>
  <c r="W891" l="1"/>
  <c r="L891"/>
  <c r="P892"/>
  <c r="Q892" s="1"/>
  <c r="R892" s="1"/>
  <c r="S892" s="1"/>
  <c r="AC892"/>
  <c r="AD892"/>
  <c r="Z892"/>
  <c r="AA892"/>
  <c r="U891" l="1"/>
  <c r="Y890"/>
  <c r="T892"/>
  <c r="AG892" s="1"/>
  <c r="AH892" l="1"/>
  <c r="D892"/>
  <c r="G892" s="1"/>
  <c r="E892"/>
  <c r="H892" s="1"/>
  <c r="F892" l="1"/>
  <c r="I892"/>
  <c r="J892"/>
  <c r="M892"/>
  <c r="N892" s="1"/>
  <c r="K892"/>
  <c r="AE892" s="1"/>
  <c r="V892" l="1"/>
  <c r="W892" s="1"/>
  <c r="A893"/>
  <c r="B893" s="1"/>
  <c r="L892"/>
  <c r="U892" l="1"/>
  <c r="Y891"/>
  <c r="AC893"/>
  <c r="P893"/>
  <c r="Q893" s="1"/>
  <c r="R893" s="1"/>
  <c r="S893" s="1"/>
  <c r="AD893"/>
  <c r="AA893"/>
  <c r="Z893"/>
  <c r="T893" l="1"/>
  <c r="E893" s="1"/>
  <c r="H893" s="1"/>
  <c r="AH893" l="1"/>
  <c r="D893"/>
  <c r="F893" s="1"/>
  <c r="AG893"/>
  <c r="K893"/>
  <c r="AE893" s="1"/>
  <c r="G893" l="1"/>
  <c r="M893" s="1"/>
  <c r="N893" s="1"/>
  <c r="V893"/>
  <c r="A894"/>
  <c r="B894" s="1"/>
  <c r="I893" l="1"/>
  <c r="W893" s="1"/>
  <c r="J893"/>
  <c r="L893" s="1"/>
  <c r="Z894"/>
  <c r="P894"/>
  <c r="Q894" s="1"/>
  <c r="R894" s="1"/>
  <c r="S894" s="1"/>
  <c r="AC894"/>
  <c r="AA894"/>
  <c r="U893" l="1"/>
  <c r="Y892"/>
  <c r="T894"/>
  <c r="AH894" s="1"/>
  <c r="D894" l="1"/>
  <c r="G894" s="1"/>
  <c r="AG894"/>
  <c r="E894"/>
  <c r="H894" s="1"/>
  <c r="F894" l="1"/>
  <c r="I894"/>
  <c r="J894"/>
  <c r="AD894" s="1"/>
  <c r="M894"/>
  <c r="N894" s="1"/>
  <c r="K894"/>
  <c r="AE894" s="1"/>
  <c r="V894" l="1"/>
  <c r="W894" s="1"/>
  <c r="A895"/>
  <c r="B895" s="1"/>
  <c r="L894"/>
  <c r="U894" l="1"/>
  <c r="Y893"/>
  <c r="AD895"/>
  <c r="P895"/>
  <c r="Q895" s="1"/>
  <c r="R895" s="1"/>
  <c r="S895" s="1"/>
  <c r="AA895"/>
  <c r="AC895"/>
  <c r="Z895"/>
  <c r="T895" l="1"/>
  <c r="AH895" s="1"/>
  <c r="E895" l="1"/>
  <c r="H895" s="1"/>
  <c r="K895" s="1"/>
  <c r="AE895" s="1"/>
  <c r="D895"/>
  <c r="AG895"/>
  <c r="F895" l="1"/>
  <c r="G895"/>
  <c r="V895"/>
  <c r="A896"/>
  <c r="B896" s="1"/>
  <c r="I895" l="1"/>
  <c r="W895" s="1"/>
  <c r="J895"/>
  <c r="M895"/>
  <c r="N895" s="1"/>
  <c r="Z896"/>
  <c r="P896"/>
  <c r="Q896" s="1"/>
  <c r="R896" s="1"/>
  <c r="S896" s="1"/>
  <c r="AC896"/>
  <c r="AD896"/>
  <c r="AA896"/>
  <c r="T896" l="1"/>
  <c r="L895"/>
  <c r="AG896" l="1"/>
  <c r="AH896"/>
  <c r="U895"/>
  <c r="E896" s="1"/>
  <c r="H896" s="1"/>
  <c r="Y894"/>
  <c r="D896" l="1"/>
  <c r="G896" s="1"/>
  <c r="K896"/>
  <c r="AE896" s="1"/>
  <c r="F896" l="1"/>
  <c r="V896"/>
  <c r="A897"/>
  <c r="B897" s="1"/>
  <c r="I896"/>
  <c r="J896"/>
  <c r="M896"/>
  <c r="N896" s="1"/>
  <c r="W896" l="1"/>
  <c r="L896"/>
  <c r="Z897"/>
  <c r="AC897"/>
  <c r="AA897"/>
  <c r="P897"/>
  <c r="Q897" s="1"/>
  <c r="R897" s="1"/>
  <c r="S897" s="1"/>
  <c r="AD897"/>
  <c r="U896" l="1"/>
  <c r="Y895"/>
  <c r="T897"/>
  <c r="D897" l="1"/>
  <c r="E897"/>
  <c r="H897" s="1"/>
  <c r="AH897"/>
  <c r="AG897"/>
  <c r="F897" l="1"/>
  <c r="G897"/>
  <c r="M897" s="1"/>
  <c r="N897" s="1"/>
  <c r="K897"/>
  <c r="AE897" s="1"/>
  <c r="I897" l="1"/>
  <c r="J897"/>
  <c r="L897" s="1"/>
  <c r="V897"/>
  <c r="A898"/>
  <c r="B898" s="1"/>
  <c r="W897" l="1"/>
  <c r="AA898"/>
  <c r="AD898"/>
  <c r="P898"/>
  <c r="Q898" s="1"/>
  <c r="R898" s="1"/>
  <c r="S898" s="1"/>
  <c r="Z898"/>
  <c r="AC898"/>
  <c r="U897"/>
  <c r="Y896"/>
  <c r="T898" l="1"/>
  <c r="D898" s="1"/>
  <c r="G898" l="1"/>
  <c r="AG898"/>
  <c r="E898"/>
  <c r="H898" s="1"/>
  <c r="AH898"/>
  <c r="F898" l="1"/>
  <c r="I898"/>
  <c r="J898"/>
  <c r="M898"/>
  <c r="N898" s="1"/>
  <c r="K898"/>
  <c r="AE898" s="1"/>
  <c r="V898" l="1"/>
  <c r="W898" s="1"/>
  <c r="A899"/>
  <c r="B899" s="1"/>
  <c r="L898"/>
  <c r="U898" l="1"/>
  <c r="Y897"/>
  <c r="AC899"/>
  <c r="Z899"/>
  <c r="P899"/>
  <c r="Q899" s="1"/>
  <c r="R899" s="1"/>
  <c r="S899" s="1"/>
  <c r="AD899"/>
  <c r="AA899"/>
  <c r="T899" l="1"/>
  <c r="E899" s="1"/>
  <c r="H899" s="1"/>
  <c r="D899" l="1"/>
  <c r="G899" s="1"/>
  <c r="AG899"/>
  <c r="AH899"/>
  <c r="K899"/>
  <c r="AE899" s="1"/>
  <c r="F899" l="1"/>
  <c r="I899"/>
  <c r="J899"/>
  <c r="M899"/>
  <c r="N899" s="1"/>
  <c r="V899"/>
  <c r="A900"/>
  <c r="B900" s="1"/>
  <c r="W899" l="1"/>
  <c r="L899"/>
  <c r="P900"/>
  <c r="Q900" s="1"/>
  <c r="R900" s="1"/>
  <c r="S900" s="1"/>
  <c r="AC900"/>
  <c r="Z900"/>
  <c r="AD900"/>
  <c r="AA900"/>
  <c r="U899" l="1"/>
  <c r="Y898"/>
  <c r="T900"/>
  <c r="D900" l="1"/>
  <c r="G900" s="1"/>
  <c r="AH900"/>
  <c r="AG900"/>
  <c r="E900"/>
  <c r="H900" s="1"/>
  <c r="K900" s="1"/>
  <c r="AE900" s="1"/>
  <c r="F900" l="1"/>
  <c r="V900"/>
  <c r="A901"/>
  <c r="B901" s="1"/>
  <c r="I900"/>
  <c r="J900"/>
  <c r="M900"/>
  <c r="N900" s="1"/>
  <c r="L900" l="1"/>
  <c r="W900"/>
  <c r="AD901"/>
  <c r="P901"/>
  <c r="Q901" s="1"/>
  <c r="R901" s="1"/>
  <c r="S901" s="1"/>
  <c r="AA901"/>
  <c r="AC901"/>
  <c r="Z901"/>
  <c r="U900" l="1"/>
  <c r="Y899"/>
  <c r="T901"/>
  <c r="E901" l="1"/>
  <c r="H901" s="1"/>
  <c r="K901" s="1"/>
  <c r="AE901" s="1"/>
  <c r="AG901"/>
  <c r="D901"/>
  <c r="AH901"/>
  <c r="F901" l="1"/>
  <c r="G901"/>
  <c r="V901"/>
  <c r="A902"/>
  <c r="B902" s="1"/>
  <c r="AD902" l="1"/>
  <c r="AC902"/>
  <c r="P902"/>
  <c r="Q902" s="1"/>
  <c r="R902" s="1"/>
  <c r="S902" s="1"/>
  <c r="Z902"/>
  <c r="AA902"/>
  <c r="I901"/>
  <c r="W901" s="1"/>
  <c r="J901"/>
  <c r="M901"/>
  <c r="N901" s="1"/>
  <c r="T902" l="1"/>
  <c r="L901"/>
  <c r="U901" l="1"/>
  <c r="E902" s="1"/>
  <c r="H902" s="1"/>
  <c r="AH902"/>
  <c r="AG902"/>
  <c r="Y900"/>
  <c r="D902" l="1"/>
  <c r="F902" s="1"/>
  <c r="K902"/>
  <c r="AE902" s="1"/>
  <c r="G902" l="1"/>
  <c r="J902" s="1"/>
  <c r="V902"/>
  <c r="A903"/>
  <c r="B903" s="1"/>
  <c r="M902" l="1"/>
  <c r="N902" s="1"/>
  <c r="I902"/>
  <c r="W902" s="1"/>
  <c r="L902"/>
  <c r="Z903"/>
  <c r="AC903"/>
  <c r="P903"/>
  <c r="Q903" s="1"/>
  <c r="R903" s="1"/>
  <c r="S903" s="1"/>
  <c r="AD903"/>
  <c r="AA903"/>
  <c r="T903" l="1"/>
  <c r="AH903" s="1"/>
  <c r="U902"/>
  <c r="Y901"/>
  <c r="D903" l="1"/>
  <c r="E903"/>
  <c r="H903" s="1"/>
  <c r="AG903"/>
  <c r="K903" l="1"/>
  <c r="AE903" s="1"/>
  <c r="F903"/>
  <c r="G903"/>
  <c r="I903" l="1"/>
  <c r="J903"/>
  <c r="M903"/>
  <c r="N903" s="1"/>
  <c r="V903"/>
  <c r="A904"/>
  <c r="B904" s="1"/>
  <c r="W903" l="1"/>
  <c r="L903"/>
  <c r="AC904"/>
  <c r="Z904"/>
  <c r="P904"/>
  <c r="Q904" s="1"/>
  <c r="R904" s="1"/>
  <c r="S904" s="1"/>
  <c r="AA904"/>
  <c r="U903" l="1"/>
  <c r="Y902"/>
  <c r="T904"/>
  <c r="AH904" s="1"/>
  <c r="E904" l="1"/>
  <c r="H904" s="1"/>
  <c r="AG904"/>
  <c r="D904"/>
  <c r="K904" l="1"/>
  <c r="AE904" s="1"/>
  <c r="F904"/>
  <c r="G904"/>
  <c r="V904" l="1"/>
  <c r="A905"/>
  <c r="B905" s="1"/>
  <c r="I904"/>
  <c r="J904"/>
  <c r="AD904" s="1"/>
  <c r="M904"/>
  <c r="N904" s="1"/>
  <c r="L904" l="1"/>
  <c r="W904"/>
  <c r="AA905"/>
  <c r="Z905"/>
  <c r="AD905"/>
  <c r="AC905"/>
  <c r="P905"/>
  <c r="Q905" s="1"/>
  <c r="R905" s="1"/>
  <c r="S905" s="1"/>
  <c r="U904" l="1"/>
  <c r="Y903"/>
  <c r="T905"/>
  <c r="D905" l="1"/>
  <c r="G905" s="1"/>
  <c r="E905"/>
  <c r="H905" s="1"/>
  <c r="K905" s="1"/>
  <c r="AE905" s="1"/>
  <c r="AG905"/>
  <c r="AH905"/>
  <c r="F905" l="1"/>
  <c r="I905"/>
  <c r="J905"/>
  <c r="M905"/>
  <c r="N905" s="1"/>
  <c r="V905"/>
  <c r="A906"/>
  <c r="B906" s="1"/>
  <c r="L905" l="1"/>
  <c r="W905"/>
  <c r="AC906"/>
  <c r="P906"/>
  <c r="Q906" s="1"/>
  <c r="R906" s="1"/>
  <c r="S906" s="1"/>
  <c r="Z906"/>
  <c r="AD906"/>
  <c r="AA906"/>
  <c r="T906" l="1"/>
  <c r="U905"/>
  <c r="Y904"/>
  <c r="D906" l="1"/>
  <c r="G906" s="1"/>
  <c r="AG906"/>
  <c r="E906"/>
  <c r="H906" s="1"/>
  <c r="AH906"/>
  <c r="F906" l="1"/>
  <c r="I906"/>
  <c r="J906"/>
  <c r="M906"/>
  <c r="N906" s="1"/>
  <c r="K906"/>
  <c r="AE906" s="1"/>
  <c r="V906" l="1"/>
  <c r="W906" s="1"/>
  <c r="A907"/>
  <c r="B907" s="1"/>
  <c r="L906"/>
  <c r="U906" l="1"/>
  <c r="Y905"/>
  <c r="Z907"/>
  <c r="AC907"/>
  <c r="AA907"/>
  <c r="P907"/>
  <c r="Q907" s="1"/>
  <c r="R907" s="1"/>
  <c r="S907" s="1"/>
  <c r="AD907"/>
  <c r="T907" l="1"/>
  <c r="AG907" s="1"/>
  <c r="E907" l="1"/>
  <c r="H907" s="1"/>
  <c r="K907" s="1"/>
  <c r="AE907" s="1"/>
  <c r="D907"/>
  <c r="AH907"/>
  <c r="V907" l="1"/>
  <c r="A908"/>
  <c r="B908" s="1"/>
  <c r="F907"/>
  <c r="G907"/>
  <c r="I907" l="1"/>
  <c r="W907" s="1"/>
  <c r="J907"/>
  <c r="M907"/>
  <c r="N907" s="1"/>
  <c r="P908"/>
  <c r="Q908" s="1"/>
  <c r="R908" s="1"/>
  <c r="S908" s="1"/>
  <c r="AA908"/>
  <c r="Z908"/>
  <c r="AD908"/>
  <c r="AC908"/>
  <c r="T908" l="1"/>
  <c r="L907"/>
  <c r="AG908" l="1"/>
  <c r="AH908"/>
  <c r="U907"/>
  <c r="E908" s="1"/>
  <c r="H908" s="1"/>
  <c r="Y906"/>
  <c r="D908" l="1"/>
  <c r="G908" s="1"/>
  <c r="K908"/>
  <c r="AE908" s="1"/>
  <c r="F908" l="1"/>
  <c r="I908"/>
  <c r="J908"/>
  <c r="M908"/>
  <c r="N908" s="1"/>
  <c r="V908"/>
  <c r="A909"/>
  <c r="B909" s="1"/>
  <c r="W908" l="1"/>
  <c r="L908"/>
  <c r="AA909"/>
  <c r="Z909"/>
  <c r="P909"/>
  <c r="Q909" s="1"/>
  <c r="R909" s="1"/>
  <c r="S909" s="1"/>
  <c r="AD909"/>
  <c r="AC909"/>
  <c r="U908" l="1"/>
  <c r="Y907"/>
  <c r="T909"/>
  <c r="AH909" s="1"/>
  <c r="AG909" l="1"/>
  <c r="D909"/>
  <c r="G909" s="1"/>
  <c r="E909"/>
  <c r="H909" s="1"/>
  <c r="K909" s="1"/>
  <c r="AE909" s="1"/>
  <c r="F909" l="1"/>
  <c r="V909"/>
  <c r="A910"/>
  <c r="B910" s="1"/>
  <c r="I909"/>
  <c r="J909"/>
  <c r="M909"/>
  <c r="N909" s="1"/>
  <c r="W909" l="1"/>
  <c r="L909"/>
  <c r="AA910"/>
  <c r="AC910"/>
  <c r="P910"/>
  <c r="Q910" s="1"/>
  <c r="R910" s="1"/>
  <c r="S910" s="1"/>
  <c r="AD910"/>
  <c r="Z910"/>
  <c r="U909" l="1"/>
  <c r="Y908"/>
  <c r="T910"/>
  <c r="AH910" s="1"/>
  <c r="D910" l="1"/>
  <c r="G910" s="1"/>
  <c r="AG910"/>
  <c r="E910"/>
  <c r="H910" s="1"/>
  <c r="F910" l="1"/>
  <c r="I910"/>
  <c r="J910"/>
  <c r="M910"/>
  <c r="N910" s="1"/>
  <c r="K910"/>
  <c r="AE910" s="1"/>
  <c r="V910" l="1"/>
  <c r="W910" s="1"/>
  <c r="A911"/>
  <c r="B911" s="1"/>
  <c r="L910"/>
  <c r="U910" l="1"/>
  <c r="Y909"/>
  <c r="AD911"/>
  <c r="AA911"/>
  <c r="P911"/>
  <c r="Q911" s="1"/>
  <c r="R911" s="1"/>
  <c r="S911" s="1"/>
  <c r="Z911"/>
  <c r="AC911"/>
  <c r="T911" l="1"/>
  <c r="E911" s="1"/>
  <c r="H911" s="1"/>
  <c r="AH911" l="1"/>
  <c r="D911"/>
  <c r="G911" s="1"/>
  <c r="AG911"/>
  <c r="K911"/>
  <c r="AE911" s="1"/>
  <c r="F911" l="1"/>
  <c r="I911"/>
  <c r="J911"/>
  <c r="M911"/>
  <c r="N911" s="1"/>
  <c r="V911"/>
  <c r="A912"/>
  <c r="B912" s="1"/>
  <c r="W911" l="1"/>
  <c r="L911"/>
  <c r="AA912"/>
  <c r="AD912"/>
  <c r="AC912"/>
  <c r="P912"/>
  <c r="Q912" s="1"/>
  <c r="R912" s="1"/>
  <c r="S912" s="1"/>
  <c r="Z912"/>
  <c r="T912" l="1"/>
  <c r="U911"/>
  <c r="Y910"/>
  <c r="D912" l="1"/>
  <c r="G912" s="1"/>
  <c r="AG912"/>
  <c r="AH912"/>
  <c r="E912"/>
  <c r="H912" s="1"/>
  <c r="I912" l="1"/>
  <c r="J912"/>
  <c r="M912"/>
  <c r="N912" s="1"/>
  <c r="F912"/>
  <c r="K912"/>
  <c r="AE912" s="1"/>
  <c r="L912" l="1"/>
  <c r="V912"/>
  <c r="W912" s="1"/>
  <c r="A913"/>
  <c r="B913" s="1"/>
  <c r="U912" l="1"/>
  <c r="Y911"/>
  <c r="Z913"/>
  <c r="AD913"/>
  <c r="P913"/>
  <c r="Q913" s="1"/>
  <c r="R913" s="1"/>
  <c r="S913" s="1"/>
  <c r="AA913"/>
  <c r="AC913"/>
  <c r="T913" l="1"/>
  <c r="AH913" s="1"/>
  <c r="D913" l="1"/>
  <c r="G913" s="1"/>
  <c r="AG913"/>
  <c r="E913"/>
  <c r="H913" s="1"/>
  <c r="F913" l="1"/>
  <c r="I913"/>
  <c r="J913"/>
  <c r="M913"/>
  <c r="N913" s="1"/>
  <c r="K913"/>
  <c r="AE913" s="1"/>
  <c r="V913" l="1"/>
  <c r="W913" s="1"/>
  <c r="A914"/>
  <c r="B914" s="1"/>
  <c r="L913"/>
  <c r="U913" l="1"/>
  <c r="Y912"/>
  <c r="AA914"/>
  <c r="Z914"/>
  <c r="AC914"/>
  <c r="P914"/>
  <c r="Q914" s="1"/>
  <c r="R914" s="1"/>
  <c r="S914" s="1"/>
  <c r="T914" l="1"/>
  <c r="D914" s="1"/>
  <c r="E914" l="1"/>
  <c r="H914" s="1"/>
  <c r="K914" s="1"/>
  <c r="AE914" s="1"/>
  <c r="G914"/>
  <c r="AH914"/>
  <c r="AG914"/>
  <c r="F914" l="1"/>
  <c r="I914"/>
  <c r="J914"/>
  <c r="AD914" s="1"/>
  <c r="M914"/>
  <c r="N914" s="1"/>
  <c r="V914"/>
  <c r="A915"/>
  <c r="B915" s="1"/>
  <c r="W914" l="1"/>
  <c r="L914"/>
  <c r="P915"/>
  <c r="Q915" s="1"/>
  <c r="R915" s="1"/>
  <c r="S915" s="1"/>
  <c r="AA915"/>
  <c r="AC915"/>
  <c r="Z915"/>
  <c r="AD915"/>
  <c r="U914" l="1"/>
  <c r="Y913"/>
  <c r="T915"/>
  <c r="AH915" s="1"/>
  <c r="E915" l="1"/>
  <c r="H915" s="1"/>
  <c r="D915"/>
  <c r="AG915"/>
  <c r="K915" l="1"/>
  <c r="AE915" s="1"/>
  <c r="F915"/>
  <c r="G915"/>
  <c r="I915" l="1"/>
  <c r="J915"/>
  <c r="M915"/>
  <c r="N915" s="1"/>
  <c r="V915"/>
  <c r="A916"/>
  <c r="B916" s="1"/>
  <c r="W915" l="1"/>
  <c r="L915"/>
  <c r="AC916"/>
  <c r="AA916"/>
  <c r="Z916"/>
  <c r="P916"/>
  <c r="Q916" s="1"/>
  <c r="R916" s="1"/>
  <c r="S916" s="1"/>
  <c r="AD916"/>
  <c r="U915" l="1"/>
  <c r="Y914"/>
  <c r="T916"/>
  <c r="D916" l="1"/>
  <c r="G916" s="1"/>
  <c r="AG916"/>
  <c r="AH916"/>
  <c r="E916"/>
  <c r="H916" s="1"/>
  <c r="K916" l="1"/>
  <c r="AE916" s="1"/>
  <c r="I916"/>
  <c r="J916"/>
  <c r="M916"/>
  <c r="N916" s="1"/>
  <c r="F916"/>
  <c r="L916" l="1"/>
  <c r="V916"/>
  <c r="W916" s="1"/>
  <c r="A917"/>
  <c r="B917" s="1"/>
  <c r="U916" l="1"/>
  <c r="Y915"/>
  <c r="AD917"/>
  <c r="AC917"/>
  <c r="Z917"/>
  <c r="P917"/>
  <c r="Q917" s="1"/>
  <c r="R917" s="1"/>
  <c r="S917" s="1"/>
  <c r="AA917"/>
  <c r="T917" l="1"/>
  <c r="AG917" s="1"/>
  <c r="E917" l="1"/>
  <c r="H917" s="1"/>
  <c r="K917" s="1"/>
  <c r="AE917" s="1"/>
  <c r="AH917"/>
  <c r="D917"/>
  <c r="F917" l="1"/>
  <c r="G917"/>
  <c r="J917" s="1"/>
  <c r="V917"/>
  <c r="A918"/>
  <c r="B918" s="1"/>
  <c r="M917" l="1"/>
  <c r="N917" s="1"/>
  <c r="I917"/>
  <c r="W917" s="1"/>
  <c r="L917"/>
  <c r="AC918"/>
  <c r="AD918"/>
  <c r="AA918"/>
  <c r="Z918"/>
  <c r="P918"/>
  <c r="Q918" s="1"/>
  <c r="R918" s="1"/>
  <c r="S918" s="1"/>
  <c r="T918" l="1"/>
  <c r="U917"/>
  <c r="Y916"/>
  <c r="E918" l="1"/>
  <c r="H918" s="1"/>
  <c r="K918" s="1"/>
  <c r="AE918" s="1"/>
  <c r="AH918"/>
  <c r="D918"/>
  <c r="G918" s="1"/>
  <c r="AG918"/>
  <c r="F918" l="1"/>
  <c r="I918"/>
  <c r="J918"/>
  <c r="M918"/>
  <c r="N918" s="1"/>
  <c r="V918"/>
  <c r="A919"/>
  <c r="B919" s="1"/>
  <c r="L918" l="1"/>
  <c r="W918"/>
  <c r="P919"/>
  <c r="Q919" s="1"/>
  <c r="R919" s="1"/>
  <c r="S919" s="1"/>
  <c r="Z919"/>
  <c r="AC919"/>
  <c r="AD919"/>
  <c r="AA919"/>
  <c r="U918" l="1"/>
  <c r="Y917"/>
  <c r="T919"/>
  <c r="AG919" s="1"/>
  <c r="E919" l="1"/>
  <c r="H919" s="1"/>
  <c r="K919" s="1"/>
  <c r="AE919" s="1"/>
  <c r="AH919"/>
  <c r="D919"/>
  <c r="V919" l="1"/>
  <c r="A920"/>
  <c r="B920" s="1"/>
  <c r="F919"/>
  <c r="G919"/>
  <c r="I919" l="1"/>
  <c r="W919" s="1"/>
  <c r="J919"/>
  <c r="M919"/>
  <c r="N919" s="1"/>
  <c r="AD920"/>
  <c r="AC920"/>
  <c r="P920"/>
  <c r="Q920" s="1"/>
  <c r="R920" s="1"/>
  <c r="S920" s="1"/>
  <c r="AA920"/>
  <c r="Z920"/>
  <c r="T920" l="1"/>
  <c r="L919"/>
  <c r="AH920" l="1"/>
  <c r="U919"/>
  <c r="E920" s="1"/>
  <c r="H920" s="1"/>
  <c r="AG920"/>
  <c r="Y918"/>
  <c r="D920" l="1"/>
  <c r="G920" s="1"/>
  <c r="K920"/>
  <c r="AE920" s="1"/>
  <c r="F920" l="1"/>
  <c r="V920"/>
  <c r="A921"/>
  <c r="B921" s="1"/>
  <c r="I920"/>
  <c r="J920"/>
  <c r="M920"/>
  <c r="N920" s="1"/>
  <c r="W920" l="1"/>
  <c r="L920"/>
  <c r="AA921"/>
  <c r="Z921"/>
  <c r="P921"/>
  <c r="Q921" s="1"/>
  <c r="R921" s="1"/>
  <c r="S921" s="1"/>
  <c r="AD921"/>
  <c r="AC921"/>
  <c r="U920" l="1"/>
  <c r="Y919"/>
  <c r="T921"/>
  <c r="AG921" s="1"/>
  <c r="E921" l="1"/>
  <c r="H921" s="1"/>
  <c r="K921" s="1"/>
  <c r="AE921" s="1"/>
  <c r="AH921"/>
  <c r="D921"/>
  <c r="G921" s="1"/>
  <c r="F921" l="1"/>
  <c r="I921"/>
  <c r="J921"/>
  <c r="M921"/>
  <c r="N921" s="1"/>
  <c r="V921"/>
  <c r="A922"/>
  <c r="B922" s="1"/>
  <c r="W921" l="1"/>
  <c r="L921"/>
  <c r="AC922"/>
  <c r="AA922"/>
  <c r="Z922"/>
  <c r="P922"/>
  <c r="Q922" s="1"/>
  <c r="R922" s="1"/>
  <c r="S922" s="1"/>
  <c r="AD922"/>
  <c r="U921" l="1"/>
  <c r="Y920"/>
  <c r="T922"/>
  <c r="E922" l="1"/>
  <c r="H922" s="1"/>
  <c r="K922" s="1"/>
  <c r="AE922" s="1"/>
  <c r="AH922"/>
  <c r="D922"/>
  <c r="AG922"/>
  <c r="F922" l="1"/>
  <c r="G922"/>
  <c r="V922"/>
  <c r="A923"/>
  <c r="B923" s="1"/>
  <c r="AD923" l="1"/>
  <c r="AC923"/>
  <c r="Z923"/>
  <c r="AA923"/>
  <c r="P923"/>
  <c r="Q923" s="1"/>
  <c r="R923" s="1"/>
  <c r="S923" s="1"/>
  <c r="I922"/>
  <c r="W922" s="1"/>
  <c r="J922"/>
  <c r="M922"/>
  <c r="N922" s="1"/>
  <c r="L922" l="1"/>
  <c r="T923"/>
  <c r="AH923" l="1"/>
  <c r="AG923"/>
  <c r="U922"/>
  <c r="D923" s="1"/>
  <c r="Y921"/>
  <c r="E923" l="1"/>
  <c r="H923" s="1"/>
  <c r="K923" s="1"/>
  <c r="AE923" s="1"/>
  <c r="G923"/>
  <c r="F923" l="1"/>
  <c r="V923"/>
  <c r="A924"/>
  <c r="B924" s="1"/>
  <c r="I923"/>
  <c r="J923"/>
  <c r="M923"/>
  <c r="N923" s="1"/>
  <c r="W923" l="1"/>
  <c r="L923"/>
  <c r="Z924"/>
  <c r="AC924"/>
  <c r="P924"/>
  <c r="Q924" s="1"/>
  <c r="R924" s="1"/>
  <c r="S924" s="1"/>
  <c r="AA924"/>
  <c r="U923" l="1"/>
  <c r="Y922"/>
  <c r="T924"/>
  <c r="AH924" s="1"/>
  <c r="D924" l="1"/>
  <c r="G924" s="1"/>
  <c r="AG924"/>
  <c r="E924"/>
  <c r="H924" s="1"/>
  <c r="K924" s="1"/>
  <c r="AE924" s="1"/>
  <c r="F924" l="1"/>
  <c r="I924"/>
  <c r="J924"/>
  <c r="AD924" s="1"/>
  <c r="M924"/>
  <c r="N924" s="1"/>
  <c r="V924"/>
  <c r="A925"/>
  <c r="B925" s="1"/>
  <c r="W924" l="1"/>
  <c r="L924"/>
  <c r="Z925"/>
  <c r="AA925"/>
  <c r="AD925"/>
  <c r="AC925"/>
  <c r="P925"/>
  <c r="Q925" s="1"/>
  <c r="R925" s="1"/>
  <c r="S925" s="1"/>
  <c r="T925" l="1"/>
  <c r="AG925" s="1"/>
  <c r="U924"/>
  <c r="Y923"/>
  <c r="AH925" l="1"/>
  <c r="E925"/>
  <c r="H925" s="1"/>
  <c r="D925"/>
  <c r="K925" l="1"/>
  <c r="AE925" s="1"/>
  <c r="F925"/>
  <c r="G925"/>
  <c r="I925" l="1"/>
  <c r="J925"/>
  <c r="M925"/>
  <c r="N925" s="1"/>
  <c r="V925"/>
  <c r="A926"/>
  <c r="B926" s="1"/>
  <c r="W925" l="1"/>
  <c r="L925"/>
  <c r="AC926"/>
  <c r="AA926"/>
  <c r="AD926"/>
  <c r="P926"/>
  <c r="Q926" s="1"/>
  <c r="R926" s="1"/>
  <c r="S926" s="1"/>
  <c r="Z926"/>
  <c r="U925" l="1"/>
  <c r="Y924"/>
  <c r="T926"/>
  <c r="AG926" s="1"/>
  <c r="E926" l="1"/>
  <c r="H926" s="1"/>
  <c r="K926" s="1"/>
  <c r="AE926" s="1"/>
  <c r="AH926"/>
  <c r="D926"/>
  <c r="V926" l="1"/>
  <c r="A927"/>
  <c r="B927" s="1"/>
  <c r="F926"/>
  <c r="G926"/>
  <c r="I926" l="1"/>
  <c r="W926" s="1"/>
  <c r="J926"/>
  <c r="M926"/>
  <c r="N926" s="1"/>
  <c r="AD927"/>
  <c r="Z927"/>
  <c r="P927"/>
  <c r="Q927" s="1"/>
  <c r="R927" s="1"/>
  <c r="S927" s="1"/>
  <c r="AA927"/>
  <c r="AC927"/>
  <c r="T927" l="1"/>
  <c r="L926"/>
  <c r="U926" l="1"/>
  <c r="D927" s="1"/>
  <c r="AG927"/>
  <c r="AH927"/>
  <c r="Y925"/>
  <c r="G927" l="1"/>
  <c r="E927"/>
  <c r="H927" s="1"/>
  <c r="F927" l="1"/>
  <c r="K927"/>
  <c r="AE927" s="1"/>
  <c r="I927"/>
  <c r="J927"/>
  <c r="M927"/>
  <c r="N927" s="1"/>
  <c r="L927" l="1"/>
  <c r="V927"/>
  <c r="W927" s="1"/>
  <c r="A928"/>
  <c r="B928" s="1"/>
  <c r="U927" l="1"/>
  <c r="Y926"/>
  <c r="AC928"/>
  <c r="AD928"/>
  <c r="AA928"/>
  <c r="Z928"/>
  <c r="P928"/>
  <c r="Q928" s="1"/>
  <c r="R928" s="1"/>
  <c r="S928" s="1"/>
  <c r="T928" l="1"/>
  <c r="D928" s="1"/>
  <c r="AH928" l="1"/>
  <c r="E928"/>
  <c r="H928" s="1"/>
  <c r="K928" s="1"/>
  <c r="AE928" s="1"/>
  <c r="AG928"/>
  <c r="G928"/>
  <c r="F928" l="1"/>
  <c r="I928"/>
  <c r="J928"/>
  <c r="M928"/>
  <c r="N928" s="1"/>
  <c r="V928"/>
  <c r="A929"/>
  <c r="B929" s="1"/>
  <c r="L928" l="1"/>
  <c r="P929"/>
  <c r="Q929" s="1"/>
  <c r="R929" s="1"/>
  <c r="S929" s="1"/>
  <c r="AD929"/>
  <c r="AC929"/>
  <c r="Z929"/>
  <c r="AA929"/>
  <c r="W928"/>
  <c r="T929" l="1"/>
  <c r="AG929" s="1"/>
  <c r="U928"/>
  <c r="Y927"/>
  <c r="AH929" l="1"/>
  <c r="D929"/>
  <c r="E929"/>
  <c r="H929" s="1"/>
  <c r="F929" l="1"/>
  <c r="G929"/>
  <c r="K929"/>
  <c r="AE929" s="1"/>
  <c r="V929" l="1"/>
  <c r="A930"/>
  <c r="B930" s="1"/>
  <c r="I929"/>
  <c r="J929"/>
  <c r="M929"/>
  <c r="N929" s="1"/>
  <c r="L929" l="1"/>
  <c r="AD930"/>
  <c r="P930"/>
  <c r="Q930" s="1"/>
  <c r="R930" s="1"/>
  <c r="S930" s="1"/>
  <c r="AC930"/>
  <c r="Z930"/>
  <c r="AA930"/>
  <c r="W929"/>
  <c r="T930" l="1"/>
  <c r="U929"/>
  <c r="Y928"/>
  <c r="D930" l="1"/>
  <c r="G930" s="1"/>
  <c r="AH930"/>
  <c r="E930"/>
  <c r="H930" s="1"/>
  <c r="AG930"/>
  <c r="F930" l="1"/>
  <c r="I930"/>
  <c r="J930"/>
  <c r="M930"/>
  <c r="N930" s="1"/>
  <c r="K930"/>
  <c r="AE930" s="1"/>
  <c r="V930" l="1"/>
  <c r="W930" s="1"/>
  <c r="A931"/>
  <c r="B931" s="1"/>
  <c r="L930"/>
  <c r="U930" l="1"/>
  <c r="Y929"/>
  <c r="AC931"/>
  <c r="AA931"/>
  <c r="Z931"/>
  <c r="P931"/>
  <c r="Q931" s="1"/>
  <c r="R931" s="1"/>
  <c r="S931" s="1"/>
  <c r="AD931"/>
  <c r="T931" l="1"/>
  <c r="AH931" s="1"/>
  <c r="E931" l="1"/>
  <c r="H931" s="1"/>
  <c r="D931"/>
  <c r="AG931"/>
  <c r="K931" l="1"/>
  <c r="AE931" s="1"/>
  <c r="F931"/>
  <c r="G931"/>
  <c r="I931" l="1"/>
  <c r="J931"/>
  <c r="M931"/>
  <c r="N931" s="1"/>
  <c r="V931"/>
  <c r="A932"/>
  <c r="B932" s="1"/>
  <c r="W931" l="1"/>
  <c r="L931"/>
  <c r="AA932"/>
  <c r="AD932"/>
  <c r="Z932"/>
  <c r="AC932"/>
  <c r="P932"/>
  <c r="Q932" s="1"/>
  <c r="R932" s="1"/>
  <c r="S932" s="1"/>
  <c r="U931" l="1"/>
  <c r="Y930"/>
  <c r="T932"/>
  <c r="AH932" s="1"/>
  <c r="E932" l="1"/>
  <c r="H932" s="1"/>
  <c r="D932"/>
  <c r="AG932"/>
  <c r="K932" l="1"/>
  <c r="AE932" s="1"/>
  <c r="F932"/>
  <c r="G932"/>
  <c r="V932" l="1"/>
  <c r="A933"/>
  <c r="B933" s="1"/>
  <c r="I932"/>
  <c r="J932"/>
  <c r="M932"/>
  <c r="N932" s="1"/>
  <c r="L932" l="1"/>
  <c r="W932"/>
  <c r="AA933"/>
  <c r="P933"/>
  <c r="Q933" s="1"/>
  <c r="R933" s="1"/>
  <c r="S933" s="1"/>
  <c r="Z933"/>
  <c r="AD933"/>
  <c r="AC933"/>
  <c r="U932" l="1"/>
  <c r="Y931"/>
  <c r="T933"/>
  <c r="D933" l="1"/>
  <c r="G933" s="1"/>
  <c r="AH933"/>
  <c r="AG933"/>
  <c r="E933"/>
  <c r="H933" s="1"/>
  <c r="K933" l="1"/>
  <c r="AE933" s="1"/>
  <c r="I933"/>
  <c r="J933"/>
  <c r="M933"/>
  <c r="N933" s="1"/>
  <c r="F933"/>
  <c r="V933" l="1"/>
  <c r="W933" s="1"/>
  <c r="A934"/>
  <c r="B934" s="1"/>
  <c r="L933"/>
  <c r="U933" l="1"/>
  <c r="Y932"/>
  <c r="AC934"/>
  <c r="Z934"/>
  <c r="P934"/>
  <c r="Q934" s="1"/>
  <c r="R934" s="1"/>
  <c r="S934" s="1"/>
  <c r="AA934"/>
  <c r="T934" l="1"/>
  <c r="AH934" s="1"/>
  <c r="AG934" l="1"/>
  <c r="D934"/>
  <c r="E934"/>
  <c r="H934" s="1"/>
  <c r="K934" l="1"/>
  <c r="AE934" s="1"/>
  <c r="F934"/>
  <c r="G934"/>
  <c r="V934" l="1"/>
  <c r="A935"/>
  <c r="B935" s="1"/>
  <c r="I934"/>
  <c r="J934"/>
  <c r="AD934" s="1"/>
  <c r="M934"/>
  <c r="N934" s="1"/>
  <c r="W934" l="1"/>
  <c r="L934"/>
  <c r="AD935"/>
  <c r="P935"/>
  <c r="Q935" s="1"/>
  <c r="R935" s="1"/>
  <c r="S935" s="1"/>
  <c r="AA935"/>
  <c r="AC935"/>
  <c r="Z935"/>
  <c r="T935" l="1"/>
  <c r="U934"/>
  <c r="Y933"/>
  <c r="E935" l="1"/>
  <c r="H935" s="1"/>
  <c r="K935" s="1"/>
  <c r="AE935" s="1"/>
  <c r="AH935"/>
  <c r="AG935"/>
  <c r="D935"/>
  <c r="V935" l="1"/>
  <c r="A936"/>
  <c r="B936" s="1"/>
  <c r="F935"/>
  <c r="G935"/>
  <c r="I935" l="1"/>
  <c r="W935" s="1"/>
  <c r="J935"/>
  <c r="M935"/>
  <c r="N935" s="1"/>
  <c r="P936"/>
  <c r="Q936" s="1"/>
  <c r="R936" s="1"/>
  <c r="S936" s="1"/>
  <c r="AD936"/>
  <c r="AC936"/>
  <c r="Z936"/>
  <c r="AA936"/>
  <c r="T936" l="1"/>
  <c r="L935"/>
  <c r="AH936" l="1"/>
  <c r="U935"/>
  <c r="E936" s="1"/>
  <c r="H936" s="1"/>
  <c r="AG936"/>
  <c r="Y934"/>
  <c r="D936" l="1"/>
  <c r="F936" s="1"/>
  <c r="K936"/>
  <c r="AE936" s="1"/>
  <c r="G936" l="1"/>
  <c r="J936" s="1"/>
  <c r="V936"/>
  <c r="A937"/>
  <c r="B937" s="1"/>
  <c r="M936" l="1"/>
  <c r="N936" s="1"/>
  <c r="I936"/>
  <c r="W936" s="1"/>
  <c r="L936"/>
  <c r="AD937"/>
  <c r="P937"/>
  <c r="Q937" s="1"/>
  <c r="R937" s="1"/>
  <c r="S937" s="1"/>
  <c r="AA937"/>
  <c r="Z937"/>
  <c r="AC937"/>
  <c r="U936" l="1"/>
  <c r="Y935"/>
  <c r="T937"/>
  <c r="AG937" s="1"/>
  <c r="E937" l="1"/>
  <c r="H937" s="1"/>
  <c r="K937" s="1"/>
  <c r="AE937" s="1"/>
  <c r="D937"/>
  <c r="G937" s="1"/>
  <c r="AH937"/>
  <c r="F937" l="1"/>
  <c r="V937"/>
  <c r="A938"/>
  <c r="B938" s="1"/>
  <c r="I937"/>
  <c r="J937"/>
  <c r="M937"/>
  <c r="N937" s="1"/>
  <c r="W937" l="1"/>
  <c r="L937"/>
  <c r="Z938"/>
  <c r="P938"/>
  <c r="Q938" s="1"/>
  <c r="R938" s="1"/>
  <c r="S938" s="1"/>
  <c r="AA938"/>
  <c r="AC938"/>
  <c r="AD938"/>
  <c r="T938" l="1"/>
  <c r="AG938" s="1"/>
  <c r="U937"/>
  <c r="Y936"/>
  <c r="D938" l="1"/>
  <c r="AH938"/>
  <c r="E938"/>
  <c r="H938" s="1"/>
  <c r="F938" l="1"/>
  <c r="G938"/>
  <c r="J938" s="1"/>
  <c r="K938"/>
  <c r="AE938" s="1"/>
  <c r="I938" l="1"/>
  <c r="M938"/>
  <c r="N938" s="1"/>
  <c r="V938"/>
  <c r="A939"/>
  <c r="B939" s="1"/>
  <c r="L938"/>
  <c r="W938" l="1"/>
  <c r="U938"/>
  <c r="Y937"/>
  <c r="AA939"/>
  <c r="P939"/>
  <c r="Q939" s="1"/>
  <c r="R939" s="1"/>
  <c r="S939" s="1"/>
  <c r="Z939"/>
  <c r="AD939"/>
  <c r="AC939"/>
  <c r="T939" l="1"/>
  <c r="E939" s="1"/>
  <c r="H939" s="1"/>
  <c r="K939" l="1"/>
  <c r="AE939" s="1"/>
  <c r="AG939"/>
  <c r="D939"/>
  <c r="AH939"/>
  <c r="F939" l="1"/>
  <c r="G939"/>
  <c r="V939"/>
  <c r="A940"/>
  <c r="B940" s="1"/>
  <c r="AC940" l="1"/>
  <c r="Z940"/>
  <c r="P940"/>
  <c r="Q940" s="1"/>
  <c r="R940" s="1"/>
  <c r="S940" s="1"/>
  <c r="AA940"/>
  <c r="AD940"/>
  <c r="I939"/>
  <c r="W939" s="1"/>
  <c r="J939"/>
  <c r="M939"/>
  <c r="N939" s="1"/>
  <c r="T940" l="1"/>
  <c r="L939"/>
  <c r="AG940" l="1"/>
  <c r="AH940"/>
  <c r="U939"/>
  <c r="D940" s="1"/>
  <c r="Y938"/>
  <c r="E940" l="1"/>
  <c r="H940" s="1"/>
  <c r="K940" s="1"/>
  <c r="AE940" s="1"/>
  <c r="G940"/>
  <c r="F940" l="1"/>
  <c r="I940"/>
  <c r="J940"/>
  <c r="M940"/>
  <c r="N940" s="1"/>
  <c r="V940"/>
  <c r="A941"/>
  <c r="B941" s="1"/>
  <c r="W940" l="1"/>
  <c r="L940"/>
  <c r="AD941"/>
  <c r="P941"/>
  <c r="Q941" s="1"/>
  <c r="R941" s="1"/>
  <c r="S941" s="1"/>
  <c r="Z941"/>
  <c r="AC941"/>
  <c r="AA941"/>
  <c r="T941" l="1"/>
  <c r="U940"/>
  <c r="Y939"/>
  <c r="E941" l="1"/>
  <c r="H941" s="1"/>
  <c r="K941" s="1"/>
  <c r="AE941" s="1"/>
  <c r="AH941"/>
  <c r="AG941"/>
  <c r="D941"/>
  <c r="F941" l="1"/>
  <c r="G941"/>
  <c r="V941"/>
  <c r="A942"/>
  <c r="B942" s="1"/>
  <c r="Z942" l="1"/>
  <c r="AD942"/>
  <c r="AC942"/>
  <c r="AA942"/>
  <c r="P942"/>
  <c r="Q942" s="1"/>
  <c r="R942" s="1"/>
  <c r="S942" s="1"/>
  <c r="I941"/>
  <c r="W941" s="1"/>
  <c r="J941"/>
  <c r="M941"/>
  <c r="N941" s="1"/>
  <c r="T942" l="1"/>
  <c r="L941"/>
  <c r="U941" l="1"/>
  <c r="E942" s="1"/>
  <c r="H942" s="1"/>
  <c r="AG942"/>
  <c r="AH942"/>
  <c r="Y940"/>
  <c r="D942" l="1"/>
  <c r="G942" s="1"/>
  <c r="K942"/>
  <c r="AE942" s="1"/>
  <c r="F942" l="1"/>
  <c r="I942"/>
  <c r="J942"/>
  <c r="M942"/>
  <c r="N942" s="1"/>
  <c r="V942"/>
  <c r="A943"/>
  <c r="B943" s="1"/>
  <c r="W942" l="1"/>
  <c r="L942"/>
  <c r="AA943"/>
  <c r="AC943"/>
  <c r="P943"/>
  <c r="Q943" s="1"/>
  <c r="R943" s="1"/>
  <c r="S943" s="1"/>
  <c r="Z943"/>
  <c r="AD943"/>
  <c r="U942" l="1"/>
  <c r="Y941"/>
  <c r="T943"/>
  <c r="AG943" s="1"/>
  <c r="E943" l="1"/>
  <c r="H943" s="1"/>
  <c r="K943" s="1"/>
  <c r="AE943" s="1"/>
  <c r="D943"/>
  <c r="AH943"/>
  <c r="F943" l="1"/>
  <c r="G943"/>
  <c r="M943" s="1"/>
  <c r="N943" s="1"/>
  <c r="V943"/>
  <c r="A944"/>
  <c r="B944" s="1"/>
  <c r="I943" l="1"/>
  <c r="W943" s="1"/>
  <c r="J943"/>
  <c r="L943" s="1"/>
  <c r="P944"/>
  <c r="Q944" s="1"/>
  <c r="R944" s="1"/>
  <c r="S944" s="1"/>
  <c r="AC944"/>
  <c r="Z944"/>
  <c r="AA944"/>
  <c r="U943" l="1"/>
  <c r="Y942"/>
  <c r="T944"/>
  <c r="AH944" s="1"/>
  <c r="D944" l="1"/>
  <c r="E944"/>
  <c r="H944" s="1"/>
  <c r="AG944"/>
  <c r="F944" l="1"/>
  <c r="G944"/>
  <c r="K944"/>
  <c r="AE944" s="1"/>
  <c r="I944" l="1"/>
  <c r="J944"/>
  <c r="AD944" s="1"/>
  <c r="M944"/>
  <c r="N944" s="1"/>
  <c r="V944"/>
  <c r="A945"/>
  <c r="B945" s="1"/>
  <c r="W944" l="1"/>
  <c r="L944"/>
  <c r="P945"/>
  <c r="Q945" s="1"/>
  <c r="R945" s="1"/>
  <c r="S945" s="1"/>
  <c r="AC945"/>
  <c r="Z945"/>
  <c r="AD945"/>
  <c r="AA945"/>
  <c r="U944" l="1"/>
  <c r="Y943"/>
  <c r="T945"/>
  <c r="D945" l="1"/>
  <c r="G945" s="1"/>
  <c r="AH945"/>
  <c r="E945"/>
  <c r="H945" s="1"/>
  <c r="AG945"/>
  <c r="F945" l="1"/>
  <c r="I945"/>
  <c r="J945"/>
  <c r="M945"/>
  <c r="N945" s="1"/>
  <c r="K945"/>
  <c r="AE945" s="1"/>
  <c r="V945" l="1"/>
  <c r="W945" s="1"/>
  <c r="A946"/>
  <c r="B946" s="1"/>
  <c r="L945"/>
  <c r="U945" l="1"/>
  <c r="Y944"/>
  <c r="P946"/>
  <c r="Q946" s="1"/>
  <c r="R946" s="1"/>
  <c r="S946" s="1"/>
  <c r="AC946"/>
  <c r="AA946"/>
  <c r="AD946"/>
  <c r="Z946"/>
  <c r="T946" l="1"/>
  <c r="E946" s="1"/>
  <c r="H946" s="1"/>
  <c r="K946" l="1"/>
  <c r="AE946" s="1"/>
  <c r="AG946"/>
  <c r="D946"/>
  <c r="AH946"/>
  <c r="F946" l="1"/>
  <c r="G946"/>
  <c r="V946"/>
  <c r="A947"/>
  <c r="B947" s="1"/>
  <c r="Z947" l="1"/>
  <c r="AC947"/>
  <c r="P947"/>
  <c r="Q947" s="1"/>
  <c r="R947" s="1"/>
  <c r="S947" s="1"/>
  <c r="AA947"/>
  <c r="AD947"/>
  <c r="I946"/>
  <c r="W946" s="1"/>
  <c r="J946"/>
  <c r="M946"/>
  <c r="N946" s="1"/>
  <c r="L946" l="1"/>
  <c r="T947"/>
  <c r="AH947" l="1"/>
  <c r="AG947"/>
  <c r="U946"/>
  <c r="E947" s="1"/>
  <c r="H947" s="1"/>
  <c r="Y945"/>
  <c r="D947" l="1"/>
  <c r="G947" s="1"/>
  <c r="K947"/>
  <c r="AE947" s="1"/>
  <c r="F947" l="1"/>
  <c r="V947"/>
  <c r="A948"/>
  <c r="B948" s="1"/>
  <c r="I947"/>
  <c r="J947"/>
  <c r="M947"/>
  <c r="N947" s="1"/>
  <c r="W947" l="1"/>
  <c r="L947"/>
  <c r="P948"/>
  <c r="Q948" s="1"/>
  <c r="R948" s="1"/>
  <c r="S948" s="1"/>
  <c r="AA948"/>
  <c r="AD948"/>
  <c r="Z948"/>
  <c r="AC948"/>
  <c r="U947" l="1"/>
  <c r="Y946"/>
  <c r="T948"/>
  <c r="AH948" s="1"/>
  <c r="AG948" l="1"/>
  <c r="E948"/>
  <c r="H948" s="1"/>
  <c r="D948"/>
  <c r="K948" l="1"/>
  <c r="AE948" s="1"/>
  <c r="F948"/>
  <c r="G948"/>
  <c r="I948" l="1"/>
  <c r="J948"/>
  <c r="M948"/>
  <c r="N948" s="1"/>
  <c r="V948"/>
  <c r="A949"/>
  <c r="B949" s="1"/>
  <c r="W948" l="1"/>
  <c r="L948"/>
  <c r="AD949"/>
  <c r="AA949"/>
  <c r="AC949"/>
  <c r="Z949"/>
  <c r="P949"/>
  <c r="Q949" s="1"/>
  <c r="R949" s="1"/>
  <c r="S949" s="1"/>
  <c r="U948" l="1"/>
  <c r="Y947"/>
  <c r="T949"/>
  <c r="AH949" s="1"/>
  <c r="AG949" l="1"/>
  <c r="D949"/>
  <c r="G949" s="1"/>
  <c r="E949"/>
  <c r="H949" s="1"/>
  <c r="K949" s="1"/>
  <c r="AE949" s="1"/>
  <c r="F949" l="1"/>
  <c r="I949"/>
  <c r="J949"/>
  <c r="M949"/>
  <c r="N949" s="1"/>
  <c r="V949"/>
  <c r="A950"/>
  <c r="B950" s="1"/>
  <c r="W949" l="1"/>
  <c r="L949"/>
  <c r="Z950"/>
  <c r="AC950"/>
  <c r="P950"/>
  <c r="Q950" s="1"/>
  <c r="R950" s="1"/>
  <c r="S950" s="1"/>
  <c r="AD950"/>
  <c r="AA950"/>
  <c r="T950" l="1"/>
  <c r="U949"/>
  <c r="Y948"/>
  <c r="D950" l="1"/>
  <c r="G950" s="1"/>
  <c r="AG950"/>
  <c r="E950"/>
  <c r="H950" s="1"/>
  <c r="K950" s="1"/>
  <c r="AE950" s="1"/>
  <c r="AH950"/>
  <c r="F950" l="1"/>
  <c r="I950"/>
  <c r="J950"/>
  <c r="M950"/>
  <c r="N950" s="1"/>
  <c r="V950"/>
  <c r="A951"/>
  <c r="B951" s="1"/>
  <c r="W950" l="1"/>
  <c r="P951"/>
  <c r="Q951" s="1"/>
  <c r="R951" s="1"/>
  <c r="S951" s="1"/>
  <c r="AA951"/>
  <c r="AC951"/>
  <c r="AD951"/>
  <c r="Z951"/>
  <c r="L950"/>
  <c r="T951" l="1"/>
  <c r="U950"/>
  <c r="Y949"/>
  <c r="D951" l="1"/>
  <c r="G951" s="1"/>
  <c r="AH951"/>
  <c r="AG951"/>
  <c r="E951"/>
  <c r="H951" s="1"/>
  <c r="K951" s="1"/>
  <c r="AE951" s="1"/>
  <c r="F951" l="1"/>
  <c r="I951"/>
  <c r="J951"/>
  <c r="M951"/>
  <c r="N951" s="1"/>
  <c r="V951"/>
  <c r="A952"/>
  <c r="B952" s="1"/>
  <c r="AC952" l="1"/>
  <c r="Z952"/>
  <c r="AD952"/>
  <c r="P952"/>
  <c r="Q952" s="1"/>
  <c r="R952" s="1"/>
  <c r="S952" s="1"/>
  <c r="AA952"/>
  <c r="W951"/>
  <c r="L951"/>
  <c r="U951" l="1"/>
  <c r="Y950"/>
  <c r="T952"/>
  <c r="D952" l="1"/>
  <c r="G952" s="1"/>
  <c r="E952"/>
  <c r="H952" s="1"/>
  <c r="AH952"/>
  <c r="AG952"/>
  <c r="F952" l="1"/>
  <c r="I952"/>
  <c r="J952"/>
  <c r="M952"/>
  <c r="N952" s="1"/>
  <c r="K952"/>
  <c r="AE952" s="1"/>
  <c r="V952" l="1"/>
  <c r="W952" s="1"/>
  <c r="A953"/>
  <c r="B953" s="1"/>
  <c r="L952"/>
  <c r="U952" l="1"/>
  <c r="Y951"/>
  <c r="Z953"/>
  <c r="AA953"/>
  <c r="AD953"/>
  <c r="P953"/>
  <c r="Q953" s="1"/>
  <c r="R953" s="1"/>
  <c r="S953" s="1"/>
  <c r="AC953"/>
  <c r="T953" l="1"/>
  <c r="AG953" s="1"/>
  <c r="E953" l="1"/>
  <c r="H953" s="1"/>
  <c r="K953" s="1"/>
  <c r="AE953" s="1"/>
  <c r="AH953"/>
  <c r="D953"/>
  <c r="G953" s="1"/>
  <c r="F953" l="1"/>
  <c r="I953"/>
  <c r="J953"/>
  <c r="M953"/>
  <c r="N953" s="1"/>
  <c r="V953"/>
  <c r="A954"/>
  <c r="B954" s="1"/>
  <c r="W953" l="1"/>
  <c r="L953"/>
  <c r="AA954"/>
  <c r="P954"/>
  <c r="Q954" s="1"/>
  <c r="R954" s="1"/>
  <c r="S954" s="1"/>
  <c r="AC954"/>
  <c r="Z954"/>
  <c r="T954" l="1"/>
  <c r="U953"/>
  <c r="Y952"/>
  <c r="E954" l="1"/>
  <c r="H954" s="1"/>
  <c r="K954" s="1"/>
  <c r="AE954" s="1"/>
  <c r="AG954"/>
  <c r="AH954"/>
  <c r="D954"/>
  <c r="G954" s="1"/>
  <c r="F954" l="1"/>
  <c r="V954"/>
  <c r="A955"/>
  <c r="B955" s="1"/>
  <c r="I954"/>
  <c r="J954"/>
  <c r="AD954" s="1"/>
  <c r="M954"/>
  <c r="N954" s="1"/>
  <c r="W954" l="1"/>
  <c r="L954"/>
  <c r="P955"/>
  <c r="Q955" s="1"/>
  <c r="R955" s="1"/>
  <c r="S955" s="1"/>
  <c r="AA955"/>
  <c r="AD955"/>
  <c r="AC955"/>
  <c r="Z955"/>
  <c r="U954" l="1"/>
  <c r="Y953"/>
  <c r="T955"/>
  <c r="AG955" s="1"/>
  <c r="AH955" l="1"/>
  <c r="D955"/>
  <c r="E955"/>
  <c r="H955" s="1"/>
  <c r="F955" l="1"/>
  <c r="G955"/>
  <c r="K955"/>
  <c r="AE955" s="1"/>
  <c r="I955" l="1"/>
  <c r="J955"/>
  <c r="M955"/>
  <c r="N955" s="1"/>
  <c r="V955"/>
  <c r="A956"/>
  <c r="B956" s="1"/>
  <c r="W955" l="1"/>
  <c r="L955"/>
  <c r="AA956"/>
  <c r="P956"/>
  <c r="Q956" s="1"/>
  <c r="R956" s="1"/>
  <c r="S956" s="1"/>
  <c r="Z956"/>
  <c r="AD956"/>
  <c r="AC956"/>
  <c r="U955" l="1"/>
  <c r="Y954"/>
  <c r="T956"/>
  <c r="AH956" s="1"/>
  <c r="AG956" l="1"/>
  <c r="E956"/>
  <c r="H956" s="1"/>
  <c r="K956" s="1"/>
  <c r="AE956" s="1"/>
  <c r="D956"/>
  <c r="V956" l="1"/>
  <c r="A957"/>
  <c r="B957" s="1"/>
  <c r="F956"/>
  <c r="G956"/>
  <c r="I956" l="1"/>
  <c r="W956" s="1"/>
  <c r="J956"/>
  <c r="M956"/>
  <c r="N956" s="1"/>
  <c r="AA957"/>
  <c r="AD957"/>
  <c r="Z957"/>
  <c r="P957"/>
  <c r="Q957" s="1"/>
  <c r="R957" s="1"/>
  <c r="S957" s="1"/>
  <c r="AC957"/>
  <c r="T957" l="1"/>
  <c r="L956"/>
  <c r="AG957" l="1"/>
  <c r="U956"/>
  <c r="E957" s="1"/>
  <c r="H957" s="1"/>
  <c r="AH957"/>
  <c r="Y955"/>
  <c r="D957" l="1"/>
  <c r="G957" s="1"/>
  <c r="K957"/>
  <c r="AE957" s="1"/>
  <c r="F957" l="1"/>
  <c r="I957"/>
  <c r="J957"/>
  <c r="M957"/>
  <c r="N957" s="1"/>
  <c r="V957"/>
  <c r="A958"/>
  <c r="B958" s="1"/>
  <c r="W957" l="1"/>
  <c r="L957"/>
  <c r="AC958"/>
  <c r="AA958"/>
  <c r="P958"/>
  <c r="Q958" s="1"/>
  <c r="R958" s="1"/>
  <c r="S958" s="1"/>
  <c r="Z958"/>
  <c r="AD958"/>
  <c r="T958" l="1"/>
  <c r="AH958" s="1"/>
  <c r="U957"/>
  <c r="Y956"/>
  <c r="AG958" l="1"/>
  <c r="D958"/>
  <c r="E958"/>
  <c r="H958" s="1"/>
  <c r="K958" l="1"/>
  <c r="AE958" s="1"/>
  <c r="F958"/>
  <c r="G958"/>
  <c r="V958" l="1"/>
  <c r="A959"/>
  <c r="B959" s="1"/>
  <c r="I958"/>
  <c r="J958"/>
  <c r="M958"/>
  <c r="N958" s="1"/>
  <c r="W958" l="1"/>
  <c r="L958"/>
  <c r="Z959"/>
  <c r="AC959"/>
  <c r="P959"/>
  <c r="Q959" s="1"/>
  <c r="R959" s="1"/>
  <c r="S959" s="1"/>
  <c r="AA959"/>
  <c r="AD959"/>
  <c r="T959" l="1"/>
  <c r="AH959" s="1"/>
  <c r="U958"/>
  <c r="Y957"/>
  <c r="AG959" l="1"/>
  <c r="E959"/>
  <c r="H959" s="1"/>
  <c r="K959" s="1"/>
  <c r="AE959" s="1"/>
  <c r="D959"/>
  <c r="F959" l="1"/>
  <c r="G959"/>
  <c r="V959"/>
  <c r="A960"/>
  <c r="B960" s="1"/>
  <c r="AD960" l="1"/>
  <c r="Z960"/>
  <c r="AA960"/>
  <c r="P960"/>
  <c r="Q960" s="1"/>
  <c r="R960" s="1"/>
  <c r="S960" s="1"/>
  <c r="AC960"/>
  <c r="I959"/>
  <c r="W959" s="1"/>
  <c r="J959"/>
  <c r="M959"/>
  <c r="N959" s="1"/>
  <c r="T960" l="1"/>
  <c r="L959"/>
  <c r="U959" l="1"/>
  <c r="E960" s="1"/>
  <c r="H960" s="1"/>
  <c r="AG960"/>
  <c r="AH960"/>
  <c r="Y958"/>
  <c r="D960" l="1"/>
  <c r="G960" s="1"/>
  <c r="K960"/>
  <c r="AE960" s="1"/>
  <c r="F960" l="1"/>
  <c r="I960"/>
  <c r="J960"/>
  <c r="M960"/>
  <c r="N960" s="1"/>
  <c r="V960"/>
  <c r="A961"/>
  <c r="B961" s="1"/>
  <c r="W960" l="1"/>
  <c r="P961"/>
  <c r="Q961" s="1"/>
  <c r="R961" s="1"/>
  <c r="S961" s="1"/>
  <c r="AD961"/>
  <c r="AC961"/>
  <c r="Z961"/>
  <c r="AA961"/>
  <c r="L960"/>
  <c r="U960" l="1"/>
  <c r="Y959"/>
  <c r="T961"/>
  <c r="D961" l="1"/>
  <c r="G961" s="1"/>
  <c r="AH961"/>
  <c r="AG961"/>
  <c r="E961"/>
  <c r="H961" s="1"/>
  <c r="K961" l="1"/>
  <c r="AE961" s="1"/>
  <c r="I961"/>
  <c r="J961"/>
  <c r="M961"/>
  <c r="N961" s="1"/>
  <c r="F961"/>
  <c r="L961" l="1"/>
  <c r="V961"/>
  <c r="W961" s="1"/>
  <c r="A962"/>
  <c r="B962" s="1"/>
  <c r="Z962" l="1"/>
  <c r="AA962"/>
  <c r="P962"/>
  <c r="Q962" s="1"/>
  <c r="R962" s="1"/>
  <c r="S962" s="1"/>
  <c r="AC962"/>
  <c r="AD962"/>
  <c r="U961"/>
  <c r="Y960"/>
  <c r="T962" l="1"/>
  <c r="E962" s="1"/>
  <c r="H962" s="1"/>
  <c r="AH962" l="1"/>
  <c r="K962"/>
  <c r="AE962" s="1"/>
  <c r="D962"/>
  <c r="AG962"/>
  <c r="V962" l="1"/>
  <c r="A963"/>
  <c r="B963" s="1"/>
  <c r="F962"/>
  <c r="G962"/>
  <c r="P963" l="1"/>
  <c r="Q963" s="1"/>
  <c r="R963" s="1"/>
  <c r="S963" s="1"/>
  <c r="AC963"/>
  <c r="Z963"/>
  <c r="AA963"/>
  <c r="AD963"/>
  <c r="I962"/>
  <c r="W962" s="1"/>
  <c r="J962"/>
  <c r="M962"/>
  <c r="N962" s="1"/>
  <c r="T963" l="1"/>
  <c r="L962"/>
  <c r="U962" l="1"/>
  <c r="E963" s="1"/>
  <c r="H963" s="1"/>
  <c r="AG963"/>
  <c r="AH963"/>
  <c r="Y961"/>
  <c r="D963" l="1"/>
  <c r="G963" s="1"/>
  <c r="K963"/>
  <c r="AE963" s="1"/>
  <c r="F963" l="1"/>
  <c r="I963"/>
  <c r="J963"/>
  <c r="M963"/>
  <c r="N963" s="1"/>
  <c r="V963"/>
  <c r="A964"/>
  <c r="B964" s="1"/>
  <c r="W963" l="1"/>
  <c r="L963"/>
  <c r="Z964"/>
  <c r="P964"/>
  <c r="Q964" s="1"/>
  <c r="R964" s="1"/>
  <c r="S964" s="1"/>
  <c r="AA964"/>
  <c r="AC964"/>
  <c r="U963" l="1"/>
  <c r="Y962"/>
  <c r="T964"/>
  <c r="D964" l="1"/>
  <c r="G964" s="1"/>
  <c r="E964"/>
  <c r="H964" s="1"/>
  <c r="K964" s="1"/>
  <c r="AE964" s="1"/>
  <c r="AH964"/>
  <c r="AG964"/>
  <c r="F964" l="1"/>
  <c r="I964"/>
  <c r="J964"/>
  <c r="AD964" s="1"/>
  <c r="M964"/>
  <c r="N964" s="1"/>
  <c r="V964"/>
  <c r="A965"/>
  <c r="B965" s="1"/>
  <c r="W964" l="1"/>
  <c r="L964"/>
  <c r="AC965"/>
  <c r="AD965"/>
  <c r="P965"/>
  <c r="Q965" s="1"/>
  <c r="R965" s="1"/>
  <c r="S965" s="1"/>
  <c r="AA965"/>
  <c r="Z965"/>
  <c r="U964" l="1"/>
  <c r="Y963"/>
  <c r="T965"/>
  <c r="AH965" s="1"/>
  <c r="AG965" l="1"/>
  <c r="E965"/>
  <c r="H965" s="1"/>
  <c r="D965"/>
  <c r="F965" l="1"/>
  <c r="G965"/>
  <c r="K965"/>
  <c r="AE965" s="1"/>
  <c r="V965" l="1"/>
  <c r="A966"/>
  <c r="B966" s="1"/>
  <c r="I965"/>
  <c r="J965"/>
  <c r="M965"/>
  <c r="N965" s="1"/>
  <c r="L965" l="1"/>
  <c r="P966"/>
  <c r="Q966" s="1"/>
  <c r="R966" s="1"/>
  <c r="S966" s="1"/>
  <c r="AD966"/>
  <c r="AA966"/>
  <c r="Z966"/>
  <c r="AC966"/>
  <c r="W965"/>
  <c r="T966" l="1"/>
  <c r="AG966" s="1"/>
  <c r="U965"/>
  <c r="Y964"/>
  <c r="E966" l="1"/>
  <c r="H966" s="1"/>
  <c r="D966"/>
  <c r="AH966"/>
  <c r="K966" l="1"/>
  <c r="AE966" s="1"/>
  <c r="F966"/>
  <c r="G966"/>
  <c r="I966" l="1"/>
  <c r="J966"/>
  <c r="M966"/>
  <c r="N966" s="1"/>
  <c r="V966"/>
  <c r="A967"/>
  <c r="B967" s="1"/>
  <c r="W966" l="1"/>
  <c r="L966"/>
  <c r="AA967"/>
  <c r="P967"/>
  <c r="Q967" s="1"/>
  <c r="R967" s="1"/>
  <c r="S967" s="1"/>
  <c r="AC967"/>
  <c r="Z967"/>
  <c r="AD967"/>
  <c r="U966" l="1"/>
  <c r="Y965"/>
  <c r="T967"/>
  <c r="E967" l="1"/>
  <c r="H967" s="1"/>
  <c r="K967" s="1"/>
  <c r="AE967" s="1"/>
  <c r="AH967"/>
  <c r="AG967"/>
  <c r="D967"/>
  <c r="V967" l="1"/>
  <c r="A968"/>
  <c r="B968" s="1"/>
  <c r="F967"/>
  <c r="G967"/>
  <c r="I967" l="1"/>
  <c r="W967" s="1"/>
  <c r="J967"/>
  <c r="M967"/>
  <c r="N967" s="1"/>
  <c r="Z968"/>
  <c r="AA968"/>
  <c r="P968"/>
  <c r="Q968" s="1"/>
  <c r="R968" s="1"/>
  <c r="S968" s="1"/>
  <c r="AC968"/>
  <c r="AD968"/>
  <c r="L967" l="1"/>
  <c r="T968"/>
  <c r="AH968" l="1"/>
  <c r="AG968"/>
  <c r="U967"/>
  <c r="E968" s="1"/>
  <c r="H968" s="1"/>
  <c r="Y966"/>
  <c r="K968" l="1"/>
  <c r="AE968" s="1"/>
  <c r="D968"/>
  <c r="V968" l="1"/>
  <c r="A969"/>
  <c r="B969" s="1"/>
  <c r="F968"/>
  <c r="G968"/>
  <c r="I968" l="1"/>
  <c r="W968" s="1"/>
  <c r="J968"/>
  <c r="M968"/>
  <c r="N968" s="1"/>
  <c r="AA969"/>
  <c r="Z969"/>
  <c r="AD969"/>
  <c r="P969"/>
  <c r="Q969" s="1"/>
  <c r="R969" s="1"/>
  <c r="S969" s="1"/>
  <c r="AC969"/>
  <c r="T969" l="1"/>
  <c r="L968"/>
  <c r="AH969" l="1"/>
  <c r="U968"/>
  <c r="D969" s="1"/>
  <c r="AG969"/>
  <c r="Y967"/>
  <c r="G969" l="1"/>
  <c r="E969"/>
  <c r="H969" s="1"/>
  <c r="F969" l="1"/>
  <c r="I969"/>
  <c r="J969"/>
  <c r="M969"/>
  <c r="N969" s="1"/>
  <c r="K969"/>
  <c r="AE969" s="1"/>
  <c r="V969" l="1"/>
  <c r="W969" s="1"/>
  <c r="A970"/>
  <c r="B970" s="1"/>
  <c r="L969"/>
  <c r="U969" l="1"/>
  <c r="Y968"/>
  <c r="AA970"/>
  <c r="P970"/>
  <c r="Q970" s="1"/>
  <c r="R970" s="1"/>
  <c r="S970" s="1"/>
  <c r="AC970"/>
  <c r="Z970"/>
  <c r="AD970"/>
  <c r="T970" l="1"/>
  <c r="E970" s="1"/>
  <c r="H970" s="1"/>
  <c r="AH970" l="1"/>
  <c r="K970"/>
  <c r="AE970" s="1"/>
  <c r="D970"/>
  <c r="AG970"/>
  <c r="V970" l="1"/>
  <c r="A971"/>
  <c r="B971" s="1"/>
  <c r="F970"/>
  <c r="G970"/>
  <c r="I970" l="1"/>
  <c r="W970" s="1"/>
  <c r="J970"/>
  <c r="M970"/>
  <c r="N970" s="1"/>
  <c r="P971"/>
  <c r="Q971" s="1"/>
  <c r="R971" s="1"/>
  <c r="S971" s="1"/>
  <c r="AD971"/>
  <c r="Z971"/>
  <c r="AC971"/>
  <c r="AA971"/>
  <c r="T971" l="1"/>
  <c r="L970"/>
  <c r="U970" l="1"/>
  <c r="E971" s="1"/>
  <c r="H971" s="1"/>
  <c r="AH971"/>
  <c r="AG971"/>
  <c r="Y969"/>
  <c r="K971" l="1"/>
  <c r="AE971" s="1"/>
  <c r="D971"/>
  <c r="V971" l="1"/>
  <c r="A972"/>
  <c r="B972" s="1"/>
  <c r="F971"/>
  <c r="G971"/>
  <c r="I971" l="1"/>
  <c r="W971" s="1"/>
  <c r="J971"/>
  <c r="M971"/>
  <c r="N971" s="1"/>
  <c r="AC972"/>
  <c r="AD972"/>
  <c r="Z972"/>
  <c r="P972"/>
  <c r="Q972" s="1"/>
  <c r="R972" s="1"/>
  <c r="S972" s="1"/>
  <c r="AA972"/>
  <c r="T972" l="1"/>
  <c r="L971"/>
  <c r="U971" l="1"/>
  <c r="D972" s="1"/>
  <c r="AH972"/>
  <c r="AG972"/>
  <c r="Y970"/>
  <c r="E972" l="1"/>
  <c r="H972" s="1"/>
  <c r="K972" s="1"/>
  <c r="AE972" s="1"/>
  <c r="G972"/>
  <c r="F972" l="1"/>
  <c r="V972"/>
  <c r="A973"/>
  <c r="B973" s="1"/>
  <c r="I972"/>
  <c r="J972"/>
  <c r="M972"/>
  <c r="N972" s="1"/>
  <c r="W972" l="1"/>
  <c r="L972"/>
  <c r="AC973"/>
  <c r="P973"/>
  <c r="Q973" s="1"/>
  <c r="R973" s="1"/>
  <c r="S973" s="1"/>
  <c r="Z973"/>
  <c r="AD973"/>
  <c r="AA973"/>
  <c r="U972" l="1"/>
  <c r="Y971"/>
  <c r="T973"/>
  <c r="AG973" s="1"/>
  <c r="D973" l="1"/>
  <c r="G973" s="1"/>
  <c r="E973"/>
  <c r="H973" s="1"/>
  <c r="K973" s="1"/>
  <c r="AE973" s="1"/>
  <c r="AH973"/>
  <c r="F973" l="1"/>
  <c r="I973"/>
  <c r="J973"/>
  <c r="M973"/>
  <c r="N973" s="1"/>
  <c r="V973"/>
  <c r="A974"/>
  <c r="B974" s="1"/>
  <c r="W973" l="1"/>
  <c r="L973"/>
  <c r="P974"/>
  <c r="Q974" s="1"/>
  <c r="R974" s="1"/>
  <c r="S974" s="1"/>
  <c r="AA974"/>
  <c r="Z974"/>
  <c r="AC974"/>
  <c r="T974" l="1"/>
  <c r="AG974" s="1"/>
  <c r="U973"/>
  <c r="Y972"/>
  <c r="AH974" l="1"/>
  <c r="E974"/>
  <c r="H974" s="1"/>
  <c r="D974"/>
  <c r="K974" l="1"/>
  <c r="AE974" s="1"/>
  <c r="F974"/>
  <c r="G974"/>
  <c r="I974" l="1"/>
  <c r="J974"/>
  <c r="AD974" s="1"/>
  <c r="M974"/>
  <c r="N974" s="1"/>
  <c r="V974"/>
  <c r="A975"/>
  <c r="B975" s="1"/>
  <c r="W974" l="1"/>
  <c r="L974"/>
  <c r="AD975"/>
  <c r="P975"/>
  <c r="Q975" s="1"/>
  <c r="R975" s="1"/>
  <c r="S975" s="1"/>
  <c r="AC975"/>
  <c r="Z975"/>
  <c r="AA975"/>
  <c r="U974" l="1"/>
  <c r="Y973"/>
  <c r="T975"/>
  <c r="D975" l="1"/>
  <c r="G975" s="1"/>
  <c r="AH975"/>
  <c r="E975"/>
  <c r="H975" s="1"/>
  <c r="K975" s="1"/>
  <c r="AE975" s="1"/>
  <c r="AG975"/>
  <c r="F975" l="1"/>
  <c r="V975"/>
  <c r="A976"/>
  <c r="B976" s="1"/>
  <c r="I975"/>
  <c r="J975"/>
  <c r="M975"/>
  <c r="N975" s="1"/>
  <c r="W975" l="1"/>
  <c r="L975"/>
  <c r="AA976"/>
  <c r="AC976"/>
  <c r="Z976"/>
  <c r="AD976"/>
  <c r="P976"/>
  <c r="Q976" s="1"/>
  <c r="R976" s="1"/>
  <c r="S976" s="1"/>
  <c r="U975" l="1"/>
  <c r="Y974"/>
  <c r="T976"/>
  <c r="AG976" s="1"/>
  <c r="AH976" l="1"/>
  <c r="E976"/>
  <c r="H976" s="1"/>
  <c r="D976"/>
  <c r="K976" l="1"/>
  <c r="AE976" s="1"/>
  <c r="F976"/>
  <c r="G976"/>
  <c r="I976" l="1"/>
  <c r="J976"/>
  <c r="M976"/>
  <c r="N976" s="1"/>
  <c r="V976"/>
  <c r="A977"/>
  <c r="B977" s="1"/>
  <c r="W976" l="1"/>
  <c r="L976"/>
  <c r="Z977"/>
  <c r="P977"/>
  <c r="Q977" s="1"/>
  <c r="R977" s="1"/>
  <c r="S977" s="1"/>
  <c r="AC977"/>
  <c r="AA977"/>
  <c r="AD977"/>
  <c r="T977" l="1"/>
  <c r="U976"/>
  <c r="Y975"/>
  <c r="E977" l="1"/>
  <c r="H977" s="1"/>
  <c r="K977" s="1"/>
  <c r="AE977" s="1"/>
  <c r="AG977"/>
  <c r="D977"/>
  <c r="G977" s="1"/>
  <c r="AH977"/>
  <c r="F977" l="1"/>
  <c r="I977"/>
  <c r="J977"/>
  <c r="M977"/>
  <c r="N977" s="1"/>
  <c r="V977"/>
  <c r="A978"/>
  <c r="B978" s="1"/>
  <c r="W977" l="1"/>
  <c r="L977"/>
  <c r="AC978"/>
  <c r="AD978"/>
  <c r="Z978"/>
  <c r="AA978"/>
  <c r="P978"/>
  <c r="Q978" s="1"/>
  <c r="R978" s="1"/>
  <c r="S978" s="1"/>
  <c r="T978" l="1"/>
  <c r="U977"/>
  <c r="Y976"/>
  <c r="D978" l="1"/>
  <c r="G978" s="1"/>
  <c r="E978"/>
  <c r="H978" s="1"/>
  <c r="K978" s="1"/>
  <c r="AE978" s="1"/>
  <c r="AH978"/>
  <c r="AG978"/>
  <c r="F978" l="1"/>
  <c r="I978"/>
  <c r="J978"/>
  <c r="M978"/>
  <c r="N978" s="1"/>
  <c r="V978"/>
  <c r="A979"/>
  <c r="B979" s="1"/>
  <c r="W978" l="1"/>
  <c r="L978"/>
  <c r="AC979"/>
  <c r="AA979"/>
  <c r="AD979"/>
  <c r="Z979"/>
  <c r="P979"/>
  <c r="Q979" s="1"/>
  <c r="R979" s="1"/>
  <c r="S979" s="1"/>
  <c r="T979" l="1"/>
  <c r="U978"/>
  <c r="Y977"/>
  <c r="D979" l="1"/>
  <c r="G979" s="1"/>
  <c r="AH979"/>
  <c r="E979"/>
  <c r="H979" s="1"/>
  <c r="K979" s="1"/>
  <c r="AE979" s="1"/>
  <c r="AG979"/>
  <c r="F979" l="1"/>
  <c r="V979"/>
  <c r="A980"/>
  <c r="B980" s="1"/>
  <c r="I979"/>
  <c r="J979"/>
  <c r="M979"/>
  <c r="N979" s="1"/>
  <c r="W979" l="1"/>
  <c r="L979"/>
  <c r="P980"/>
  <c r="Q980" s="1"/>
  <c r="R980" s="1"/>
  <c r="S980" s="1"/>
  <c r="AA980"/>
  <c r="AD980"/>
  <c r="AC980"/>
  <c r="Z980"/>
  <c r="U979" l="1"/>
  <c r="Y978"/>
  <c r="T980"/>
  <c r="AH980" s="1"/>
  <c r="D980" l="1"/>
  <c r="G980" s="1"/>
  <c r="E980"/>
  <c r="H980" s="1"/>
  <c r="K980" s="1"/>
  <c r="AE980" s="1"/>
  <c r="AG980"/>
  <c r="F980" l="1"/>
  <c r="I980"/>
  <c r="J980"/>
  <c r="M980"/>
  <c r="N980" s="1"/>
  <c r="V980"/>
  <c r="A981"/>
  <c r="B981" s="1"/>
  <c r="W980" l="1"/>
  <c r="L980"/>
  <c r="AD981"/>
  <c r="AA981"/>
  <c r="AC981"/>
  <c r="Z981"/>
  <c r="P981"/>
  <c r="Q981" s="1"/>
  <c r="R981" s="1"/>
  <c r="S981" s="1"/>
  <c r="U980" l="1"/>
  <c r="Y979"/>
  <c r="T981"/>
  <c r="AH981" s="1"/>
  <c r="D981" l="1"/>
  <c r="G981" s="1"/>
  <c r="AG981"/>
  <c r="E981"/>
  <c r="H981" s="1"/>
  <c r="F981" l="1"/>
  <c r="I981"/>
  <c r="J981"/>
  <c r="M981"/>
  <c r="N981" s="1"/>
  <c r="K981"/>
  <c r="AE981" s="1"/>
  <c r="V981" l="1"/>
  <c r="W981" s="1"/>
  <c r="A982"/>
  <c r="B982" s="1"/>
  <c r="L981"/>
  <c r="U981" l="1"/>
  <c r="Y980"/>
  <c r="P982"/>
  <c r="Q982" s="1"/>
  <c r="R982" s="1"/>
  <c r="S982" s="1"/>
  <c r="AD982"/>
  <c r="AC982"/>
  <c r="AA982"/>
  <c r="Z982"/>
  <c r="T982" l="1"/>
  <c r="E982" s="1"/>
  <c r="H982" s="1"/>
  <c r="AG982" l="1"/>
  <c r="AH982"/>
  <c r="D982"/>
  <c r="G982" s="1"/>
  <c r="K982"/>
  <c r="AE982" s="1"/>
  <c r="F982" l="1"/>
  <c r="I982"/>
  <c r="J982"/>
  <c r="M982"/>
  <c r="N982" s="1"/>
  <c r="V982"/>
  <c r="A983"/>
  <c r="B983" s="1"/>
  <c r="W982" l="1"/>
  <c r="L982"/>
  <c r="AD983"/>
  <c r="Z983"/>
  <c r="P983"/>
  <c r="Q983" s="1"/>
  <c r="R983" s="1"/>
  <c r="S983" s="1"/>
  <c r="AA983"/>
  <c r="AC983"/>
  <c r="U982" l="1"/>
  <c r="Y981"/>
  <c r="T983"/>
  <c r="AG983" s="1"/>
  <c r="E983" l="1"/>
  <c r="H983" s="1"/>
  <c r="K983" s="1"/>
  <c r="AE983" s="1"/>
  <c r="D983"/>
  <c r="AH983"/>
  <c r="F983" l="1"/>
  <c r="G983"/>
  <c r="M983" s="1"/>
  <c r="N983" s="1"/>
  <c r="V983"/>
  <c r="A984"/>
  <c r="B984" s="1"/>
  <c r="I983" l="1"/>
  <c r="W983" s="1"/>
  <c r="J983"/>
  <c r="L983" s="1"/>
  <c r="P984"/>
  <c r="Q984" s="1"/>
  <c r="R984" s="1"/>
  <c r="S984" s="1"/>
  <c r="AA984"/>
  <c r="Z984"/>
  <c r="AC984"/>
  <c r="U983" l="1"/>
  <c r="Y982"/>
  <c r="T984"/>
  <c r="E984" l="1"/>
  <c r="H984" s="1"/>
  <c r="K984" s="1"/>
  <c r="AE984" s="1"/>
  <c r="AG984"/>
  <c r="D984"/>
  <c r="AH984"/>
  <c r="F984" l="1"/>
  <c r="G984"/>
  <c r="V984"/>
  <c r="A985"/>
  <c r="B985" s="1"/>
  <c r="AA985" l="1"/>
  <c r="Z985"/>
  <c r="P985"/>
  <c r="Q985" s="1"/>
  <c r="R985" s="1"/>
  <c r="S985" s="1"/>
  <c r="AD985"/>
  <c r="AC985"/>
  <c r="I984"/>
  <c r="W984" s="1"/>
  <c r="J984"/>
  <c r="AD984" s="1"/>
  <c r="M984"/>
  <c r="N984" s="1"/>
  <c r="T985" l="1"/>
  <c r="L984"/>
  <c r="AG985" l="1"/>
  <c r="AH985"/>
  <c r="U984"/>
  <c r="D985" s="1"/>
  <c r="Y983"/>
  <c r="G985" l="1"/>
  <c r="E985"/>
  <c r="H985" s="1"/>
  <c r="I985" l="1"/>
  <c r="J985"/>
  <c r="M985"/>
  <c r="N985" s="1"/>
  <c r="F985"/>
  <c r="K985"/>
  <c r="AE985" s="1"/>
  <c r="L985" l="1"/>
  <c r="V985"/>
  <c r="W985" s="1"/>
  <c r="A986"/>
  <c r="B986" s="1"/>
  <c r="U985" l="1"/>
  <c r="Y984"/>
  <c r="AC986"/>
  <c r="P986"/>
  <c r="Q986" s="1"/>
  <c r="R986" s="1"/>
  <c r="S986" s="1"/>
  <c r="Z986"/>
  <c r="AD986"/>
  <c r="AA986"/>
  <c r="T986" l="1"/>
  <c r="E986" s="1"/>
  <c r="H986" s="1"/>
  <c r="AG986" l="1"/>
  <c r="K986"/>
  <c r="AE986" s="1"/>
  <c r="AH986"/>
  <c r="D986"/>
  <c r="F986" l="1"/>
  <c r="G986"/>
  <c r="V986"/>
  <c r="A987"/>
  <c r="B987" s="1"/>
  <c r="Z987" l="1"/>
  <c r="AC987"/>
  <c r="P987"/>
  <c r="Q987" s="1"/>
  <c r="R987" s="1"/>
  <c r="S987" s="1"/>
  <c r="AD987"/>
  <c r="AA987"/>
  <c r="I986"/>
  <c r="W986" s="1"/>
  <c r="J986"/>
  <c r="M986"/>
  <c r="N986" s="1"/>
  <c r="L986" l="1"/>
  <c r="T987"/>
  <c r="U986" l="1"/>
  <c r="E987" s="1"/>
  <c r="H987" s="1"/>
  <c r="AH987"/>
  <c r="AG987"/>
  <c r="Y985"/>
  <c r="K987" l="1"/>
  <c r="AE987" s="1"/>
  <c r="D987"/>
  <c r="V987" l="1"/>
  <c r="A988"/>
  <c r="B988" s="1"/>
  <c r="F987"/>
  <c r="G987"/>
  <c r="I987" l="1"/>
  <c r="W987" s="1"/>
  <c r="J987"/>
  <c r="M987"/>
  <c r="N987" s="1"/>
  <c r="AC988"/>
  <c r="Z988"/>
  <c r="AD988"/>
  <c r="AA988"/>
  <c r="P988"/>
  <c r="Q988" s="1"/>
  <c r="R988" s="1"/>
  <c r="S988" s="1"/>
  <c r="L987" l="1"/>
  <c r="T988"/>
  <c r="AH988" l="1"/>
  <c r="U987"/>
  <c r="E988" s="1"/>
  <c r="H988" s="1"/>
  <c r="AG988"/>
  <c r="Y986"/>
  <c r="D988" l="1"/>
  <c r="G988" s="1"/>
  <c r="K988"/>
  <c r="AE988" s="1"/>
  <c r="F988" l="1"/>
  <c r="I988"/>
  <c r="J988"/>
  <c r="M988"/>
  <c r="N988" s="1"/>
  <c r="V988"/>
  <c r="A989"/>
  <c r="B989" s="1"/>
  <c r="W988" l="1"/>
  <c r="L988"/>
  <c r="AC989"/>
  <c r="AD989"/>
  <c r="P989"/>
  <c r="Q989" s="1"/>
  <c r="R989" s="1"/>
  <c r="S989" s="1"/>
  <c r="Z989"/>
  <c r="AA989"/>
  <c r="T989" l="1"/>
  <c r="U988"/>
  <c r="Y987"/>
  <c r="D989" l="1"/>
  <c r="G989" s="1"/>
  <c r="AG989"/>
  <c r="E989"/>
  <c r="H989" s="1"/>
  <c r="AH989"/>
  <c r="F989" l="1"/>
  <c r="I989"/>
  <c r="J989"/>
  <c r="M989"/>
  <c r="N989" s="1"/>
  <c r="K989"/>
  <c r="AE989" s="1"/>
  <c r="L989" l="1"/>
  <c r="V989"/>
  <c r="W989" s="1"/>
  <c r="A990"/>
  <c r="B990" s="1"/>
  <c r="U989" l="1"/>
  <c r="Y988"/>
  <c r="AC990"/>
  <c r="AD990"/>
  <c r="AA990"/>
  <c r="Z990"/>
  <c r="P990"/>
  <c r="Q990" s="1"/>
  <c r="R990" s="1"/>
  <c r="S990" s="1"/>
  <c r="T990" l="1"/>
  <c r="E990" s="1"/>
  <c r="H990" s="1"/>
  <c r="AH990" l="1"/>
  <c r="D990"/>
  <c r="G990" s="1"/>
  <c r="AG990"/>
  <c r="K990"/>
  <c r="AE990" s="1"/>
  <c r="F990" l="1"/>
  <c r="V990"/>
  <c r="A991"/>
  <c r="B991" s="1"/>
  <c r="I990"/>
  <c r="J990"/>
  <c r="M990"/>
  <c r="N990" s="1"/>
  <c r="L990" l="1"/>
  <c r="W990"/>
  <c r="AA991"/>
  <c r="AD991"/>
  <c r="P991"/>
  <c r="Q991" s="1"/>
  <c r="R991" s="1"/>
  <c r="S991" s="1"/>
  <c r="Z991"/>
  <c r="AC991"/>
  <c r="U990" l="1"/>
  <c r="Y989"/>
  <c r="T991"/>
  <c r="D991" l="1"/>
  <c r="G991" s="1"/>
  <c r="E991"/>
  <c r="H991" s="1"/>
  <c r="K991" s="1"/>
  <c r="AE991" s="1"/>
  <c r="AG991"/>
  <c r="AH991"/>
  <c r="F991" l="1"/>
  <c r="V991"/>
  <c r="A992"/>
  <c r="B992" s="1"/>
  <c r="I991"/>
  <c r="J991"/>
  <c r="M991"/>
  <c r="N991" s="1"/>
  <c r="W991" l="1"/>
  <c r="L991"/>
  <c r="AC992"/>
  <c r="AD992"/>
  <c r="Z992"/>
  <c r="AA992"/>
  <c r="P992"/>
  <c r="Q992" s="1"/>
  <c r="R992" s="1"/>
  <c r="S992" s="1"/>
  <c r="U991" l="1"/>
  <c r="Y990"/>
  <c r="T992"/>
  <c r="AG992" s="1"/>
  <c r="D992" l="1"/>
  <c r="AH992"/>
  <c r="E992"/>
  <c r="H992" s="1"/>
  <c r="K992" s="1"/>
  <c r="AE992" s="1"/>
  <c r="F992" l="1"/>
  <c r="G992"/>
  <c r="M992" s="1"/>
  <c r="N992" s="1"/>
  <c r="V992"/>
  <c r="A993"/>
  <c r="B993" s="1"/>
  <c r="I992" l="1"/>
  <c r="W992" s="1"/>
  <c r="J992"/>
  <c r="L992" s="1"/>
  <c r="AD993"/>
  <c r="Z993"/>
  <c r="AA993"/>
  <c r="P993"/>
  <c r="Q993" s="1"/>
  <c r="R993" s="1"/>
  <c r="S993" s="1"/>
  <c r="AC993"/>
  <c r="U992" l="1"/>
  <c r="Y991"/>
  <c r="T993"/>
  <c r="AH993" s="1"/>
  <c r="D993" l="1"/>
  <c r="G993" s="1"/>
  <c r="E993"/>
  <c r="H993" s="1"/>
  <c r="K993" s="1"/>
  <c r="AE993" s="1"/>
  <c r="AG993"/>
  <c r="F993" l="1"/>
  <c r="V993"/>
  <c r="A994"/>
  <c r="B994" s="1"/>
  <c r="I993"/>
  <c r="J993"/>
  <c r="M993"/>
  <c r="N993" s="1"/>
  <c r="L993" l="1"/>
  <c r="W993"/>
  <c r="AA994"/>
  <c r="P994"/>
  <c r="Q994" s="1"/>
  <c r="R994" s="1"/>
  <c r="S994" s="1"/>
  <c r="Z994"/>
  <c r="AC994"/>
  <c r="U993" l="1"/>
  <c r="Y992"/>
  <c r="T994"/>
  <c r="AH994" s="1"/>
  <c r="E994" l="1"/>
  <c r="H994" s="1"/>
  <c r="K994" s="1"/>
  <c r="AE994" s="1"/>
  <c r="D994"/>
  <c r="AG994"/>
  <c r="F994" l="1"/>
  <c r="G994"/>
  <c r="J994" s="1"/>
  <c r="AD994" s="1"/>
  <c r="V994"/>
  <c r="A995"/>
  <c r="B995" s="1"/>
  <c r="M994" l="1"/>
  <c r="N994" s="1"/>
  <c r="I994"/>
  <c r="W994" s="1"/>
  <c r="L994"/>
  <c r="AA995"/>
  <c r="AD995"/>
  <c r="P995"/>
  <c r="Q995" s="1"/>
  <c r="R995" s="1"/>
  <c r="S995" s="1"/>
  <c r="AC995"/>
  <c r="Z995"/>
  <c r="T995" l="1"/>
  <c r="U994"/>
  <c r="Y993"/>
  <c r="D995" l="1"/>
  <c r="G995" s="1"/>
  <c r="E995"/>
  <c r="H995" s="1"/>
  <c r="K995" s="1"/>
  <c r="AE995" s="1"/>
  <c r="AH995"/>
  <c r="AG995"/>
  <c r="F995" l="1"/>
  <c r="I995"/>
  <c r="J995"/>
  <c r="M995"/>
  <c r="N995" s="1"/>
  <c r="V995"/>
  <c r="A996"/>
  <c r="B996" s="1"/>
  <c r="W995" l="1"/>
  <c r="L995"/>
  <c r="Z996"/>
  <c r="AD996"/>
  <c r="P996"/>
  <c r="Q996" s="1"/>
  <c r="R996" s="1"/>
  <c r="S996" s="1"/>
  <c r="AA996"/>
  <c r="AC996"/>
  <c r="U995" l="1"/>
  <c r="Y994"/>
  <c r="T996"/>
  <c r="D996" l="1"/>
  <c r="G996" s="1"/>
  <c r="AG996"/>
  <c r="E996"/>
  <c r="H996" s="1"/>
  <c r="K996" s="1"/>
  <c r="AE996" s="1"/>
  <c r="AH996"/>
  <c r="F996" l="1"/>
  <c r="I996"/>
  <c r="J996"/>
  <c r="M996"/>
  <c r="N996" s="1"/>
  <c r="V996"/>
  <c r="A997"/>
  <c r="B997" s="1"/>
  <c r="AD997" l="1"/>
  <c r="P997"/>
  <c r="Q997" s="1"/>
  <c r="R997" s="1"/>
  <c r="S997" s="1"/>
  <c r="Z997"/>
  <c r="AA997"/>
  <c r="AC997"/>
  <c r="L996"/>
  <c r="W996"/>
  <c r="U996" l="1"/>
  <c r="Y995"/>
  <c r="T997"/>
  <c r="AH997" s="1"/>
  <c r="AG997" l="1"/>
  <c r="D997"/>
  <c r="E997"/>
  <c r="H997" s="1"/>
  <c r="K997" s="1"/>
  <c r="AE997" s="1"/>
  <c r="F997" l="1"/>
  <c r="G997"/>
  <c r="I997" s="1"/>
  <c r="V997"/>
  <c r="A998"/>
  <c r="B998" s="1"/>
  <c r="J997" l="1"/>
  <c r="L997" s="1"/>
  <c r="M997"/>
  <c r="N997" s="1"/>
  <c r="W997"/>
  <c r="Z998"/>
  <c r="P998"/>
  <c r="Q998" s="1"/>
  <c r="R998" s="1"/>
  <c r="S998" s="1"/>
  <c r="AD998"/>
  <c r="AC998"/>
  <c r="AA998"/>
  <c r="T998" l="1"/>
  <c r="AG998" s="1"/>
  <c r="U997"/>
  <c r="Y996"/>
  <c r="E998" l="1"/>
  <c r="H998" s="1"/>
  <c r="K998" s="1"/>
  <c r="AE998" s="1"/>
  <c r="AH998"/>
  <c r="D998"/>
  <c r="V998" l="1"/>
  <c r="A999"/>
  <c r="B999" s="1"/>
  <c r="F998"/>
  <c r="G998"/>
  <c r="I998" l="1"/>
  <c r="W998" s="1"/>
  <c r="J998"/>
  <c r="M998"/>
  <c r="N998" s="1"/>
  <c r="AD999"/>
  <c r="Z999"/>
  <c r="AC999"/>
  <c r="AA999"/>
  <c r="P999"/>
  <c r="Q999" s="1"/>
  <c r="R999" s="1"/>
  <c r="S999" s="1"/>
  <c r="T999" l="1"/>
  <c r="L998"/>
  <c r="AG999" l="1"/>
  <c r="U998"/>
  <c r="D999" s="1"/>
  <c r="AH999"/>
  <c r="Y997"/>
  <c r="E999" l="1"/>
  <c r="H999" s="1"/>
  <c r="K999" s="1"/>
  <c r="AE999" s="1"/>
  <c r="G999"/>
  <c r="F999" l="1"/>
  <c r="I999"/>
  <c r="J999"/>
  <c r="M999"/>
  <c r="N999" s="1"/>
  <c r="V999"/>
  <c r="A1000"/>
  <c r="B1000" s="1"/>
  <c r="W999" l="1"/>
  <c r="L999"/>
  <c r="AC1000"/>
  <c r="AD1000"/>
  <c r="P1000"/>
  <c r="Q1000" s="1"/>
  <c r="R1000" s="1"/>
  <c r="S1000" s="1"/>
  <c r="Z1000"/>
  <c r="AA1000"/>
  <c r="U999" l="1"/>
  <c r="Y998"/>
  <c r="T1000"/>
  <c r="AG1000" s="1"/>
  <c r="D1000" l="1"/>
  <c r="G1000" s="1"/>
  <c r="AH1000"/>
  <c r="E1000"/>
  <c r="H1000" s="1"/>
  <c r="K1000" s="1"/>
  <c r="AE1000" s="1"/>
  <c r="F1000" l="1"/>
  <c r="I1000"/>
  <c r="J1000"/>
  <c r="M1000"/>
  <c r="N1000" s="1"/>
  <c r="V1000"/>
  <c r="W1000" s="1"/>
  <c r="A1001"/>
  <c r="B1001" s="1"/>
  <c r="L1000" l="1"/>
  <c r="P1001"/>
  <c r="Q1001" s="1"/>
  <c r="R1001" s="1"/>
  <c r="S1001" s="1"/>
  <c r="Z1001"/>
  <c r="AC1001"/>
  <c r="AA1001"/>
  <c r="AD1001"/>
  <c r="U1000" l="1"/>
  <c r="Y999"/>
  <c r="T1001"/>
  <c r="D1001" l="1"/>
  <c r="G1001" s="1"/>
  <c r="E1001"/>
  <c r="H1001" s="1"/>
  <c r="AG1001"/>
  <c r="AH1001"/>
  <c r="F1001" l="1"/>
  <c r="I1001"/>
  <c r="J1001"/>
  <c r="M1001"/>
  <c r="N1001" s="1"/>
  <c r="K1001"/>
  <c r="AE1001" s="1"/>
  <c r="V1001" l="1"/>
  <c r="W1001" s="1"/>
  <c r="A1002"/>
  <c r="B1002" s="1"/>
  <c r="L1001"/>
  <c r="U1001" l="1"/>
  <c r="Y1000"/>
  <c r="AD1002"/>
  <c r="AA1002"/>
  <c r="Z1002"/>
  <c r="AC1002"/>
  <c r="P1002"/>
  <c r="Q1002" s="1"/>
  <c r="R1002" s="1"/>
  <c r="S1002" s="1"/>
  <c r="T1002" l="1"/>
  <c r="AG1002" s="1"/>
  <c r="AH1002" l="1"/>
  <c r="D1002"/>
  <c r="G1002" s="1"/>
  <c r="E1002"/>
  <c r="H1002" s="1"/>
  <c r="K1002" s="1"/>
  <c r="AE1002" s="1"/>
  <c r="F1002" l="1"/>
  <c r="I1002"/>
  <c r="J1002"/>
  <c r="M1002"/>
  <c r="N1002" s="1"/>
  <c r="V1002"/>
  <c r="A1003"/>
  <c r="B1003" s="1"/>
  <c r="W1002" l="1"/>
  <c r="L1002"/>
  <c r="AC1003"/>
  <c r="P1003"/>
  <c r="Q1003" s="1"/>
  <c r="R1003" s="1"/>
  <c r="S1003" s="1"/>
  <c r="AA1003"/>
  <c r="Z1003"/>
  <c r="AD1003"/>
  <c r="T1003" l="1"/>
  <c r="AH1003" s="1"/>
  <c r="U1002"/>
  <c r="Y1001"/>
  <c r="D1003" l="1"/>
  <c r="G1003" s="1"/>
  <c r="E1003"/>
  <c r="H1003" s="1"/>
  <c r="K1003" s="1"/>
  <c r="AE1003" s="1"/>
  <c r="AG1003"/>
  <c r="F1003" l="1"/>
  <c r="I1003"/>
  <c r="J1003"/>
  <c r="M1003"/>
  <c r="N1003" s="1"/>
  <c r="V1003"/>
  <c r="W1003" s="1"/>
  <c r="A1004"/>
  <c r="B1004" s="1"/>
  <c r="L1003" l="1"/>
  <c r="P1004"/>
  <c r="Q1004" s="1"/>
  <c r="R1004" s="1"/>
  <c r="S1004" s="1"/>
  <c r="T1004" s="1"/>
  <c r="AA1004"/>
  <c r="Z1004"/>
  <c r="AC1004"/>
  <c r="AG1004" l="1"/>
  <c r="AH1004"/>
  <c r="U1003"/>
  <c r="D1004" s="1"/>
  <c r="Y1002"/>
  <c r="J48" i="1"/>
  <c r="L48"/>
  <c r="I48"/>
  <c r="J25"/>
  <c r="K48"/>
  <c r="M48"/>
  <c r="K25"/>
  <c r="I25"/>
  <c r="K27"/>
  <c r="I46"/>
  <c r="L46"/>
  <c r="M46"/>
  <c r="K46"/>
  <c r="J46"/>
  <c r="I27"/>
  <c r="J27"/>
  <c r="E1004" i="3" l="1"/>
  <c r="H1004" s="1"/>
  <c r="K1004" s="1"/>
  <c r="AE1004" s="1"/>
  <c r="C122" i="1"/>
  <c r="C155"/>
  <c r="C31"/>
  <c r="C126"/>
  <c r="C121"/>
  <c r="C124"/>
  <c r="C33"/>
  <c r="J47" s="1"/>
  <c r="C129"/>
  <c r="C130" s="1"/>
  <c r="M25"/>
  <c r="I72" i="7"/>
  <c r="I73" s="1"/>
  <c r="I70"/>
  <c r="G1004" i="3"/>
  <c r="B128" i="1"/>
  <c r="B123"/>
  <c r="B127"/>
  <c r="D155"/>
  <c r="B124"/>
  <c r="B126"/>
  <c r="B129"/>
  <c r="B125"/>
  <c r="D31"/>
  <c r="D33"/>
  <c r="J49" s="1"/>
  <c r="C146"/>
  <c r="C147" s="1"/>
  <c r="C138"/>
  <c r="C141"/>
  <c r="C143"/>
  <c r="C139"/>
  <c r="B140"/>
  <c r="B143"/>
  <c r="B142"/>
  <c r="B146"/>
  <c r="B144"/>
  <c r="B141"/>
  <c r="B145"/>
  <c r="M27"/>
  <c r="H72" i="7"/>
  <c r="H73" s="1"/>
  <c r="H70"/>
  <c r="F1004" i="3" l="1"/>
  <c r="L24" i="1" s="1"/>
  <c r="H49"/>
  <c r="D32"/>
  <c r="L42"/>
  <c r="I1004" i="3"/>
  <c r="J1004"/>
  <c r="M1004"/>
  <c r="N1004" s="1"/>
  <c r="E31" i="7"/>
  <c r="H47" i="1"/>
  <c r="C32"/>
  <c r="V1004" i="3"/>
  <c r="L1004" l="1"/>
  <c r="Y1004" s="1"/>
  <c r="AD1004"/>
  <c r="W1004"/>
  <c r="B135" i="1"/>
  <c r="B137"/>
  <c r="B133"/>
  <c r="B132" s="1"/>
  <c r="F133"/>
  <c r="F134"/>
  <c r="C133"/>
  <c r="C135"/>
  <c r="K24"/>
  <c r="K42"/>
  <c r="B150"/>
  <c r="B149" s="1"/>
  <c r="B154"/>
  <c r="B152"/>
  <c r="M41"/>
  <c r="H117" i="7"/>
  <c r="E62"/>
  <c r="F62" s="1"/>
  <c r="E120"/>
  <c r="F120" s="1"/>
  <c r="E119"/>
  <c r="F119" s="1"/>
  <c r="E133"/>
  <c r="E63"/>
  <c r="F63" s="1"/>
  <c r="H59"/>
  <c r="L31"/>
  <c r="E65"/>
  <c r="F65" s="1"/>
  <c r="Y1003" i="3" l="1"/>
  <c r="U1004"/>
  <c r="J43" i="1"/>
  <c r="I41"/>
  <c r="K41"/>
  <c r="H26"/>
  <c r="J31" i="7" s="1"/>
  <c r="L43" i="1"/>
  <c r="M43"/>
  <c r="K43"/>
  <c r="H43"/>
  <c r="I44"/>
  <c r="H44"/>
  <c r="J26"/>
  <c r="D161" s="1"/>
  <c r="M44"/>
  <c r="K26"/>
  <c r="K31" i="7" s="1"/>
  <c r="K23" i="1"/>
  <c r="S26" i="6" s="1"/>
  <c r="L41" i="1"/>
  <c r="L44"/>
  <c r="I26"/>
  <c r="B163" s="1"/>
  <c r="J41"/>
  <c r="I43"/>
  <c r="J44"/>
  <c r="H28"/>
  <c r="F151" s="1"/>
  <c r="M31" i="7"/>
  <c r="E121"/>
  <c r="F121" s="1"/>
  <c r="H116"/>
  <c r="H58"/>
  <c r="E64"/>
  <c r="F64" s="1"/>
  <c r="H55" l="1"/>
  <c r="H112"/>
  <c r="H53"/>
  <c r="P31" i="1"/>
  <c r="P32"/>
  <c r="I67" i="7"/>
  <c r="H41" i="1"/>
  <c r="K44"/>
  <c r="H45"/>
  <c r="M45"/>
  <c r="L45"/>
  <c r="K45"/>
  <c r="K28" s="1"/>
  <c r="M28" s="1"/>
  <c r="J45"/>
  <c r="J28"/>
  <c r="P30"/>
  <c r="F193"/>
  <c r="F190"/>
  <c r="F171"/>
  <c r="D186"/>
  <c r="F161"/>
  <c r="F163"/>
  <c r="D166"/>
  <c r="D192"/>
  <c r="D194"/>
  <c r="D196"/>
  <c r="D173"/>
  <c r="D168"/>
  <c r="D197"/>
  <c r="D159"/>
  <c r="D185"/>
  <c r="F194"/>
  <c r="D165"/>
  <c r="D191"/>
  <c r="F183"/>
  <c r="F162"/>
  <c r="F170"/>
  <c r="F184"/>
  <c r="F168"/>
  <c r="F169"/>
  <c r="D164"/>
  <c r="F21"/>
  <c r="D177"/>
  <c r="F197"/>
  <c r="D160"/>
  <c r="F196"/>
  <c r="D162"/>
  <c r="D170"/>
  <c r="D181"/>
  <c r="F164"/>
  <c r="F165"/>
  <c r="D190"/>
  <c r="F182"/>
  <c r="F166"/>
  <c r="H44" i="7"/>
  <c r="D171" i="1"/>
  <c r="D169"/>
  <c r="F172"/>
  <c r="D179"/>
  <c r="D189"/>
  <c r="D183"/>
  <c r="F160"/>
  <c r="F195"/>
  <c r="D193"/>
  <c r="F179"/>
  <c r="D188"/>
  <c r="F185"/>
  <c r="F159"/>
  <c r="F173"/>
  <c r="D163"/>
  <c r="D184"/>
  <c r="D195"/>
  <c r="F191"/>
  <c r="H11" i="7"/>
  <c r="F181" i="1"/>
  <c r="D180"/>
  <c r="F186"/>
  <c r="F180"/>
  <c r="F187"/>
  <c r="F178"/>
  <c r="D178"/>
  <c r="D182"/>
  <c r="F192"/>
  <c r="D174"/>
  <c r="F189"/>
  <c r="F167"/>
  <c r="D187"/>
  <c r="F188"/>
  <c r="D172"/>
  <c r="F174"/>
  <c r="F177"/>
  <c r="D167"/>
  <c r="B171"/>
  <c r="B181"/>
  <c r="B170"/>
  <c r="B186"/>
  <c r="B164"/>
  <c r="B175"/>
  <c r="B166"/>
  <c r="B174"/>
  <c r="B172"/>
  <c r="B184"/>
  <c r="H113" i="7"/>
  <c r="B180" i="1"/>
  <c r="B199"/>
  <c r="B188"/>
  <c r="B165"/>
  <c r="B185"/>
  <c r="B168"/>
  <c r="H114" i="7"/>
  <c r="B198" i="1"/>
  <c r="B197"/>
  <c r="B179"/>
  <c r="B191"/>
  <c r="C156"/>
  <c r="B192"/>
  <c r="E128" i="7"/>
  <c r="F128" s="1"/>
  <c r="B194" i="1"/>
  <c r="B173"/>
  <c r="B182"/>
  <c r="B190"/>
  <c r="B193"/>
  <c r="B176"/>
  <c r="B183"/>
  <c r="B195"/>
  <c r="F132"/>
  <c r="C134" s="1"/>
  <c r="B189"/>
  <c r="B162"/>
  <c r="B169"/>
  <c r="B196"/>
  <c r="H31" i="7"/>
  <c r="B161" i="1"/>
  <c r="B167"/>
  <c r="H54" i="7"/>
  <c r="B187" i="1"/>
  <c r="B158"/>
  <c r="H57" i="7"/>
  <c r="F150" i="1"/>
  <c r="B151" s="1"/>
  <c r="H115" i="7" l="1"/>
  <c r="S25" i="6"/>
  <c r="D31" i="7"/>
  <c r="D156" i="1"/>
  <c r="H19" i="7"/>
  <c r="C118" i="1"/>
  <c r="P29"/>
  <c r="B120"/>
  <c r="H56" i="7"/>
  <c r="E129"/>
  <c r="F129" s="1"/>
  <c r="B153" i="1"/>
  <c r="C132"/>
  <c r="C151"/>
  <c r="C149"/>
  <c r="B134"/>
  <c r="B136"/>
</calcChain>
</file>

<file path=xl/comments1.xml><?xml version="1.0" encoding="utf-8"?>
<comments xmlns="http://schemas.openxmlformats.org/spreadsheetml/2006/main">
  <authors>
    <author>M363040</author>
    <author>Léo Côme</author>
    <author>collectif</author>
  </authors>
  <commentList>
    <comment ref="M5" authorId="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B12" authorId="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S12" authorId="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L13" authorId="1">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S14" authorId="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L15" authorId="1">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B18" authorId="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8" authorId="1">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S19" authorId="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3" authorId="0">
      <text>
        <r>
          <rPr>
            <sz val="8"/>
            <color indexed="8"/>
            <rFont val="Tahoma"/>
            <family val="2"/>
          </rPr>
          <t xml:space="preserve">Diamètre à la base de l'ogive.
</t>
        </r>
        <r>
          <rPr>
            <i/>
            <sz val="8"/>
            <color indexed="8"/>
            <rFont val="Tahoma"/>
            <family val="2"/>
          </rPr>
          <t>Diameter at the basement of the nose cone.</t>
        </r>
      </text>
    </comment>
    <comment ref="E25" authorId="1">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B27" authorId="1">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7" authorId="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8" authorId="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29" authorId="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0" authorId="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F31" authorId="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3" authorId="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4" authorId="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authors>
    <author xml:space="preserve"> </author>
    <author>Léo Côme</author>
    <author>Léo</author>
    <author>Sylvain Besson</author>
    <author>collectif</author>
  </authors>
  <commentList>
    <comment ref="B10" authorId="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1" authorId="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4" authorId="1">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5" authorId="1">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8" authorId="1">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t>
        </r>
        <r>
          <rPr>
            <i/>
            <sz val="8"/>
            <color indexed="8"/>
            <rFont val="Tahoma"/>
            <family val="2"/>
          </rPr>
          <t>Average values :</t>
        </r>
        <r>
          <rPr>
            <sz val="8"/>
            <color indexed="8"/>
            <rFont val="Tahoma"/>
            <family val="2"/>
          </rPr>
          <t xml:space="preserve">
MicroFusée                  : 1m  :    </t>
        </r>
        <r>
          <rPr>
            <i/>
            <sz val="8"/>
            <color indexed="8"/>
            <rFont val="Tahoma"/>
            <family val="2"/>
          </rPr>
          <t>Micro-rocket</t>
        </r>
        <r>
          <rPr>
            <sz val="8"/>
            <color indexed="8"/>
            <rFont val="Tahoma"/>
            <family val="2"/>
          </rPr>
          <t xml:space="preserve">
MiniFusée                    : 2m5:   </t>
        </r>
        <r>
          <rPr>
            <i/>
            <sz val="8"/>
            <color indexed="8"/>
            <rFont val="Tahoma"/>
            <family val="2"/>
          </rPr>
          <t xml:space="preserve"> Mini-rocket
Rocketry Challenge    </t>
        </r>
        <r>
          <rPr>
            <sz val="8"/>
            <color indexed="8"/>
            <rFont val="Tahoma"/>
            <family val="2"/>
          </rPr>
          <t xml:space="preserve">: 3m
Fusée Expérimentale  : 4m  :   </t>
        </r>
        <r>
          <rPr>
            <i/>
            <sz val="8"/>
            <color indexed="8"/>
            <rFont val="Tahoma"/>
            <family val="2"/>
          </rPr>
          <t>Experimental Rocket</t>
        </r>
      </text>
    </comment>
    <comment ref="B19" authorId="1">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0" authorId="1">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3" authorId="2">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3" authorId="1">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4" authorId="2">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7" authorId="3">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B28" authorId="1">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M28" authorId="3">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4">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3" authorId="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0" authorId="1">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0" authorId="1">
      <text>
        <r>
          <rPr>
            <sz val="8"/>
            <color indexed="8"/>
            <rFont val="Tahoma"/>
            <family val="2"/>
          </rPr>
          <t xml:space="preserve">Altitude par rapport à la rampe, par rapport au sol.
</t>
        </r>
        <r>
          <rPr>
            <i/>
            <sz val="8"/>
            <color indexed="8"/>
            <rFont val="Tahoma"/>
            <family val="2"/>
          </rPr>
          <t>Altitude with respect to the earth surface.</t>
        </r>
      </text>
    </comment>
    <comment ref="K40" authorId="1">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authors>
    <author xml:space="preserve"> </author>
    <author>M363040</author>
    <author>Léo Côme</author>
  </authors>
  <commentList>
    <comment ref="B10" authorId="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1" authorId="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2" authorId="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6" authorId="2">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authors>
    <author xml:space="preserve"> Léo</author>
  </authors>
  <commentList>
    <comment ref="E53" authorId="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<sst xmlns="http://schemas.openxmlformats.org/spreadsheetml/2006/main" count="1716" uniqueCount="560">
  <si>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</si>
  <si>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</si>
  <si>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</si>
  <si>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</si>
  <si>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</si>
  <si>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</si>
  <si>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</si>
  <si>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</si>
  <si>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</si>
  <si>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</si>
  <si>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</si>
  <si>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</si>
  <si>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</si>
  <si>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</si>
  <si>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</si>
  <si>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</si>
  <si>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</si>
  <si>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</si>
  <si>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</si>
  <si>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</si>
  <si>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</si>
  <si>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</si>
  <si>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</si>
  <si>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</si>
  <si>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</si>
  <si>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</si>
  <si>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</si>
  <si>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</si>
  <si>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</si>
  <si>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</si>
  <si>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</si>
  <si>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</si>
  <si>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</si>
  <si>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</si>
  <si>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</si>
  <si>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</si>
  <si>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</si>
  <si>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Pro75-2G</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</si>
  <si>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</si>
  <si>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</si>
  <si>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</si>
  <si>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</si>
  <si>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</si>
  <si>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</si>
  <si>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</si>
  <si>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</si>
  <si>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</si>
  <si>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</si>
  <si>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</si>
  <si>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</si>
  <si>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</si>
  <si>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</si>
  <si>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</si>
  <si>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</si>
  <si>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</si>
  <si>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</si>
  <si>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</si>
  <si>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</si>
  <si>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</si>
  <si>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</si>
  <si>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</si>
  <si>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</si>
  <si>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</si>
  <si>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</si>
  <si>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</si>
  <si>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</si>
  <si>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</si>
  <si>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</si>
  <si>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</si>
  <si>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</si>
  <si>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</si>
  <si>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</si>
  <si>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</si>
  <si>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</si>
  <si>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</si>
  <si>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</si>
  <si>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</si>
  <si>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</si>
  <si>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</si>
  <si>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</si>
  <si>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</si>
  <si>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</si>
  <si>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</si>
  <si>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</si>
  <si>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</si>
  <si>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</si>
  <si>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</si>
  <si>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</si>
  <si>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</si>
  <si>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</si>
  <si>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</si>
  <si>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</si>
  <si>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</si>
  <si>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</si>
  <si>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</si>
  <si>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</si>
  <si>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</si>
  <si>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</si>
  <si>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</si>
  <si>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</si>
  <si>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</si>
  <si>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</si>
  <si>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</si>
  <si>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</si>
  <si>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</si>
  <si>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</si>
  <si>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</si>
  <si>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</si>
  <si>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</si>
  <si>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</si>
  <si>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</si>
  <si>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</si>
  <si>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</si>
  <si>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</si>
  <si>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</si>
  <si>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</si>
  <si>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</si>
  <si>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</si>
  <si>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</si>
  <si>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</si>
  <si>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</si>
  <si>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</si>
  <si>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</si>
  <si>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</si>
  <si>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</si>
  <si>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</si>
  <si>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</si>
  <si>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</si>
  <si>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</si>
  <si>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</si>
  <si>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</si>
  <si>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</si>
  <si>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</si>
  <si>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</si>
  <si>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</si>
  <si>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</si>
  <si>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</si>
  <si>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</si>
  <si>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</si>
  <si>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</si>
  <si>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</si>
  <si>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</si>
  <si>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</si>
  <si>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</si>
  <si>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</si>
  <si>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</si>
  <si>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</si>
  <si>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</si>
  <si>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</si>
  <si>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</si>
  <si>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</si>
  <si>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</si>
  <si>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</si>
  <si>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</si>
  <si>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</si>
  <si>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</si>
  <si>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</si>
  <si>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</si>
  <si>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</si>
  <si>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</si>
  <si>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Ma fusée</t>
  </si>
  <si>
    <t>conique</t>
  </si>
  <si>
    <t>ogive</t>
  </si>
  <si>
    <t>parabole</t>
  </si>
  <si>
    <t>Mon club</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</si>
  <si>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</si>
  <si>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</si>
  <si>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</si>
  <si>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</si>
  <si>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</si>
  <si>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</si>
  <si>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</si>
  <si>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</si>
  <si>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</si>
  <si>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</si>
  <si>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</si>
  <si>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</si>
  <si>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</si>
  <si>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</si>
  <si>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</si>
  <si>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</si>
  <si>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</si>
  <si>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</si>
  <si>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</si>
  <si>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</si>
  <si>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</si>
  <si>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</si>
  <si>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</si>
  <si>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</si>
  <si>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</si>
  <si>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</si>
  <si>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</si>
  <si>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</si>
  <si>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</si>
  <si>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</si>
  <si>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</si>
  <si>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</si>
  <si>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</si>
  <si>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</si>
  <si>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</si>
  <si>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</si>
  <si>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</si>
  <si>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</si>
  <si>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</si>
  <si>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</si>
  <si>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</si>
  <si>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</si>
  <si>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</si>
  <si>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</si>
  <si>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</si>
  <si>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</si>
  <si>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</si>
  <si>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</si>
  <si>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</si>
  <si>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</si>
  <si>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</si>
  <si>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</si>
  <si>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</si>
  <si>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</si>
  <si>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</si>
  <si>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</si>
  <si>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</si>
  <si>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</si>
  <si>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</si>
  <si>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</si>
  <si>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</si>
  <si>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</si>
  <si>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</si>
  <si>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</si>
  <si>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</si>
  <si>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</si>
  <si>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</si>
  <si>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</si>
  <si>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</si>
  <si>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</si>
  <si>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</si>
  <si>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</si>
  <si>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</si>
  <si>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</si>
  <si>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</si>
  <si>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</si>
  <si>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</si>
  <si>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</si>
  <si>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</si>
  <si>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</si>
  <si>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</si>
  <si>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</si>
  <si>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</si>
  <si>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</si>
  <si>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</si>
  <si>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</si>
  <si>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</si>
  <si>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</si>
  <si>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</si>
  <si>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</si>
  <si>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</si>
  <si>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</si>
  <si>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</si>
  <si>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</si>
  <si>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</si>
  <si>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</si>
  <si>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</si>
  <si>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</si>
  <si>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</si>
  <si>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</si>
  <si>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</si>
  <si>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</si>
  <si>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</si>
  <si>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</si>
  <si>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</si>
  <si>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</si>
  <si>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</si>
  <si>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</si>
  <si>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</si>
  <si>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</si>
  <si>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</si>
  <si>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</si>
  <si>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</si>
  <si>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</si>
  <si>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</si>
  <si>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</si>
  <si>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</si>
  <si>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</si>
  <si>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</si>
  <si>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</si>
  <si>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</si>
  <si>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</si>
  <si>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</si>
  <si>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</si>
  <si>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</si>
  <si>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</si>
  <si>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</si>
  <si>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</si>
  <si>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</si>
  <si>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</si>
  <si>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</si>
  <si>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</si>
  <si>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</si>
  <si>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</si>
  <si>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</si>
  <si>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</si>
  <si>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</si>
  <si>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</si>
  <si>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</si>
  <si>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</si>
  <si>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</si>
  <si>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</si>
  <si>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</si>
  <si>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</si>
  <si>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</si>
  <si>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</si>
  <si>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</si>
  <si>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</si>
  <si>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</si>
  <si>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</si>
  <si>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</si>
  <si>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</si>
  <si>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</si>
  <si>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</si>
  <si>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</si>
  <si>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</si>
  <si>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Pro98-2G WT</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</si>
  <si>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</si>
  <si>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</si>
  <si>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</si>
  <si>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</si>
  <si>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</si>
  <si>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</si>
  <si>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</si>
  <si>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</si>
  <si>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</si>
  <si>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</si>
  <si>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</si>
  <si>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</si>
  <si>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</si>
  <si>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</si>
  <si>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</si>
  <si>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</si>
  <si>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</si>
  <si>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</si>
  <si>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</si>
  <si>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</si>
  <si>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</si>
  <si>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</si>
  <si>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</si>
  <si>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</si>
  <si>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</si>
  <si>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</si>
  <si>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</si>
  <si>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</si>
  <si>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</si>
  <si>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</si>
  <si>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</si>
  <si>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</si>
  <si>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</si>
  <si>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</si>
  <si>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</si>
  <si>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</si>
  <si>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</si>
  <si>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</si>
  <si>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</si>
  <si>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</si>
  <si>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</si>
  <si>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</si>
  <si>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</si>
  <si>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</si>
  <si>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</si>
  <si>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</si>
  <si>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</si>
  <si>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</si>
  <si>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</si>
  <si>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</si>
  <si>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</si>
  <si>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</si>
  <si>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</si>
  <si>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</si>
  <si>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</si>
  <si>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</si>
  <si>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</si>
  <si>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</si>
  <si>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</si>
  <si>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</si>
  <si>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</si>
  <si>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</si>
  <si>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</si>
  <si>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</si>
  <si>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</si>
  <si>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</si>
  <si>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</si>
  <si>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</si>
  <si>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</si>
  <si>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</si>
  <si>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</si>
  <si>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</si>
  <si>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</si>
  <si>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</si>
  <si>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</si>
  <si>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</si>
  <si>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</si>
  <si>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</si>
  <si>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</si>
  <si>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</si>
  <si>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</si>
  <si>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</si>
  <si>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</si>
  <si>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</si>
  <si>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</si>
  <si>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</si>
  <si>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</si>
  <si>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</si>
  <si>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</si>
  <si>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</si>
  <si>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</si>
  <si>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</si>
  <si>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</si>
  <si>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</si>
  <si>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</si>
  <si>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</si>
  <si>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</si>
  <si>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</si>
  <si>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</si>
  <si>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</si>
  <si>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</si>
  <si>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</si>
  <si>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</si>
  <si>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</si>
  <si>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</si>
  <si>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</si>
  <si>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</si>
  <si>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</si>
  <si>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</si>
  <si>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</si>
  <si>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</si>
  <si>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</si>
  <si>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</si>
  <si>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</si>
  <si>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</si>
  <si>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</si>
  <si>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</si>
  <si>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</si>
  <si>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</si>
  <si>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</si>
  <si>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</si>
  <si>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</si>
  <si>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</si>
  <si>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</si>
  <si>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</si>
  <si>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</si>
  <si>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</si>
  <si>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</si>
  <si>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</si>
  <si>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</si>
  <si>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</si>
  <si>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</si>
  <si>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</si>
  <si>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</si>
  <si>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</si>
  <si>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</si>
  <si>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</si>
  <si>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</si>
  <si>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</si>
  <si>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</si>
  <si>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</si>
  <si>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</si>
  <si>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</si>
  <si>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</si>
  <si>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</si>
  <si>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</si>
  <si>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</si>
  <si>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</si>
  <si>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</si>
  <si>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</si>
  <si>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</si>
  <si>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</si>
  <si>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</si>
  <si>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</si>
  <si>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</si>
  <si>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</si>
  <si>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</si>
  <si>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</si>
  <si>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</si>
  <si>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</si>
  <si>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</si>
  <si>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</si>
  <si>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</si>
  <si>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</si>
  <si>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</si>
  <si>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</si>
  <si>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</si>
  <si>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</si>
  <si>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</si>
  <si>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</si>
  <si>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</si>
  <si>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</si>
  <si>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</si>
  <si>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</si>
  <si>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</si>
  <si>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</si>
  <si>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</si>
  <si>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</si>
  <si>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</si>
  <si>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</si>
  <si>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</si>
  <si>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</si>
  <si>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</si>
  <si>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</si>
  <si>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</si>
  <si>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</si>
  <si>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</si>
  <si>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</si>
  <si>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</si>
  <si>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</si>
  <si>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</si>
  <si>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</si>
  <si>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</si>
  <si>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</si>
  <si>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</si>
  <si>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</si>
  <si>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</si>
  <si>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</si>
  <si>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</si>
  <si>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</si>
  <si>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</si>
  <si>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</si>
  <si>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</si>
  <si>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</si>
  <si>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</si>
  <si>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</si>
  <si>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</si>
  <si>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</si>
  <si>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</si>
  <si>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</si>
  <si>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</si>
  <si>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</si>
  <si>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</si>
  <si>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</si>
  <si>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</si>
  <si>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</si>
  <si>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</si>
  <si>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</si>
  <si>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</si>
  <si>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</si>
  <si>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</si>
  <si>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</si>
  <si>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</si>
  <si>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</si>
  <si>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Minifusée</t>
  </si>
  <si>
    <t>StabTraj V3.4.1</t>
  </si>
  <si>
    <t>Propu : +Klima D9</t>
  </si>
  <si>
    <t>v3.4.2</t>
  </si>
  <si>
    <t>p29-1G 56F31</t>
  </si>
  <si>
    <t xml:space="preserve"> 143G150 BS</t>
  </si>
  <si>
    <t>StabTraj V3.4.2</t>
  </si>
  <si>
    <t>Ogivale (pointue)</t>
  </si>
  <si>
    <t>Ajout propu</t>
  </si>
  <si>
    <t>Fusée mono-diamètre,</t>
  </si>
  <si>
    <t>Pandora (Pro24-6G BS)</t>
  </si>
  <si>
    <t>Barasinga (Pro54-5G C)</t>
  </si>
  <si>
    <t>Orignal (Pro75-3G C)</t>
  </si>
  <si>
    <t>Blastocerus (Pro98-6GXL RL)</t>
  </si>
</sst>
</file>

<file path=xl/styles.xml><?xml version="1.0" encoding="utf-8"?>
<styleSheet xmlns="http://schemas.openxmlformats.org/spreadsheetml/2006/main">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s>
  <fills count="34">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s>
  <borders count="103">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s>
  <cellStyleXfs count="3">
    <xf numFmtId="0" fontId="0" fillId="0" borderId="0"/>
    <xf numFmtId="0" fontId="10" fillId="0" borderId="0" applyNumberFormat="0" applyFill="0" applyBorder="0" applyAlignment="0" applyProtection="0"/>
    <xf numFmtId="0" fontId="1" fillId="0" borderId="0"/>
  </cellStyleXfs>
  <cellXfs count="795">
    <xf numFmtId="0" fontId="0" fillId="0" borderId="0" xfId="0"/>
    <xf numFmtId="0" fontId="0" fillId="0" borderId="0" xfId="0" applyAlignment="1">
      <alignment vertical="center"/>
    </xf>
    <xf numFmtId="0" fontId="2" fillId="0" borderId="0" xfId="0" applyFont="1" applyBorder="1"/>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Font="1" applyBorder="1" applyAlignment="1">
      <alignment vertical="center"/>
    </xf>
    <xf numFmtId="0" fontId="0" fillId="0" borderId="0" xfId="0" applyFont="1" applyFill="1" applyBorder="1" applyAlignment="1">
      <alignment horizontal="center" vertical="center"/>
    </xf>
    <xf numFmtId="0" fontId="2" fillId="0" borderId="0" xfId="0" applyFont="1" applyBorder="1" applyAlignment="1">
      <alignment horizontal="center"/>
    </xf>
    <xf numFmtId="0" fontId="0" fillId="0" borderId="0" xfId="0" applyFont="1" applyFill="1" applyBorder="1" applyAlignment="1">
      <alignment vertical="center"/>
    </xf>
    <xf numFmtId="0" fontId="2" fillId="0" borderId="0" xfId="0" applyFont="1" applyBorder="1" applyAlignment="1">
      <alignment vertical="center"/>
    </xf>
    <xf numFmtId="2" fontId="0" fillId="0" borderId="0" xfId="0" applyNumberFormat="1" applyFill="1" applyAlignment="1">
      <alignment horizontal="center"/>
    </xf>
    <xf numFmtId="2" fontId="7" fillId="0" borderId="0" xfId="0" applyNumberFormat="1" applyFont="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0" fontId="7" fillId="0" borderId="0" xfId="0" applyFont="1" applyFill="1" applyAlignment="1">
      <alignment horizontal="center"/>
    </xf>
    <xf numFmtId="0" fontId="7" fillId="0" borderId="1" xfId="0" applyFont="1" applyFill="1" applyBorder="1" applyAlignment="1">
      <alignment horizontal="center"/>
    </xf>
    <xf numFmtId="0" fontId="0" fillId="0" borderId="0" xfId="0" applyAlignment="1">
      <alignment horizontal="center"/>
    </xf>
    <xf numFmtId="0" fontId="6" fillId="0" borderId="0" xfId="0" applyFont="1" applyBorder="1"/>
    <xf numFmtId="0" fontId="2" fillId="0" borderId="0" xfId="0" applyFont="1"/>
    <xf numFmtId="0" fontId="9" fillId="0" borderId="0" xfId="0" applyFont="1"/>
    <xf numFmtId="0" fontId="10" fillId="0" borderId="0" xfId="1" applyNumberFormat="1" applyFont="1" applyFill="1" applyBorder="1" applyAlignment="1" applyProtection="1"/>
    <xf numFmtId="14" fontId="0" fillId="0" borderId="0" xfId="0" applyNumberFormat="1" applyAlignment="1">
      <alignment horizontal="left"/>
    </xf>
    <xf numFmtId="0" fontId="0" fillId="0" borderId="0" xfId="0" applyFont="1" applyFill="1" applyBorder="1"/>
    <xf numFmtId="0" fontId="0" fillId="0" borderId="0" xfId="0" applyFill="1" applyBorder="1"/>
    <xf numFmtId="0" fontId="10" fillId="0" borderId="0" xfId="1" applyNumberFormat="1" applyFill="1" applyBorder="1" applyAlignment="1" applyProtection="1"/>
    <xf numFmtId="171" fontId="2" fillId="3" borderId="2" xfId="0" applyNumberFormat="1" applyFont="1" applyFill="1" applyBorder="1" applyAlignment="1" applyProtection="1">
      <alignment horizontal="center" vertical="center"/>
      <protection locked="0"/>
    </xf>
    <xf numFmtId="0" fontId="0" fillId="0" borderId="0" xfId="0" applyFont="1" applyBorder="1" applyAlignment="1">
      <alignment horizontal="center" vertical="center"/>
    </xf>
    <xf numFmtId="0" fontId="16" fillId="0" borderId="0" xfId="0" applyFont="1" applyBorder="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applyBorder="1"/>
    <xf numFmtId="0" fontId="2" fillId="0" borderId="0" xfId="2" applyFont="1"/>
    <xf numFmtId="0" fontId="2" fillId="0" borderId="6" xfId="2" applyFont="1" applyBorder="1"/>
    <xf numFmtId="0" fontId="15" fillId="0" borderId="0" xfId="2" applyFont="1" applyBorder="1" applyProtection="1">
      <protection hidden="1"/>
    </xf>
    <xf numFmtId="0" fontId="1" fillId="0" borderId="7" xfId="2" applyBorder="1"/>
    <xf numFmtId="0" fontId="4" fillId="0" borderId="0" xfId="2" applyFont="1" applyBorder="1"/>
    <xf numFmtId="0" fontId="2" fillId="0" borderId="7" xfId="2" applyFont="1" applyBorder="1"/>
    <xf numFmtId="0" fontId="2" fillId="0" borderId="0" xfId="2" applyFont="1" applyBorder="1" applyAlignment="1" applyProtection="1">
      <alignment horizontal="center"/>
      <protection hidden="1"/>
    </xf>
    <xf numFmtId="0" fontId="2" fillId="0" borderId="0" xfId="2" applyFont="1" applyBorder="1" applyAlignment="1">
      <alignment horizontal="center"/>
    </xf>
    <xf numFmtId="0" fontId="16" fillId="0" borderId="0" xfId="2" applyFont="1" applyBorder="1"/>
    <xf numFmtId="0" fontId="2" fillId="0" borderId="0" xfId="2" applyFont="1" applyBorder="1" applyAlignment="1" applyProtection="1">
      <protection hidden="1"/>
    </xf>
    <xf numFmtId="0" fontId="2" fillId="0" borderId="0" xfId="2" applyFont="1" applyBorder="1" applyProtection="1">
      <protection hidden="1"/>
    </xf>
    <xf numFmtId="0" fontId="2" fillId="0" borderId="0" xfId="2" applyFont="1" applyFill="1" applyBorder="1" applyAlignment="1">
      <alignment horizontal="center"/>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Border="1" applyProtection="1">
      <protection hidden="1"/>
    </xf>
    <xf numFmtId="0" fontId="2" fillId="0" borderId="0" xfId="2" applyFont="1" applyFill="1" applyBorder="1" applyAlignment="1" applyProtection="1">
      <alignment horizontal="center"/>
      <protection hidden="1"/>
    </xf>
    <xf numFmtId="0" fontId="2" fillId="0" borderId="0" xfId="2" applyFont="1" applyAlignment="1">
      <alignment horizontal="center"/>
    </xf>
    <xf numFmtId="0" fontId="2" fillId="0" borderId="0" xfId="2" applyFont="1" applyBorder="1" applyAlignment="1"/>
    <xf numFmtId="0" fontId="15" fillId="0" borderId="0" xfId="2" applyFont="1" applyBorder="1"/>
    <xf numFmtId="14" fontId="15" fillId="0" borderId="0" xfId="2" applyNumberFormat="1" applyFont="1" applyBorder="1" applyAlignment="1" applyProtection="1">
      <alignment horizontal="center"/>
      <protection hidden="1"/>
    </xf>
    <xf numFmtId="0" fontId="15" fillId="0" borderId="0" xfId="2" applyFont="1" applyProtection="1">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Alignment="1" applyProtection="1">
      <protection locked="0"/>
    </xf>
    <xf numFmtId="0" fontId="2" fillId="0" borderId="10" xfId="2" applyFont="1" applyBorder="1" applyProtection="1">
      <protection locked="0"/>
    </xf>
    <xf numFmtId="0" fontId="2" fillId="0" borderId="0" xfId="2" applyFont="1" applyBorder="1" applyProtection="1">
      <protection locked="0"/>
    </xf>
    <xf numFmtId="0" fontId="2" fillId="0" borderId="0" xfId="2" applyFont="1" applyBorder="1" applyAlignment="1" applyProtection="1">
      <alignment horizontal="center"/>
      <protection locked="0"/>
    </xf>
    <xf numFmtId="0" fontId="15" fillId="0" borderId="0" xfId="2" applyFont="1" applyBorder="1" applyAlignment="1" applyProtection="1">
      <protection hidden="1"/>
    </xf>
    <xf numFmtId="0" fontId="15" fillId="0" borderId="0" xfId="2" applyFont="1"/>
    <xf numFmtId="0" fontId="15" fillId="0" borderId="0" xfId="2" applyFont="1" applyBorder="1" applyAlignment="1"/>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applyFill="1" applyBorder="1"/>
    <xf numFmtId="0" fontId="26" fillId="0" borderId="0" xfId="0" applyFont="1"/>
    <xf numFmtId="14" fontId="0" fillId="0" borderId="0" xfId="0" applyNumberFormat="1" applyFont="1" applyBorder="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Fill="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0" xfId="0" applyBorder="1"/>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Font="1" applyFill="1" applyBorder="1" applyAlignment="1" applyProtection="1">
      <alignment vertical="center"/>
      <protection hidden="1"/>
    </xf>
    <xf numFmtId="169" fontId="0" fillId="0" borderId="0" xfId="0" applyNumberFormat="1" applyFont="1" applyFill="1" applyBorder="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NumberFormat="1"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Border="1" applyAlignment="1">
      <alignment horizontal="center"/>
    </xf>
    <xf numFmtId="0" fontId="0" fillId="0" borderId="9" xfId="0" applyBorder="1"/>
    <xf numFmtId="0" fontId="0" fillId="0" borderId="10" xfId="0" applyFont="1" applyFill="1" applyBorder="1"/>
    <xf numFmtId="0" fontId="0" fillId="0" borderId="13" xfId="0" applyBorder="1"/>
    <xf numFmtId="0" fontId="0" fillId="0" borderId="10" xfId="0" applyBorder="1"/>
    <xf numFmtId="1" fontId="0" fillId="0" borderId="0" xfId="0" applyNumberFormat="1" applyFont="1" applyFill="1" applyBorder="1" applyAlignment="1">
      <alignment horizontal="center"/>
    </xf>
    <xf numFmtId="165"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xf>
    <xf numFmtId="182" fontId="2" fillId="0" borderId="12" xfId="0" applyNumberFormat="1" applyFont="1" applyFill="1" applyBorder="1" applyAlignment="1">
      <alignment horizontal="center"/>
    </xf>
    <xf numFmtId="1" fontId="2" fillId="0" borderId="12" xfId="0" applyNumberFormat="1" applyFont="1" applyFill="1" applyBorder="1" applyAlignment="1">
      <alignment horizontal="center"/>
    </xf>
    <xf numFmtId="165" fontId="2" fillId="0" borderId="12" xfId="0" applyNumberFormat="1" applyFont="1" applyFill="1" applyBorder="1" applyAlignment="1">
      <alignment horizontal="center" vertical="center"/>
    </xf>
    <xf numFmtId="165" fontId="2" fillId="0" borderId="12" xfId="0" applyNumberFormat="1" applyFont="1" applyFill="1" applyBorder="1" applyAlignment="1">
      <alignment horizontal="center"/>
    </xf>
    <xf numFmtId="0" fontId="0" fillId="0" borderId="0" xfId="2" applyFont="1" applyBorder="1" applyAlignment="1" applyProtection="1">
      <alignment horizontal="center"/>
      <protection hidden="1"/>
    </xf>
    <xf numFmtId="0" fontId="0" fillId="0" borderId="0" xfId="0" applyNumberFormat="1" applyAlignment="1">
      <alignment horizontal="center"/>
    </xf>
    <xf numFmtId="0" fontId="8" fillId="0" borderId="4" xfId="2" applyFont="1" applyBorder="1"/>
    <xf numFmtId="0" fontId="8" fillId="0" borderId="0" xfId="2" applyFont="1" applyBorder="1"/>
    <xf numFmtId="0" fontId="8" fillId="0" borderId="0" xfId="2" applyFont="1" applyBorder="1" applyAlignment="1" applyProtection="1">
      <protection hidden="1"/>
    </xf>
    <xf numFmtId="0" fontId="8" fillId="0" borderId="0" xfId="2" applyFont="1" applyBorder="1" applyProtection="1">
      <protection hidden="1"/>
    </xf>
    <xf numFmtId="0" fontId="8" fillId="0" borderId="0" xfId="2" applyFont="1" applyBorder="1" applyAlignment="1"/>
    <xf numFmtId="0" fontId="8" fillId="0" borderId="10" xfId="2" applyFont="1" applyBorder="1" applyAlignment="1" applyProtection="1">
      <protection locked="0"/>
    </xf>
    <xf numFmtId="0" fontId="8" fillId="0" borderId="0" xfId="2" applyFont="1"/>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8" fillId="0" borderId="0" xfId="2" applyFont="1" applyProtection="1">
      <protection hidden="1"/>
    </xf>
    <xf numFmtId="0" fontId="31" fillId="0" borderId="0" xfId="2" applyFont="1" applyBorder="1"/>
    <xf numFmtId="0" fontId="0" fillId="0" borderId="0" xfId="0" applyBorder="1"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applyBorder="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Border="1" applyProtection="1">
      <protection hidden="1"/>
    </xf>
    <xf numFmtId="2" fontId="0" fillId="7" borderId="15" xfId="0" applyNumberFormat="1" applyFill="1" applyBorder="1" applyAlignment="1">
      <alignment horizontal="center" vertical="center"/>
    </xf>
    <xf numFmtId="165" fontId="0" fillId="7" borderId="15" xfId="0" applyNumberFormat="1" applyFon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0" fillId="7" borderId="15" xfId="0" applyNumberFormat="1" applyFon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ont="1" applyFill="1" applyBorder="1" applyAlignment="1">
      <alignment horizontal="center" vertical="center"/>
    </xf>
    <xf numFmtId="1" fontId="2" fillId="7" borderId="16"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ont="1" applyFill="1" applyBorder="1" applyAlignment="1">
      <alignment horizontal="center" vertical="center"/>
    </xf>
    <xf numFmtId="0" fontId="0" fillId="7" borderId="17" xfId="0" applyFont="1" applyFill="1" applyBorder="1" applyAlignment="1">
      <alignment horizontal="center" vertical="center"/>
    </xf>
    <xf numFmtId="1" fontId="0" fillId="7" borderId="17" xfId="0" applyNumberFormat="1"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ont="1"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pplyProtection="1">
      <alignment horizontal="center" vertical="center"/>
    </xf>
    <xf numFmtId="0" fontId="0" fillId="13" borderId="15" xfId="0" applyFont="1"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on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ont="1"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Fon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15" fillId="0" borderId="0" xfId="2" applyFont="1" applyBorder="1" applyAlignment="1" applyProtection="1">
      <alignment horizontal="center"/>
      <protection hidden="1"/>
    </xf>
    <xf numFmtId="0" fontId="0" fillId="0" borderId="10" xfId="0" applyFont="1"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15" fillId="0" borderId="0"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1" fontId="8" fillId="0" borderId="0" xfId="2" applyNumberFormat="1" applyFont="1" applyBorder="1" applyAlignment="1" applyProtection="1">
      <alignment horizontal="center"/>
      <protection hidden="1"/>
    </xf>
    <xf numFmtId="0" fontId="0" fillId="0" borderId="21" xfId="2" applyFont="1" applyBorder="1" applyAlignment="1" applyProtection="1">
      <alignment horizontal="center"/>
      <protection hidden="1"/>
    </xf>
    <xf numFmtId="165" fontId="0" fillId="0" borderId="19" xfId="0" applyNumberFormat="1" applyFont="1" applyBorder="1" applyAlignment="1">
      <alignment horizontal="center" vertical="center"/>
    </xf>
    <xf numFmtId="1" fontId="0" fillId="0" borderId="20" xfId="0" applyNumberFormat="1" applyFont="1" applyBorder="1" applyAlignment="1">
      <alignment horizontal="center" vertical="center"/>
    </xf>
    <xf numFmtId="165" fontId="0" fillId="0" borderId="21" xfId="0" applyNumberFormat="1" applyFont="1" applyBorder="1" applyAlignment="1">
      <alignment horizontal="center" vertical="center"/>
    </xf>
    <xf numFmtId="1" fontId="0" fillId="0" borderId="23" xfId="0" applyNumberFormat="1" applyFont="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1" fontId="0" fillId="0" borderId="19" xfId="0" applyNumberFormat="1" applyFont="1" applyBorder="1" applyAlignment="1">
      <alignment horizontal="center" vertical="center"/>
    </xf>
    <xf numFmtId="1" fontId="0" fillId="0" borderId="21" xfId="0" applyNumberFormat="1" applyFont="1" applyBorder="1" applyAlignment="1">
      <alignment horizontal="center" vertical="center"/>
    </xf>
    <xf numFmtId="0" fontId="0" fillId="0" borderId="23" xfId="0" applyFont="1"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applyBorder="1" applyAlignme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2" applyFont="1" applyAlignment="1" applyProtection="1">
      <alignment horizontal="center"/>
      <protection hidden="1"/>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Font="1" applyBorder="1" applyAlignment="1">
      <alignment horizontal="center" vertical="center"/>
    </xf>
    <xf numFmtId="1" fontId="0" fillId="0" borderId="23" xfId="0" applyNumberFormat="1" applyBorder="1" applyAlignment="1">
      <alignment horizontal="center" vertical="center"/>
    </xf>
    <xf numFmtId="0" fontId="0" fillId="0" borderId="19" xfId="0" applyBorder="1" applyAlignment="1">
      <alignment horizontal="center" vertical="center"/>
    </xf>
    <xf numFmtId="1" fontId="0" fillId="0" borderId="0" xfId="0" applyNumberFormat="1" applyBorder="1" applyAlignment="1">
      <alignment horizontal="center" vertical="center"/>
    </xf>
    <xf numFmtId="1" fontId="0" fillId="0" borderId="20" xfId="0" applyNumberFormat="1"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0" fontId="0" fillId="0" borderId="0" xfId="0" applyBorder="1" applyAlignment="1">
      <alignment horizontal="center"/>
    </xf>
    <xf numFmtId="0" fontId="0" fillId="0" borderId="0" xfId="0" applyBorder="1" applyAlignment="1">
      <alignment horizontal="right"/>
    </xf>
    <xf numFmtId="1" fontId="2" fillId="0" borderId="0" xfId="0" applyNumberFormat="1" applyFont="1" applyBorder="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Border="1" applyAlignment="1">
      <alignment horizontal="center" vertical="center"/>
    </xf>
    <xf numFmtId="165" fontId="2" fillId="0" borderId="0" xfId="0" applyNumberFormat="1" applyFont="1" applyBorder="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Font="1" applyBorder="1" applyAlignment="1">
      <alignment horizontal="left"/>
    </xf>
    <xf numFmtId="0" fontId="0" fillId="0" borderId="0" xfId="0" applyBorder="1" applyAlignment="1">
      <alignment horizontal="center" vertical="center"/>
    </xf>
    <xf numFmtId="165" fontId="2" fillId="0" borderId="0" xfId="0" applyNumberFormat="1" applyFont="1" applyFill="1" applyBorder="1" applyAlignment="1">
      <alignment horizontal="center" vertical="center"/>
    </xf>
    <xf numFmtId="0" fontId="2" fillId="4" borderId="0" xfId="0" applyFont="1" applyFill="1" applyBorder="1" applyAlignment="1" applyProtection="1">
      <alignment horizontal="center" vertical="center"/>
      <protection locked="0"/>
    </xf>
    <xf numFmtId="165"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Fill="1" applyBorder="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0" xfId="0" applyFont="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0" fontId="2" fillId="0" borderId="0" xfId="0" applyFont="1" applyBorder="1" applyAlignment="1"/>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Border="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applyAlignment="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pplyProtection="1">
      <alignment horizontal="right" vertical="center"/>
    </xf>
    <xf numFmtId="0" fontId="30" fillId="0" borderId="13" xfId="2" applyFont="1" applyBorder="1" applyAlignment="1" applyProtection="1">
      <alignment horizontal="right"/>
    </xf>
    <xf numFmtId="2" fontId="7" fillId="0" borderId="0" xfId="0" applyNumberFormat="1" applyFont="1" applyFill="1" applyBorder="1" applyAlignment="1">
      <alignment horizontal="center"/>
    </xf>
    <xf numFmtId="2" fontId="7" fillId="0" borderId="0" xfId="0" applyNumberFormat="1" applyFont="1" applyBorder="1" applyAlignment="1">
      <alignment horizontal="center"/>
    </xf>
    <xf numFmtId="2" fontId="0" fillId="0" borderId="0" xfId="0" applyNumberFormat="1" applyBorder="1" applyAlignment="1">
      <alignment horizontal="center"/>
    </xf>
    <xf numFmtId="2" fontId="0" fillId="16" borderId="31" xfId="0" applyNumberFormat="1" applyFont="1" applyFill="1" applyBorder="1" applyAlignment="1">
      <alignment horizontal="center"/>
    </xf>
    <xf numFmtId="2" fontId="0" fillId="16" borderId="33" xfId="0" applyNumberFormat="1" applyFont="1" applyFill="1" applyBorder="1" applyAlignment="1">
      <alignment horizontal="center"/>
    </xf>
    <xf numFmtId="2" fontId="0" fillId="16" borderId="32" xfId="0" applyNumberFormat="1" applyFont="1" applyFill="1" applyBorder="1" applyAlignment="1">
      <alignment horizontal="center"/>
    </xf>
    <xf numFmtId="0" fontId="0" fillId="16" borderId="31" xfId="0" applyNumberFormat="1" applyFont="1" applyFill="1" applyBorder="1" applyAlignment="1">
      <alignment horizontal="center"/>
    </xf>
    <xf numFmtId="0" fontId="0" fillId="16" borderId="33" xfId="0" applyNumberFormat="1" applyFont="1" applyFill="1" applyBorder="1" applyAlignment="1">
      <alignment horizontal="center"/>
    </xf>
    <xf numFmtId="0" fontId="0" fillId="16" borderId="32" xfId="0" applyNumberFormat="1" applyFont="1" applyFill="1" applyBorder="1" applyAlignment="1">
      <alignment horizontal="center"/>
    </xf>
    <xf numFmtId="2" fontId="0" fillId="0" borderId="0" xfId="0" applyNumberFormat="1" applyAlignmen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Border="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NumberFormat="1" applyFill="1" applyBorder="1" applyAlignment="1"/>
    <xf numFmtId="0" fontId="0" fillId="21" borderId="0" xfId="0" applyNumberFormat="1" applyFill="1" applyBorder="1" applyAlignment="1"/>
    <xf numFmtId="0" fontId="0" fillId="21" borderId="20" xfId="0" applyNumberFormat="1" applyFill="1" applyBorder="1" applyAlignment="1">
      <alignment horizontal="center"/>
    </xf>
    <xf numFmtId="0" fontId="0" fillId="21" borderId="21" xfId="0" applyNumberFormat="1" applyFill="1" applyBorder="1" applyAlignment="1"/>
    <xf numFmtId="0" fontId="0" fillId="21" borderId="22" xfId="0" applyNumberFormat="1" applyFill="1" applyBorder="1" applyAlignment="1"/>
    <xf numFmtId="0" fontId="0" fillId="21" borderId="23" xfId="0" applyNumberFormat="1"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Border="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ont="1"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ont="1" applyFill="1" applyBorder="1" applyAlignment="1">
      <alignment horizontal="center"/>
    </xf>
    <xf numFmtId="0" fontId="0" fillId="22" borderId="41" xfId="0" applyFont="1" applyFill="1" applyBorder="1" applyAlignment="1">
      <alignment horizontal="center"/>
    </xf>
    <xf numFmtId="0" fontId="0" fillId="22" borderId="36" xfId="0" applyFont="1"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1" xfId="0" applyFill="1" applyBorder="1" applyAlignment="1">
      <alignment horizontal="center"/>
    </xf>
    <xf numFmtId="0" fontId="0" fillId="22" borderId="44" xfId="0" applyFont="1"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ont="1" applyFill="1" applyBorder="1" applyAlignment="1">
      <alignment horizontal="center"/>
    </xf>
    <xf numFmtId="2" fontId="0" fillId="23" borderId="21" xfId="0" applyNumberFormat="1" applyFon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NumberFormat="1"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ont="1" applyFill="1" applyBorder="1" applyAlignment="1">
      <alignment horizontal="center"/>
    </xf>
    <xf numFmtId="0" fontId="0" fillId="26" borderId="53" xfId="0" applyFont="1"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Border="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Border="1" applyAlignment="1">
      <alignment horizontal="center"/>
    </xf>
    <xf numFmtId="169" fontId="0" fillId="3" borderId="56" xfId="0" applyNumberFormat="1" applyFill="1" applyBorder="1" applyAlignment="1">
      <alignment horizontal="center"/>
    </xf>
    <xf numFmtId="0" fontId="0" fillId="3" borderId="0" xfId="0" applyNumberFormat="1" applyFill="1" applyBorder="1" applyAlignment="1">
      <alignment horizontal="center"/>
    </xf>
    <xf numFmtId="0" fontId="0" fillId="26" borderId="1" xfId="0" applyFont="1" applyFill="1" applyBorder="1" applyAlignment="1">
      <alignment horizontal="center"/>
    </xf>
    <xf numFmtId="0" fontId="0" fillId="26" borderId="51" xfId="0" applyFont="1" applyFill="1" applyBorder="1" applyAlignment="1">
      <alignment horizontal="center"/>
    </xf>
    <xf numFmtId="183" fontId="0" fillId="26" borderId="51" xfId="0" applyNumberFormat="1" applyFon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0" fontId="0" fillId="24" borderId="62" xfId="0" applyNumberFormat="1" applyFill="1" applyBorder="1" applyAlignment="1">
      <alignment horizontal="center"/>
    </xf>
    <xf numFmtId="183" fontId="0" fillId="25" borderId="60" xfId="0" applyNumberFormat="1" applyFill="1" applyBorder="1" applyAlignment="1">
      <alignment horizontal="center"/>
    </xf>
    <xf numFmtId="0" fontId="0" fillId="3" borderId="55" xfId="0" applyNumberFormat="1" applyFill="1" applyBorder="1" applyAlignment="1">
      <alignment horizontal="center"/>
    </xf>
    <xf numFmtId="0" fontId="0" fillId="3" borderId="56" xfId="0" applyNumberFormat="1" applyFill="1" applyBorder="1" applyAlignment="1">
      <alignment horizontal="center"/>
    </xf>
    <xf numFmtId="0" fontId="0" fillId="3" borderId="61" xfId="0" applyNumberFormat="1" applyFill="1" applyBorder="1" applyAlignment="1">
      <alignment horizontal="center"/>
    </xf>
    <xf numFmtId="0" fontId="0" fillId="24" borderId="57" xfId="0" applyNumberFormat="1" applyFill="1" applyBorder="1" applyAlignment="1">
      <alignment horizontal="center"/>
    </xf>
    <xf numFmtId="0" fontId="45" fillId="0" borderId="0" xfId="0" applyFont="1" applyBorder="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pplyProtection="1">
      <alignment horizontal="right"/>
    </xf>
    <xf numFmtId="0" fontId="46" fillId="0" borderId="10" xfId="2" applyFont="1" applyBorder="1" applyProtection="1"/>
    <xf numFmtId="0" fontId="49" fillId="0" borderId="10" xfId="2" applyFont="1" applyBorder="1" applyAlignment="1" applyProtection="1">
      <alignment horizontal="left"/>
    </xf>
    <xf numFmtId="0" fontId="48" fillId="0" borderId="10" xfId="2" applyFont="1" applyBorder="1" applyAlignment="1" applyProtection="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ont="1" applyFill="1" applyBorder="1" applyAlignment="1">
      <alignment horizontal="center"/>
    </xf>
    <xf numFmtId="0" fontId="0" fillId="29" borderId="26" xfId="0" applyFill="1" applyBorder="1" applyAlignment="1" applyProtection="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NumberFormat="1" applyFont="1" applyFill="1" applyBorder="1" applyAlignment="1">
      <alignment horizontal="center"/>
    </xf>
    <xf numFmtId="0" fontId="33" fillId="5" borderId="20" xfId="2" applyNumberFormat="1" applyFont="1" applyFill="1" applyBorder="1" applyAlignment="1">
      <alignment horizontal="center"/>
    </xf>
    <xf numFmtId="0" fontId="33" fillId="5" borderId="23" xfId="2" applyNumberFormat="1"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ont="1" applyFill="1" applyBorder="1" applyAlignment="1" applyProtection="1">
      <alignment horizontal="center" vertical="center"/>
      <protection hidden="1"/>
    </xf>
    <xf numFmtId="0" fontId="0" fillId="0" borderId="22" xfId="0" applyBorder="1" applyAlignment="1">
      <alignment horizontal="center" vertical="center"/>
    </xf>
    <xf numFmtId="1" fontId="0" fillId="0" borderId="22" xfId="0" applyNumberFormat="1"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0" fontId="0" fillId="0" borderId="33" xfId="0" applyFont="1" applyBorder="1" applyAlignment="1">
      <alignment horizontal="center" vertical="center"/>
    </xf>
    <xf numFmtId="0" fontId="0"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2" fillId="0" borderId="0" xfId="0" applyFont="1" applyFill="1" applyBorder="1" applyAlignment="1">
      <alignment horizontal="center"/>
    </xf>
    <xf numFmtId="0" fontId="45" fillId="0" borderId="0" xfId="2" applyFont="1" applyBorder="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Border="1" applyProtection="1"/>
    <xf numFmtId="0" fontId="15" fillId="0" borderId="0" xfId="0" applyFont="1" applyFill="1" applyBorder="1" applyProtection="1"/>
    <xf numFmtId="0" fontId="2" fillId="0" borderId="0" xfId="0" applyFont="1" applyBorder="1" applyAlignment="1" applyProtection="1">
      <alignment horizontal="right"/>
    </xf>
    <xf numFmtId="0" fontId="15" fillId="0" borderId="0" xfId="0" applyFont="1" applyBorder="1" applyAlignment="1" applyProtection="1">
      <alignment horizontal="right"/>
    </xf>
    <xf numFmtId="0" fontId="2" fillId="0" borderId="0" xfId="0" applyFont="1" applyBorder="1" applyProtection="1"/>
    <xf numFmtId="0" fontId="42" fillId="0" borderId="0" xfId="0" applyFont="1" applyBorder="1" applyAlignment="1" applyProtection="1">
      <alignment horizontal="center"/>
    </xf>
    <xf numFmtId="0" fontId="15" fillId="0" borderId="0" xfId="0" applyFont="1" applyFill="1" applyBorder="1" applyAlignment="1" applyProtection="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0" fillId="0" borderId="0" xfId="0" applyBorder="1" applyProtection="1"/>
    <xf numFmtId="0" fontId="15" fillId="0" borderId="2" xfId="0" applyFont="1" applyFill="1" applyBorder="1" applyAlignment="1" applyProtection="1">
      <alignment horizontal="center"/>
    </xf>
    <xf numFmtId="0" fontId="15" fillId="0" borderId="64" xfId="0" applyFont="1" applyFill="1" applyBorder="1" applyAlignment="1" applyProtection="1">
      <alignment horizontal="center"/>
    </xf>
    <xf numFmtId="0" fontId="0" fillId="0" borderId="0" xfId="0" applyFont="1" applyFill="1" applyBorder="1" applyAlignment="1" applyProtection="1">
      <alignment horizontal="center"/>
    </xf>
    <xf numFmtId="201" fontId="15" fillId="0" borderId="0" xfId="0" applyNumberFormat="1" applyFont="1" applyBorder="1" applyProtection="1"/>
    <xf numFmtId="0" fontId="0" fillId="0" borderId="0" xfId="0" applyBorder="1" applyAlignment="1" applyProtection="1">
      <alignment horizontal="left"/>
    </xf>
    <xf numFmtId="191" fontId="0" fillId="0" borderId="0" xfId="0" applyNumberFormat="1" applyBorder="1" applyProtection="1"/>
    <xf numFmtId="192" fontId="0" fillId="0" borderId="0" xfId="0" applyNumberFormat="1" applyFill="1" applyBorder="1" applyProtection="1"/>
    <xf numFmtId="0" fontId="43" fillId="0" borderId="0" xfId="0" applyFont="1" applyBorder="1" applyProtection="1"/>
    <xf numFmtId="0" fontId="2" fillId="0" borderId="31" xfId="0" applyFont="1" applyBorder="1" applyProtection="1"/>
    <xf numFmtId="0" fontId="2" fillId="0" borderId="33" xfId="0" applyFont="1" applyBorder="1" applyProtection="1"/>
    <xf numFmtId="192" fontId="2" fillId="30" borderId="32" xfId="0" applyNumberFormat="1" applyFont="1" applyFill="1" applyBorder="1" applyProtection="1">
      <protection locked="0"/>
    </xf>
    <xf numFmtId="0" fontId="2" fillId="0" borderId="21" xfId="0" applyFont="1" applyBorder="1" applyProtection="1"/>
    <xf numFmtId="0" fontId="2" fillId="0" borderId="22" xfId="0" applyFont="1" applyBorder="1" applyProtection="1"/>
    <xf numFmtId="198" fontId="2" fillId="0" borderId="23" xfId="0" applyNumberFormat="1" applyFont="1" applyFill="1" applyBorder="1" applyProtection="1"/>
    <xf numFmtId="0" fontId="42" fillId="0" borderId="0" xfId="0" applyFont="1" applyBorder="1" applyAlignment="1" applyProtection="1"/>
    <xf numFmtId="0" fontId="2" fillId="0" borderId="31" xfId="0" applyFont="1" applyBorder="1" applyAlignment="1" applyProtection="1"/>
    <xf numFmtId="0" fontId="2" fillId="0" borderId="33" xfId="0" applyFont="1" applyBorder="1" applyAlignment="1" applyProtection="1"/>
    <xf numFmtId="0" fontId="2" fillId="0" borderId="19" xfId="0" applyFont="1" applyBorder="1" applyAlignment="1" applyProtection="1"/>
    <xf numFmtId="0" fontId="2" fillId="0" borderId="0" xfId="0" applyFont="1" applyBorder="1" applyAlignment="1" applyProtection="1"/>
    <xf numFmtId="0" fontId="2" fillId="0" borderId="21" xfId="0" applyFont="1" applyBorder="1" applyAlignment="1" applyProtection="1"/>
    <xf numFmtId="0" fontId="2" fillId="0" borderId="22" xfId="0" applyFont="1" applyBorder="1" applyAlignment="1" applyProtection="1"/>
    <xf numFmtId="3" fontId="2" fillId="30" borderId="32" xfId="0" applyNumberFormat="1" applyFont="1" applyFill="1" applyBorder="1" applyAlignment="1" applyProtection="1">
      <alignment horizontal="center"/>
    </xf>
    <xf numFmtId="191" fontId="2" fillId="0" borderId="33" xfId="0" applyNumberFormat="1" applyFont="1" applyFill="1" applyBorder="1" applyAlignment="1" applyProtection="1">
      <alignment horizontal="center"/>
    </xf>
    <xf numFmtId="192" fontId="2" fillId="0" borderId="32" xfId="0" applyNumberFormat="1" applyFont="1" applyFill="1" applyBorder="1" applyAlignment="1" applyProtection="1">
      <alignment horizontal="center"/>
    </xf>
    <xf numFmtId="191" fontId="2" fillId="0" borderId="22" xfId="0" applyNumberFormat="1" applyFont="1" applyFill="1" applyBorder="1" applyAlignment="1" applyProtection="1">
      <alignment horizontal="center"/>
    </xf>
    <xf numFmtId="192" fontId="2" fillId="0" borderId="23" xfId="0" applyNumberFormat="1" applyFont="1" applyFill="1" applyBorder="1" applyAlignment="1" applyProtection="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Fill="1" applyBorder="1" applyAlignment="1" applyProtection="1">
      <alignment horizontal="center"/>
    </xf>
    <xf numFmtId="201" fontId="2" fillId="0" borderId="23" xfId="0" applyNumberFormat="1" applyFont="1" applyBorder="1" applyAlignment="1" applyProtection="1">
      <alignment horizontal="center"/>
    </xf>
    <xf numFmtId="199" fontId="2" fillId="0" borderId="33" xfId="0" applyNumberFormat="1" applyFont="1" applyFill="1" applyBorder="1" applyAlignment="1" applyProtection="1">
      <alignment horizontal="center"/>
    </xf>
    <xf numFmtId="200" fontId="2" fillId="0" borderId="32" xfId="0" applyNumberFormat="1" applyFont="1" applyFill="1" applyBorder="1" applyAlignment="1" applyProtection="1">
      <alignment horizontal="center"/>
    </xf>
    <xf numFmtId="191" fontId="2" fillId="0" borderId="0" xfId="0" applyNumberFormat="1" applyFont="1" applyFill="1" applyBorder="1" applyAlignment="1" applyProtection="1">
      <alignment horizontal="center"/>
    </xf>
    <xf numFmtId="192" fontId="2" fillId="0" borderId="20" xfId="0" applyNumberFormat="1" applyFont="1" applyFill="1" applyBorder="1" applyAlignment="1" applyProtection="1">
      <alignment horizontal="center"/>
    </xf>
    <xf numFmtId="0" fontId="15" fillId="0" borderId="10" xfId="0" applyFont="1" applyFill="1" applyBorder="1" applyProtection="1"/>
    <xf numFmtId="0" fontId="15" fillId="0" borderId="10" xfId="0" applyFont="1" applyBorder="1" applyProtection="1"/>
    <xf numFmtId="0" fontId="0" fillId="29" borderId="20" xfId="0" applyFill="1" applyBorder="1" applyAlignment="1" applyProtection="1">
      <alignment horizontal="center"/>
    </xf>
    <xf numFmtId="0" fontId="0" fillId="29" borderId="26" xfId="0" applyFill="1" applyBorder="1" applyAlignment="1">
      <alignment horizontal="center"/>
    </xf>
    <xf numFmtId="0" fontId="0" fillId="31" borderId="65" xfId="0" applyNumberFormat="1"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170" fontId="2" fillId="3" borderId="25" xfId="0" applyNumberFormat="1" applyFont="1" applyFill="1" applyBorder="1" applyAlignment="1" applyProtection="1">
      <alignment horizontal="center" vertical="center"/>
      <protection locked="0"/>
    </xf>
    <xf numFmtId="0" fontId="2" fillId="28" borderId="2" xfId="0" applyFont="1" applyFill="1" applyBorder="1" applyAlignment="1">
      <alignment horizontal="center" vertical="center"/>
    </xf>
    <xf numFmtId="0" fontId="0" fillId="0" borderId="0" xfId="0" applyFont="1" applyFill="1" applyBorder="1" applyAlignment="1">
      <alignment horizontal="center"/>
    </xf>
    <xf numFmtId="0" fontId="0" fillId="30" borderId="0" xfId="0" applyFill="1"/>
    <xf numFmtId="0" fontId="0" fillId="30" borderId="0" xfId="0" applyFill="1" applyAlignment="1">
      <alignment horizontal="center"/>
    </xf>
    <xf numFmtId="0" fontId="0" fillId="0" borderId="0" xfId="0" applyFill="1" applyBorder="1" applyAlignment="1" applyProtection="1">
      <alignment horizontal="center"/>
      <protection locked="0"/>
    </xf>
    <xf numFmtId="0" fontId="0" fillId="29" borderId="25" xfId="0" applyFill="1" applyBorder="1" applyAlignment="1">
      <alignment horizontal="center"/>
    </xf>
    <xf numFmtId="0" fontId="1" fillId="0" borderId="0" xfId="2" applyFont="1" applyBorder="1" applyProtection="1">
      <protection locked="0"/>
    </xf>
    <xf numFmtId="0" fontId="1" fillId="0" borderId="0" xfId="2" applyFont="1"/>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0" fontId="45" fillId="0" borderId="0" xfId="0" applyFont="1" applyAlignment="1">
      <alignment vertical="center"/>
    </xf>
    <xf numFmtId="0" fontId="0" fillId="30" borderId="2" xfId="0" applyFill="1" applyBorder="1" applyAlignment="1">
      <alignmen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Border="1" applyAlignment="1">
      <alignment vertical="center"/>
    </xf>
    <xf numFmtId="0" fontId="2" fillId="0" borderId="0" xfId="0" applyFont="1" applyFill="1" applyBorder="1" applyAlignment="1" applyProtection="1">
      <alignment horizontal="center" vertical="center"/>
      <protection hidden="1"/>
    </xf>
    <xf numFmtId="186" fontId="2" fillId="0" borderId="0" xfId="0" applyNumberFormat="1" applyFont="1" applyFill="1" applyBorder="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ont="1" applyFill="1" applyBorder="1" applyAlignment="1">
      <alignment horizontal="center" vertical="center"/>
    </xf>
    <xf numFmtId="175" fontId="2" fillId="7" borderId="2" xfId="0" applyNumberFormat="1" applyFont="1" applyFill="1" applyBorder="1" applyAlignment="1">
      <alignment horizontal="center" vertical="center"/>
    </xf>
    <xf numFmtId="0" fontId="0" fillId="0" borderId="0" xfId="0" applyFill="1" applyBorder="1" applyAlignment="1">
      <alignment vertical="center"/>
    </xf>
    <xf numFmtId="166" fontId="2" fillId="0" borderId="0" xfId="0" applyNumberFormat="1" applyFont="1" applyFill="1" applyBorder="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ont="1" applyFill="1" applyBorder="1" applyAlignment="1">
      <alignment horizontal="center" vertical="center"/>
    </xf>
    <xf numFmtId="186" fontId="0" fillId="7" borderId="43" xfId="0" applyNumberFormat="1" applyFont="1" applyFill="1" applyBorder="1" applyAlignment="1">
      <alignment horizontal="center" vertical="center"/>
    </xf>
    <xf numFmtId="165" fontId="0" fillId="7" borderId="72" xfId="0" applyNumberFormat="1" applyFon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on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Border="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applyAlignment="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Border="1" applyAlignment="1" applyProtection="1">
      <alignment horizontal="center"/>
      <protection hidden="1"/>
    </xf>
    <xf numFmtId="0" fontId="8" fillId="0" borderId="0" xfId="2" applyFont="1" applyBorder="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pplyProtection="1">
      <alignment horizontal="center"/>
    </xf>
    <xf numFmtId="0" fontId="2" fillId="0" borderId="33" xfId="0" applyFont="1" applyFill="1" applyBorder="1" applyAlignment="1">
      <alignment horizontal="center"/>
    </xf>
    <xf numFmtId="165" fontId="2" fillId="0" borderId="20" xfId="0" applyNumberFormat="1" applyFont="1" applyFill="1" applyBorder="1" applyAlignment="1">
      <alignment horizontal="center" vertical="center"/>
    </xf>
    <xf numFmtId="165" fontId="2" fillId="0" borderId="20" xfId="0" applyNumberFormat="1" applyFont="1" applyFill="1" applyBorder="1" applyAlignment="1">
      <alignment horizontal="center"/>
    </xf>
    <xf numFmtId="0" fontId="2" fillId="0" borderId="22" xfId="0" applyFont="1" applyFill="1" applyBorder="1" applyAlignment="1">
      <alignment horizontal="center"/>
    </xf>
    <xf numFmtId="175" fontId="2" fillId="0" borderId="0" xfId="0" applyNumberFormat="1" applyFont="1" applyFill="1" applyBorder="1" applyAlignment="1" applyProtection="1">
      <alignment horizontal="center" vertical="center"/>
    </xf>
    <xf numFmtId="0" fontId="2" fillId="0" borderId="22" xfId="0" applyFont="1" applyFill="1" applyBorder="1" applyAlignment="1">
      <alignment horizontal="center" vertical="center"/>
    </xf>
    <xf numFmtId="182" fontId="2" fillId="0" borderId="0" xfId="0" applyNumberFormat="1" applyFont="1" applyFill="1" applyBorder="1" applyAlignment="1">
      <alignment horizontal="center"/>
    </xf>
    <xf numFmtId="1" fontId="2" fillId="0" borderId="0" xfId="0" applyNumberFormat="1" applyFont="1" applyFill="1" applyBorder="1" applyAlignment="1">
      <alignment horizontal="center" vertical="center"/>
    </xf>
    <xf numFmtId="14" fontId="2" fillId="0" borderId="0" xfId="0" applyNumberFormat="1" applyFont="1" applyBorder="1" applyAlignment="1">
      <alignment horizontal="center"/>
    </xf>
    <xf numFmtId="0" fontId="0" fillId="0" borderId="0" xfId="0" applyFont="1" applyBorder="1" applyAlignment="1" applyProtection="1">
      <alignment horizontal="right"/>
    </xf>
    <xf numFmtId="0" fontId="2" fillId="0" borderId="0" xfId="0" applyFont="1" applyBorder="1" applyAlignment="1">
      <alignment horizontal="right"/>
    </xf>
    <xf numFmtId="0" fontId="0" fillId="0" borderId="0" xfId="0" applyBorder="1" applyAlignment="1" applyProtection="1">
      <alignment horizontal="right"/>
    </xf>
    <xf numFmtId="0" fontId="0" fillId="0" borderId="64" xfId="0" applyBorder="1" applyAlignment="1">
      <alignment horizontal="center"/>
    </xf>
    <xf numFmtId="0" fontId="0" fillId="0" borderId="0" xfId="0" applyFont="1" applyBorder="1" applyAlignment="1">
      <alignment horizontal="right"/>
    </xf>
    <xf numFmtId="0" fontId="0" fillId="0" borderId="0" xfId="0" applyFont="1" applyFill="1" applyBorder="1" applyAlignment="1" applyProtection="1">
      <alignment horizontal="right"/>
    </xf>
    <xf numFmtId="0" fontId="0" fillId="0" borderId="2" xfId="0" applyFont="1" applyFill="1" applyBorder="1" applyAlignment="1" applyProtection="1">
      <alignment horizontal="center"/>
    </xf>
    <xf numFmtId="0" fontId="0" fillId="0" borderId="2" xfId="0" applyFont="1" applyBorder="1" applyAlignment="1">
      <alignment horizontal="center"/>
    </xf>
    <xf numFmtId="0" fontId="0" fillId="0" borderId="0" xfId="0" applyFill="1" applyBorder="1" applyAlignment="1" applyProtection="1">
      <alignment horizontal="right"/>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Fill="1" applyBorder="1" applyAlignment="1">
      <alignment horizontal="center" vertical="center"/>
    </xf>
    <xf numFmtId="0" fontId="2" fillId="0" borderId="2" xfId="0" applyFont="1" applyFill="1" applyBorder="1" applyAlignment="1">
      <alignment horizontal="center"/>
    </xf>
    <xf numFmtId="175" fontId="2" fillId="0" borderId="2" xfId="0" applyNumberFormat="1" applyFont="1" applyFill="1" applyBorder="1" applyAlignment="1" applyProtection="1">
      <alignment horizontal="center" vertical="center"/>
    </xf>
    <xf numFmtId="0" fontId="2" fillId="0" borderId="2" xfId="0" applyNumberFormat="1" applyFont="1" applyBorder="1" applyAlignment="1">
      <alignment horizontal="center"/>
    </xf>
    <xf numFmtId="0"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xf>
    <xf numFmtId="0" fontId="2" fillId="0" borderId="2"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0" borderId="0" xfId="0" applyNumberFormat="1" applyFont="1" applyBorder="1"/>
    <xf numFmtId="175" fontId="2" fillId="0" borderId="2" xfId="0" applyNumberFormat="1" applyFont="1" applyFill="1" applyBorder="1" applyAlignment="1" applyProtection="1">
      <alignment horizontal="right" vertical="center"/>
    </xf>
    <xf numFmtId="0" fontId="0" fillId="0" borderId="20" xfId="0" applyFont="1" applyFill="1" applyBorder="1" applyAlignment="1">
      <alignment horizontal="center"/>
    </xf>
    <xf numFmtId="0" fontId="0" fillId="0" borderId="0" xfId="0" applyBorder="1" applyAlignment="1">
      <alignment horizontal="left" vertical="top"/>
    </xf>
    <xf numFmtId="0" fontId="0" fillId="0" borderId="0" xfId="0" applyFont="1" applyBorder="1"/>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3" fillId="19" borderId="0" xfId="2" applyFont="1" applyFill="1" applyBorder="1" applyAlignment="1">
      <alignment horizontal="center"/>
    </xf>
    <xf numFmtId="0" fontId="2" fillId="0" borderId="0" xfId="2" applyFont="1" applyBorder="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NumberFormat="1" applyFont="1" applyFill="1" applyBorder="1" applyAlignment="1">
      <alignment horizontal="center" vertical="center"/>
    </xf>
    <xf numFmtId="0" fontId="17" fillId="5" borderId="32" xfId="2" applyNumberFormat="1" applyFont="1" applyFill="1" applyBorder="1" applyAlignment="1">
      <alignment horizontal="center" vertical="center"/>
    </xf>
    <xf numFmtId="0" fontId="17" fillId="5" borderId="21" xfId="2" applyNumberFormat="1" applyFont="1" applyFill="1" applyBorder="1" applyAlignment="1">
      <alignment horizontal="center" vertical="center"/>
    </xf>
    <xf numFmtId="0" fontId="17" fillId="5" borderId="23" xfId="2" applyNumberFormat="1"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Border="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46" xfId="0" applyNumberFormat="1" applyFont="1" applyFill="1" applyBorder="1" applyAlignment="1" applyProtection="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pplyProtection="1">
      <alignment horizontal="center"/>
    </xf>
    <xf numFmtId="0" fontId="2" fillId="13" borderId="91" xfId="0" applyFont="1" applyFill="1" applyBorder="1" applyAlignment="1" applyProtection="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 fillId="20" borderId="0" xfId="0" applyFont="1" applyFill="1" applyBorder="1" applyAlignment="1">
      <alignment horizontal="center"/>
    </xf>
    <xf numFmtId="0" fontId="35" fillId="13" borderId="15" xfId="0" applyFont="1" applyFill="1" applyBorder="1" applyAlignment="1" applyProtection="1">
      <alignment horizontal="center"/>
    </xf>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Fill="1" applyBorder="1" applyAlignment="1" applyProtection="1">
      <alignment horizontal="center"/>
    </xf>
    <xf numFmtId="0" fontId="0" fillId="0" borderId="0"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pplyProtection="1">
      <alignment horizontal="center"/>
    </xf>
    <xf numFmtId="0" fontId="0" fillId="30" borderId="20" xfId="0" applyFill="1" applyBorder="1" applyAlignment="1" applyProtection="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Border="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0" borderId="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ont="1" applyFill="1" applyBorder="1" applyAlignment="1">
      <alignment horizontal="center"/>
    </xf>
    <xf numFmtId="0" fontId="0" fillId="28" borderId="31" xfId="0" applyFont="1" applyFill="1" applyBorder="1" applyAlignment="1">
      <alignment horizontal="center"/>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0" borderId="33" xfId="0" applyBorder="1" applyAlignment="1">
      <alignment horizontal="center"/>
    </xf>
    <xf numFmtId="2" fontId="0" fillId="22" borderId="53" xfId="0" applyNumberFormat="1" applyFont="1" applyFill="1" applyBorder="1" applyAlignment="1">
      <alignment horizontal="center"/>
    </xf>
    <xf numFmtId="2" fontId="0" fillId="22" borderId="65" xfId="0" applyNumberFormat="1" applyFont="1" applyFill="1" applyBorder="1" applyAlignment="1">
      <alignment horizontal="center"/>
    </xf>
    <xf numFmtId="2" fontId="0" fillId="22" borderId="11" xfId="0" applyNumberFormat="1" applyFont="1" applyFill="1" applyBorder="1" applyAlignment="1">
      <alignment horizontal="center"/>
    </xf>
    <xf numFmtId="2" fontId="0" fillId="22" borderId="54" xfId="0" applyNumberFormat="1" applyFont="1" applyFill="1" applyBorder="1" applyAlignment="1">
      <alignment horizontal="center"/>
    </xf>
    <xf numFmtId="0" fontId="0" fillId="22" borderId="99" xfId="0" applyFont="1" applyFill="1" applyBorder="1" applyAlignment="1">
      <alignment horizontal="center"/>
    </xf>
    <xf numFmtId="0" fontId="0" fillId="22" borderId="100" xfId="0" applyFont="1" applyFill="1" applyBorder="1" applyAlignment="1">
      <alignment horizontal="center"/>
    </xf>
    <xf numFmtId="0" fontId="0" fillId="22" borderId="101" xfId="0" applyFont="1" applyFill="1" applyBorder="1" applyAlignment="1">
      <alignment horizontal="center"/>
    </xf>
    <xf numFmtId="2" fontId="0" fillId="22" borderId="52" xfId="0" applyNumberFormat="1" applyFill="1" applyBorder="1" applyAlignment="1">
      <alignment horizontal="center"/>
    </xf>
    <xf numFmtId="2" fontId="0" fillId="22" borderId="52" xfId="0" applyNumberFormat="1" applyFont="1" applyFill="1" applyBorder="1" applyAlignment="1">
      <alignment horizontal="center"/>
    </xf>
    <xf numFmtId="194" fontId="2" fillId="13" borderId="46" xfId="0" applyNumberFormat="1" applyFont="1" applyFill="1" applyBorder="1" applyAlignment="1" applyProtection="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pplyProtection="1">
      <alignment horizontal="center" vertical="center"/>
    </xf>
    <xf numFmtId="0" fontId="2" fillId="13" borderId="46" xfId="0" applyNumberFormat="1" applyFont="1" applyFill="1" applyBorder="1" applyAlignment="1" applyProtection="1">
      <alignment horizontal="center" vertical="center"/>
    </xf>
    <xf numFmtId="0" fontId="2" fillId="0" borderId="102" xfId="0" applyFont="1" applyBorder="1" applyAlignment="1">
      <alignment horizontal="center" vertical="center"/>
    </xf>
    <xf numFmtId="165" fontId="2" fillId="0" borderId="0" xfId="0" applyNumberFormat="1" applyFont="1" applyFill="1" applyBorder="1" applyAlignment="1">
      <alignment horizontal="center" vertical="center"/>
    </xf>
    <xf numFmtId="165" fontId="2" fillId="0" borderId="20" xfId="0" applyNumberFormat="1" applyFont="1" applyFill="1" applyBorder="1" applyAlignment="1">
      <alignment horizontal="center" vertical="center"/>
    </xf>
    <xf numFmtId="0" fontId="2" fillId="0" borderId="0" xfId="0" applyFont="1" applyFill="1" applyBorder="1" applyAlignment="1" applyProtection="1">
      <alignment horizontal="center" vertical="center"/>
    </xf>
    <xf numFmtId="0" fontId="2" fillId="0" borderId="20" xfId="0" applyFont="1" applyFill="1" applyBorder="1" applyAlignment="1" applyProtection="1">
      <alignment horizontal="center" vertical="center"/>
    </xf>
    <xf numFmtId="175" fontId="2" fillId="0" borderId="22" xfId="0" applyNumberFormat="1" applyFont="1" applyFill="1" applyBorder="1" applyAlignment="1" applyProtection="1">
      <alignment horizontal="center" vertical="center"/>
    </xf>
    <xf numFmtId="175" fontId="2" fillId="0" borderId="23" xfId="0" applyNumberFormat="1" applyFont="1" applyFill="1" applyBorder="1" applyAlignment="1" applyProtection="1">
      <alignment horizontal="center" vertical="center"/>
    </xf>
    <xf numFmtId="165" fontId="2" fillId="0" borderId="0" xfId="0" applyNumberFormat="1" applyFont="1" applyBorder="1" applyAlignment="1">
      <alignment horizontal="center" vertical="center"/>
    </xf>
    <xf numFmtId="165" fontId="2" fillId="0" borderId="20" xfId="0" applyNumberFormat="1" applyFont="1" applyBorder="1" applyAlignment="1">
      <alignment horizontal="center" vertical="center"/>
    </xf>
    <xf numFmtId="165" fontId="2" fillId="0" borderId="33" xfId="0" applyNumberFormat="1" applyFont="1" applyFill="1" applyBorder="1" applyAlignment="1">
      <alignment horizontal="center" vertical="center"/>
    </xf>
    <xf numFmtId="165" fontId="2" fillId="0" borderId="32" xfId="0" applyNumberFormat="1" applyFont="1" applyFill="1" applyBorder="1" applyAlignment="1">
      <alignment horizontal="center" vertical="center"/>
    </xf>
    <xf numFmtId="0" fontId="2" fillId="0" borderId="12" xfId="0" applyFont="1" applyBorder="1" applyAlignment="1">
      <alignment horizontal="center" vertical="center"/>
    </xf>
    <xf numFmtId="165" fontId="2" fillId="0" borderId="12" xfId="0" applyNumberFormat="1" applyFont="1" applyFill="1" applyBorder="1" applyAlignment="1">
      <alignment horizontal="center" vertical="center"/>
    </xf>
    <xf numFmtId="1" fontId="2" fillId="0" borderId="12" xfId="0" applyNumberFormat="1" applyFont="1" applyFill="1" applyBorder="1" applyAlignment="1">
      <alignment horizontal="center" vertical="center"/>
    </xf>
    <xf numFmtId="0" fontId="2" fillId="0" borderId="21" xfId="0" applyFont="1" applyFill="1" applyBorder="1" applyAlignment="1" applyProtection="1">
      <alignment horizontal="left"/>
    </xf>
    <xf numFmtId="0" fontId="2" fillId="0" borderId="22" xfId="0" applyFont="1" applyFill="1" applyBorder="1" applyAlignment="1" applyProtection="1">
      <alignment horizontal="left"/>
    </xf>
    <xf numFmtId="0" fontId="2" fillId="0" borderId="31" xfId="0" applyFont="1" applyBorder="1" applyAlignment="1" applyProtection="1">
      <alignment horizontal="left"/>
    </xf>
    <xf numFmtId="0" fontId="2" fillId="0" borderId="33" xfId="0" applyFont="1" applyBorder="1" applyAlignment="1" applyProtection="1">
      <alignment horizontal="left"/>
    </xf>
    <xf numFmtId="0" fontId="2" fillId="0" borderId="21" xfId="0" applyFont="1" applyBorder="1" applyAlignment="1" applyProtection="1">
      <alignment horizontal="left"/>
    </xf>
    <xf numFmtId="0" fontId="2" fillId="0" borderId="22" xfId="0" applyFont="1" applyBorder="1" applyAlignment="1" applyProtection="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cellXfs>
  <cellStyles count="3">
    <cellStyle name="Lien hypertexte" xfId="1" builtinId="8"/>
    <cellStyle name="Normal" xfId="0" builtinId="0"/>
    <cellStyle name="Normal 2" xfId="2"/>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theme="0"/>
      </font>
      <fill>
        <patternFill>
          <bgColor theme="0"/>
        </patternFill>
      </fill>
      <border>
        <left/>
        <right/>
        <top/>
        <bottom/>
      </border>
    </dxf>
    <dxf>
      <font>
        <color rgb="FFFFFF99"/>
        <name val="Cambria"/>
        <scheme val="none"/>
      </font>
    </dxf>
    <dxf>
      <font>
        <color rgb="FFFFCC99"/>
      </font>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indexed="9"/>
      </font>
      <fill>
        <patternFill patternType="solid">
          <bgColor indexed="9"/>
        </patternFill>
      </fill>
      <border>
        <left/>
        <right/>
        <top/>
        <bottom/>
      </border>
    </dxf>
    <dxf>
      <font>
        <color theme="0"/>
      </font>
      <fill>
        <patternFill patternType="solid">
          <bgColor theme="0"/>
        </patternFill>
      </fill>
      <border>
        <right/>
        <bottom/>
      </border>
    </dxf>
    <dxf>
      <font>
        <color rgb="FFCCFFFF"/>
      </font>
    </dxf>
    <dxf>
      <fill>
        <patternFill>
          <bgColor indexed="10"/>
        </patternFill>
      </fill>
    </dxf>
    <dxf>
      <font>
        <color theme="0"/>
      </font>
      <fill>
        <patternFill>
          <bgColor theme="0"/>
        </patternFill>
      </fill>
      <border>
        <right/>
        <top/>
        <bottom/>
      </border>
    </dxf>
    <dxf>
      <fill>
        <patternFill patternType="solid">
          <fgColor indexed="53"/>
          <bgColor rgb="FFFF0000"/>
        </patternFill>
      </fill>
    </dxf>
    <dxf>
      <fill>
        <patternFill patternType="solid">
          <fgColor indexed="60"/>
          <bgColor indexed="10"/>
        </patternFill>
      </fill>
    </dxf>
    <dxf>
      <fill>
        <patternFill patternType="solid">
          <fgColor indexed="60"/>
          <bgColor indexed="10"/>
        </patternFill>
      </fill>
    </dxf>
    <dxf>
      <font>
        <color rgb="FFFF0000"/>
      </font>
    </dxf>
    <dxf>
      <font>
        <color theme="0"/>
      </font>
    </dxf>
    <dxf>
      <font>
        <color theme="1"/>
      </font>
    </dxf>
    <dxf>
      <font>
        <color theme="1"/>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0000"/>
      </font>
    </dxf>
    <dxf>
      <font>
        <color rgb="FFCC6600"/>
      </font>
    </dxf>
    <dxf>
      <font>
        <color theme="0"/>
      </font>
      <fill>
        <patternFill>
          <bgColor theme="0"/>
        </patternFill>
      </fill>
      <border>
        <left/>
        <right/>
        <bottom/>
      </border>
    </dxf>
    <dxf>
      <font>
        <condense val="0"/>
        <extend val="0"/>
        <color indexed="9"/>
      </font>
      <fill>
        <patternFill patternType="none">
          <bgColor indexed="65"/>
        </patternFill>
      </fill>
      <border>
        <left/>
        <right/>
        <top/>
        <bottom/>
      </border>
    </dxf>
    <dxf>
      <font>
        <color indexed="9"/>
      </font>
      <fill>
        <patternFill>
          <bgColor indexed="9"/>
        </patternFill>
      </fill>
      <border>
        <left/>
        <right/>
        <top/>
        <bottom/>
      </border>
    </dxf>
    <dxf>
      <font>
        <color rgb="FFFF0000"/>
      </font>
    </dxf>
    <dxf>
      <font>
        <color rgb="FFFF0000"/>
      </font>
    </dxf>
    <dxf>
      <font>
        <color rgb="FFFF0000"/>
      </font>
    </dxf>
    <dxf>
      <font>
        <color rgb="FFFF0000"/>
      </font>
    </dxf>
    <dxf>
      <font>
        <color rgb="FFFF0000"/>
      </font>
    </dxf>
    <dxf>
      <font>
        <color rgb="FFFF0000"/>
      </font>
    </dxf>
    <dxf>
      <font>
        <condense val="0"/>
        <extend val="0"/>
        <color indexed="11"/>
      </font>
    </dxf>
    <dxf>
      <font>
        <condense val="0"/>
        <extend val="0"/>
        <color indexed="9"/>
      </font>
      <fill>
        <patternFill patternType="none">
          <bgColor indexed="65"/>
        </patternFill>
      </fill>
      <border>
        <left/>
        <right/>
        <top/>
        <bottom/>
      </border>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plotArea>
      <c:layout>
        <c:manualLayout>
          <c:layoutTarget val="inner"/>
          <c:xMode val="edge"/>
          <c:yMode val="edge"/>
          <c:x val="4.7970566137003713E-2"/>
          <c:y val="6.4690026954178192E-2"/>
          <c:w val="0.84871001627006748"/>
          <c:h val="0.90566037735849303"/>
        </c:manualLayout>
      </c:layout>
      <c:scatterChart>
        <c:scatterStyle val="lineMarker"/>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29.5</c:v>
                </c:pt>
                <c:pt idx="2">
                  <c:v>29.5</c:v>
                </c:pt>
                <c:pt idx="3">
                  <c:v>29.5</c:v>
                </c:pt>
                <c:pt idx="4">
                  <c:v>29.5</c:v>
                </c:pt>
                <c:pt idx="5">
                  <c:v>29.5</c:v>
                </c:pt>
                <c:pt idx="6">
                  <c:v>29.5</c:v>
                </c:pt>
                <c:pt idx="7">
                  <c:v>0</c:v>
                </c:pt>
              </c:numCache>
            </c:numRef>
          </c:xVal>
          <c:yVal>
            <c:numRef>
              <c:f>Stabilito!$C$124:$C$131</c:f>
              <c:numCache>
                <c:formatCode>0</c:formatCode>
                <c:ptCount val="8"/>
                <c:pt idx="0">
                  <c:v>-199</c:v>
                </c:pt>
                <c:pt idx="1">
                  <c:v>-199</c:v>
                </c:pt>
                <c:pt idx="2">
                  <c:v>-199</c:v>
                </c:pt>
                <c:pt idx="3">
                  <c:v>-199</c:v>
                </c:pt>
                <c:pt idx="4">
                  <c:v>-199</c:v>
                </c:pt>
                <c:pt idx="5">
                  <c:v>-199</c:v>
                </c:pt>
                <c:pt idx="6">
                  <c:v>-1001</c:v>
                </c:pt>
                <c:pt idx="7">
                  <c:v>-1001</c:v>
                </c:pt>
              </c:numCache>
            </c:numRef>
          </c:yVal>
        </c:ser>
        <c:ser>
          <c:idx val="1"/>
          <c:order val="1"/>
          <c:tx>
            <c:v>aileron</c:v>
          </c:tx>
          <c:spPr>
            <a:ln w="25400">
              <a:solidFill>
                <a:srgbClr val="00FF00"/>
              </a:solidFill>
              <a:prstDash val="solid"/>
            </a:ln>
          </c:spPr>
          <c:marker>
            <c:symbol val="none"/>
          </c:marker>
          <c:xVal>
            <c:numRef>
              <c:f>Stabilito!$D$132:$D$136</c:f>
              <c:numCache>
                <c:formatCode>0</c:formatCode>
                <c:ptCount val="5"/>
                <c:pt idx="0">
                  <c:v>29.5</c:v>
                </c:pt>
                <c:pt idx="1">
                  <c:v>128.5</c:v>
                </c:pt>
                <c:pt idx="2">
                  <c:v>128.5</c:v>
                </c:pt>
                <c:pt idx="3">
                  <c:v>29.5</c:v>
                </c:pt>
                <c:pt idx="4">
                  <c:v>29.5</c:v>
                </c:pt>
              </c:numCache>
            </c:numRef>
          </c:xVal>
          <c:yVal>
            <c:numRef>
              <c:f>Stabilito!$C$132:$C$136</c:f>
              <c:numCache>
                <c:formatCode>0</c:formatCode>
                <c:ptCount val="5"/>
                <c:pt idx="0">
                  <c:v>-892</c:v>
                </c:pt>
                <c:pt idx="1">
                  <c:v>-1001</c:v>
                </c:pt>
                <c:pt idx="2">
                  <c:v>-1060</c:v>
                </c:pt>
                <c:pt idx="3">
                  <c:v>-1001</c:v>
                </c:pt>
                <c:pt idx="4">
                  <c:v>-892</c:v>
                </c:pt>
              </c:numCache>
            </c:numRef>
          </c:yVal>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-29.5</c:v>
                </c:pt>
                <c:pt idx="2">
                  <c:v>-29.5</c:v>
                </c:pt>
                <c:pt idx="3">
                  <c:v>-29.5</c:v>
                </c:pt>
                <c:pt idx="4">
                  <c:v>-29.5</c:v>
                </c:pt>
                <c:pt idx="5">
                  <c:v>-29.5</c:v>
                </c:pt>
                <c:pt idx="6">
                  <c:v>-29.5</c:v>
                </c:pt>
                <c:pt idx="7">
                  <c:v>0</c:v>
                </c:pt>
              </c:numCache>
            </c:numRef>
          </c:xVal>
          <c:yVal>
            <c:numRef>
              <c:f>Stabilito!$C$124:$C$131</c:f>
              <c:numCache>
                <c:formatCode>0</c:formatCode>
                <c:ptCount val="8"/>
                <c:pt idx="0">
                  <c:v>-199</c:v>
                </c:pt>
                <c:pt idx="1">
                  <c:v>-199</c:v>
                </c:pt>
                <c:pt idx="2">
                  <c:v>-199</c:v>
                </c:pt>
                <c:pt idx="3">
                  <c:v>-199</c:v>
                </c:pt>
                <c:pt idx="4">
                  <c:v>-199</c:v>
                </c:pt>
                <c:pt idx="5">
                  <c:v>-199</c:v>
                </c:pt>
                <c:pt idx="6">
                  <c:v>-1001</c:v>
                </c:pt>
                <c:pt idx="7">
                  <c:v>-1001</c:v>
                </c:pt>
              </c:numCache>
            </c:numRef>
          </c:yVal>
        </c:ser>
        <c:ser>
          <c:idx val="3"/>
          <c:order val="3"/>
          <c:tx>
            <c:v>aileron2</c:v>
          </c:tx>
          <c:spPr>
            <a:ln w="25400">
              <a:solidFill>
                <a:srgbClr val="00FF00"/>
              </a:solidFill>
              <a:prstDash val="solid"/>
            </a:ln>
          </c:spPr>
          <c:marker>
            <c:symbol val="none"/>
          </c:marker>
          <c:xVal>
            <c:numRef>
              <c:f>Stabilito!$E$132:$E$136</c:f>
              <c:numCache>
                <c:formatCode>0</c:formatCode>
                <c:ptCount val="5"/>
                <c:pt idx="0">
                  <c:v>-29.5</c:v>
                </c:pt>
                <c:pt idx="1">
                  <c:v>-128.5</c:v>
                </c:pt>
                <c:pt idx="2">
                  <c:v>-128.5</c:v>
                </c:pt>
                <c:pt idx="3">
                  <c:v>-29.5</c:v>
                </c:pt>
                <c:pt idx="4">
                  <c:v>-29.5</c:v>
                </c:pt>
              </c:numCache>
            </c:numRef>
          </c:xVal>
          <c:yVal>
            <c:numRef>
              <c:f>Stabilito!$C$132:$C$136</c:f>
              <c:numCache>
                <c:formatCode>0</c:formatCode>
                <c:ptCount val="5"/>
                <c:pt idx="0">
                  <c:v>-892</c:v>
                </c:pt>
                <c:pt idx="1">
                  <c:v>-1001</c:v>
                </c:pt>
                <c:pt idx="2">
                  <c:v>-1060</c:v>
                </c:pt>
                <c:pt idx="3">
                  <c:v>-1001</c:v>
                </c:pt>
                <c:pt idx="4">
                  <c:v>-892</c:v>
                </c:pt>
              </c:numCache>
            </c:numRef>
          </c:yVal>
        </c:ser>
        <c:ser>
          <c:idx val="4"/>
          <c:order val="4"/>
          <c:tx>
            <c:strRef>
              <c:f>Stabilito!$B$12</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layout/>
              <c:spPr>
                <a:noFill/>
                <a:ln w="25400">
                  <a:noFill/>
                </a:ln>
              </c:spPr>
              <c:txPr>
                <a:bodyPr/>
                <a:lstStyle/>
                <a:p>
                  <a:pPr>
                    <a:defRPr sz="800" b="0" i="0" u="none" strike="noStrike" baseline="0">
                      <a:solidFill>
                        <a:srgbClr val="0000FF"/>
                      </a:solidFill>
                      <a:latin typeface="Arial"/>
                      <a:ea typeface="Arial"/>
                      <a:cs typeface="Arial"/>
                    </a:defRPr>
                  </a:pPr>
                  <a:endParaRPr lang="fr-FR"/>
                </a:p>
              </c:txPr>
              <c:showSerName val="1"/>
            </c:dLbl>
            <c:delete val="1"/>
          </c:dLbls>
          <c:xVal>
            <c:numRef>
              <c:f>Stabilito!$D$149:$D$150</c:f>
              <c:numCache>
                <c:formatCode>0</c:formatCode>
                <c:ptCount val="2"/>
                <c:pt idx="0">
                  <c:v>0</c:v>
                </c:pt>
                <c:pt idx="1">
                  <c:v>0</c:v>
                </c:pt>
              </c:numCache>
            </c:numRef>
          </c:xVal>
          <c:yVal>
            <c:numRef>
              <c:f>Stabilito!$C$149:$C$150</c:f>
              <c:numCache>
                <c:formatCode>0</c:formatCode>
                <c:ptCount val="2"/>
                <c:pt idx="0">
                  <c:v>-708.25379609544473</c:v>
                </c:pt>
                <c:pt idx="1">
                  <c:v>-690.07226107226109</c:v>
                </c:pt>
              </c:numCache>
            </c:numRef>
          </c:yVal>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layout/>
              <c:spPr>
                <a:noFill/>
                <a:ln w="25400">
                  <a:noFill/>
                </a:ln>
              </c:spPr>
              <c:txPr>
                <a:bodyPr/>
                <a:lstStyle/>
                <a:p>
                  <a:pPr>
                    <a:defRPr sz="800" b="0" i="0" u="none" strike="noStrike" baseline="0">
                      <a:solidFill>
                        <a:srgbClr val="800000"/>
                      </a:solidFill>
                      <a:latin typeface="Arial"/>
                      <a:ea typeface="Arial"/>
                      <a:cs typeface="Arial"/>
                    </a:defRPr>
                  </a:pPr>
                  <a:endParaRPr lang="fr-FR"/>
                </a:p>
              </c:txPr>
              <c:showSerName val="1"/>
            </c:dLbl>
            <c:delete val="1"/>
          </c:dLbls>
          <c:xVal>
            <c:numRef>
              <c:f>Stabilito!$D$151:$D$154</c:f>
              <c:numCache>
                <c:formatCode>0</c:formatCode>
                <c:ptCount val="4"/>
                <c:pt idx="0">
                  <c:v>0</c:v>
                </c:pt>
                <c:pt idx="1">
                  <c:v>84.556928841874111</c:v>
                </c:pt>
                <c:pt idx="2">
                  <c:v>84.556928841874111</c:v>
                </c:pt>
                <c:pt idx="3">
                  <c:v>0</c:v>
                </c:pt>
              </c:numCache>
            </c:numRef>
          </c:xVal>
          <c:yVal>
            <c:numRef>
              <c:f>Stabilito!$C$151:$C$154</c:f>
              <c:numCache>
                <c:formatCode>0</c:formatCode>
                <c:ptCount val="4"/>
                <c:pt idx="0">
                  <c:v>-881.7880098292294</c:v>
                </c:pt>
                <c:pt idx="1">
                  <c:v>-881.7880098292294</c:v>
                </c:pt>
                <c:pt idx="2">
                  <c:v>-881.7880098292294</c:v>
                </c:pt>
                <c:pt idx="3">
                  <c:v>-881.7880098292294</c:v>
                </c:pt>
              </c:numCache>
            </c:numRef>
          </c:yVal>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er>
        <c:ser>
          <c:idx val="10"/>
          <c:order val="10"/>
          <c:tx>
            <c:v>cadre</c:v>
          </c:tx>
          <c:spPr>
            <a:ln w="12700">
              <a:solidFill>
                <a:srgbClr val="FFFFFF"/>
              </a:solidFill>
              <a:prstDash val="solid"/>
            </a:ln>
          </c:spPr>
          <c:marker>
            <c:symbol val="none"/>
          </c:marker>
          <c:xVal>
            <c:numRef>
              <c:f>Stabilito!$D$168:$D$169</c:f>
              <c:numCache>
                <c:formatCode>0</c:formatCode>
                <c:ptCount val="2"/>
                <c:pt idx="0">
                  <c:v>333.66666666666669</c:v>
                </c:pt>
                <c:pt idx="1">
                  <c:v>-333.66666666666669</c:v>
                </c:pt>
              </c:numCache>
            </c:numRef>
          </c:xVal>
          <c:yVal>
            <c:numRef>
              <c:f>Stabilito!$C$168:$C$169</c:f>
              <c:numCache>
                <c:formatCode>0</c:formatCode>
                <c:ptCount val="2"/>
                <c:pt idx="0">
                  <c:v>-1070.5999999999999</c:v>
                </c:pt>
                <c:pt idx="1">
                  <c:v>-1070.5999999999999</c:v>
                </c:pt>
              </c:numCache>
            </c:numRef>
          </c:yVal>
        </c:ser>
        <c:ser>
          <c:idx val="11"/>
          <c:order val="11"/>
          <c:tx>
            <c:v>Propu</c:v>
          </c:tx>
          <c:spPr>
            <a:ln w="25400">
              <a:solidFill>
                <a:srgbClr val="FF00FF"/>
              </a:solidFill>
              <a:prstDash val="solid"/>
            </a:ln>
          </c:spPr>
          <c:marker>
            <c:symbol val="none"/>
          </c:marker>
          <c:xVal>
            <c:numRef>
              <c:f>Stabilito!$D$170:$D$174</c:f>
              <c:numCache>
                <c:formatCode>0</c:formatCode>
                <c:ptCount val="5"/>
                <c:pt idx="0">
                  <c:v>-14.5</c:v>
                </c:pt>
                <c:pt idx="1">
                  <c:v>14.5</c:v>
                </c:pt>
                <c:pt idx="2">
                  <c:v>14.5</c:v>
                </c:pt>
                <c:pt idx="3">
                  <c:v>-14.5</c:v>
                </c:pt>
                <c:pt idx="4">
                  <c:v>-14.5</c:v>
                </c:pt>
              </c:numCache>
            </c:numRef>
          </c:xVal>
          <c:yVal>
            <c:numRef>
              <c:f>Stabilito!$C$170:$C$174</c:f>
              <c:numCache>
                <c:formatCode>0</c:formatCode>
                <c:ptCount val="5"/>
                <c:pt idx="0">
                  <c:v>-903</c:v>
                </c:pt>
                <c:pt idx="1">
                  <c:v>-903</c:v>
                </c:pt>
                <c:pt idx="2">
                  <c:v>-1001</c:v>
                </c:pt>
                <c:pt idx="3">
                  <c:v>-1001</c:v>
                </c:pt>
                <c:pt idx="4">
                  <c:v>-903</c:v>
                </c:pt>
              </c:numCache>
            </c:numRef>
          </c:yVal>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5.9</c:v>
                </c:pt>
                <c:pt idx="2">
                  <c:v>14.75</c:v>
                </c:pt>
                <c:pt idx="3">
                  <c:v>22.125</c:v>
                </c:pt>
                <c:pt idx="4">
                  <c:v>26.55</c:v>
                </c:pt>
                <c:pt idx="5">
                  <c:v>29.5</c:v>
                </c:pt>
              </c:numCache>
            </c:numRef>
          </c:xVal>
          <c:yVal>
            <c:numRef>
              <c:f>Stabilito!$C$175:$C$180</c:f>
              <c:numCache>
                <c:formatCode>0</c:formatCode>
                <c:ptCount val="6"/>
                <c:pt idx="0">
                  <c:v>0</c:v>
                </c:pt>
                <c:pt idx="1">
                  <c:v>-19.900000000000002</c:v>
                </c:pt>
                <c:pt idx="2">
                  <c:v>-49.75</c:v>
                </c:pt>
                <c:pt idx="3">
                  <c:v>-99.5</c:v>
                </c:pt>
                <c:pt idx="4">
                  <c:v>-149.25</c:v>
                </c:pt>
                <c:pt idx="5">
                  <c:v>-199</c:v>
                </c:pt>
              </c:numCache>
            </c:numRef>
          </c:yVal>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-5.9</c:v>
                </c:pt>
                <c:pt idx="2">
                  <c:v>-14.75</c:v>
                </c:pt>
                <c:pt idx="3">
                  <c:v>-22.125</c:v>
                </c:pt>
                <c:pt idx="4">
                  <c:v>-26.55</c:v>
                </c:pt>
                <c:pt idx="5">
                  <c:v>-29.5</c:v>
                </c:pt>
              </c:numCache>
            </c:numRef>
          </c:xVal>
          <c:yVal>
            <c:numRef>
              <c:f>Stabilito!$C$175:$C$180</c:f>
              <c:numCache>
                <c:formatCode>0</c:formatCode>
                <c:ptCount val="6"/>
                <c:pt idx="0">
                  <c:v>0</c:v>
                </c:pt>
                <c:pt idx="1">
                  <c:v>-19.900000000000002</c:v>
                </c:pt>
                <c:pt idx="2">
                  <c:v>-49.75</c:v>
                </c:pt>
                <c:pt idx="3">
                  <c:v>-99.5</c:v>
                </c:pt>
                <c:pt idx="4">
                  <c:v>-149.25</c:v>
                </c:pt>
                <c:pt idx="5">
                  <c:v>-199</c:v>
                </c:pt>
              </c:numCache>
            </c:numRef>
          </c:yVal>
        </c:ser>
        <c:ser>
          <c:idx val="14"/>
          <c:order val="14"/>
          <c:tx>
            <c:strRef>
              <c:f>Stabilito!$B$137</c:f>
              <c:strCache>
                <c:ptCount val="1"/>
                <c:pt idx="0">
                  <c:v>Envergure</c:v>
                </c:pt>
              </c:strCache>
            </c:strRef>
          </c:tx>
          <c:spPr>
            <a:ln w="12700">
              <a:solidFill>
                <a:schemeClr val="tx1"/>
              </a:solidFill>
            </a:ln>
          </c:spPr>
          <c:marker>
            <c:symbol val="none"/>
          </c:marker>
          <c:dLbls>
            <c:dLbl>
              <c:idx val="1"/>
              <c:layout/>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SerName val="1"/>
            </c:dLbl>
            <c:delete val="1"/>
          </c:dLbls>
          <c:xVal>
            <c:numRef>
              <c:f>Stabilito!$D$137:$D$139</c:f>
              <c:numCache>
                <c:formatCode>0</c:formatCode>
                <c:ptCount val="3"/>
                <c:pt idx="0">
                  <c:v>-128.5</c:v>
                </c:pt>
                <c:pt idx="1">
                  <c:v>-79</c:v>
                </c:pt>
                <c:pt idx="2">
                  <c:v>-29.5</c:v>
                </c:pt>
              </c:numCache>
            </c:numRef>
          </c:xVal>
          <c:yVal>
            <c:numRef>
              <c:f>Stabilito!$C$137:$C$139</c:f>
              <c:numCache>
                <c:formatCode>0</c:formatCode>
                <c:ptCount val="3"/>
                <c:pt idx="0">
                  <c:v>-1093.3666666666666</c:v>
                </c:pt>
                <c:pt idx="1">
                  <c:v>-1093.3666666666666</c:v>
                </c:pt>
                <c:pt idx="2">
                  <c:v>-1093.3666666666666</c:v>
                </c:pt>
              </c:numCache>
            </c:numRef>
          </c:yVal>
        </c:ser>
        <c:ser>
          <c:idx val="15"/>
          <c:order val="15"/>
          <c:tx>
            <c:strRef>
              <c:f>Stabilito!$B$143</c:f>
              <c:strCache>
                <c:ptCount val="1"/>
                <c:pt idx="0">
                  <c:v>Flèche</c:v>
                </c:pt>
              </c:strCache>
            </c:strRef>
          </c:tx>
          <c:spPr>
            <a:ln w="12700">
              <a:solidFill>
                <a:schemeClr val="tx1"/>
              </a:solidFill>
            </a:ln>
          </c:spPr>
          <c:marker>
            <c:symbol val="none"/>
          </c:marker>
          <c:dLbls>
            <c:dLbl>
              <c:idx val="1"/>
              <c:layout/>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SerName val="1"/>
            </c:dLbl>
            <c:delete val="1"/>
          </c:dLbls>
          <c:xVal>
            <c:numRef>
              <c:f>Stabilito!$D$143:$D$145</c:f>
              <c:numCache>
                <c:formatCode>0</c:formatCode>
                <c:ptCount val="3"/>
                <c:pt idx="0">
                  <c:v>-161.86666666666667</c:v>
                </c:pt>
                <c:pt idx="1">
                  <c:v>-161.86666666666667</c:v>
                </c:pt>
                <c:pt idx="2">
                  <c:v>-161.86666666666667</c:v>
                </c:pt>
              </c:numCache>
            </c:numRef>
          </c:xVal>
          <c:yVal>
            <c:numRef>
              <c:f>Stabilito!$C$143:$C$145</c:f>
              <c:numCache>
                <c:formatCode>0</c:formatCode>
                <c:ptCount val="3"/>
                <c:pt idx="0">
                  <c:v>-892</c:v>
                </c:pt>
                <c:pt idx="1">
                  <c:v>-946.5</c:v>
                </c:pt>
                <c:pt idx="2">
                  <c:v>-1001</c:v>
                </c:pt>
              </c:numCache>
            </c:numRef>
          </c:yVal>
        </c:ser>
        <c:ser>
          <c:idx val="16"/>
          <c:order val="16"/>
          <c:tx>
            <c:strRef>
              <c:f>Stabilito!$B$146</c:f>
              <c:strCache>
                <c:ptCount val="1"/>
                <c:pt idx="0">
                  <c:v>Saumon</c:v>
                </c:pt>
              </c:strCache>
            </c:strRef>
          </c:tx>
          <c:spPr>
            <a:ln w="12700">
              <a:solidFill>
                <a:schemeClr val="tx1"/>
              </a:solidFill>
            </a:ln>
          </c:spPr>
          <c:marker>
            <c:symbol val="none"/>
          </c:marker>
          <c:dLbls>
            <c:dLbl>
              <c:idx val="1"/>
              <c:layout/>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SerName val="1"/>
            </c:dLbl>
            <c:delete val="1"/>
          </c:dLbls>
          <c:xVal>
            <c:numRef>
              <c:f>Stabilito!$D$146:$D$148</c:f>
              <c:numCache>
                <c:formatCode>0</c:formatCode>
                <c:ptCount val="3"/>
                <c:pt idx="0">
                  <c:v>-178.55</c:v>
                </c:pt>
                <c:pt idx="1">
                  <c:v>-178.55</c:v>
                </c:pt>
                <c:pt idx="2">
                  <c:v>-178.55</c:v>
                </c:pt>
              </c:numCache>
            </c:numRef>
          </c:xVal>
          <c:yVal>
            <c:numRef>
              <c:f>Stabilito!$C$146:$C$148</c:f>
              <c:numCache>
                <c:formatCode>0</c:formatCode>
                <c:ptCount val="3"/>
                <c:pt idx="0">
                  <c:v>-1001</c:v>
                </c:pt>
                <c:pt idx="1">
                  <c:v>-1030.5</c:v>
                </c:pt>
                <c:pt idx="2">
                  <c:v>-1060</c:v>
                </c:pt>
              </c:numCache>
            </c:numRef>
          </c:yVal>
        </c:ser>
        <c:ser>
          <c:idx val="17"/>
          <c:order val="17"/>
          <c:tx>
            <c:strRef>
              <c:f>Stabilito!$B$140</c:f>
              <c:strCache>
                <c:ptCount val="1"/>
                <c:pt idx="0">
                  <c:v>Emplanture</c:v>
                </c:pt>
              </c:strCache>
            </c:strRef>
          </c:tx>
          <c:spPr>
            <a:ln w="12700">
              <a:solidFill>
                <a:schemeClr val="tx1"/>
              </a:solidFill>
            </a:ln>
          </c:spPr>
          <c:marker>
            <c:symbol val="none"/>
          </c:marker>
          <c:dLbls>
            <c:dLbl>
              <c:idx val="1"/>
              <c:layout/>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SerName val="1"/>
            </c:dLbl>
            <c:delete val="1"/>
          </c:dLbls>
          <c:xVal>
            <c:numRef>
              <c:f>Stabilito!$D$140:$D$142</c:f>
              <c:numCache>
                <c:formatCode>0</c:formatCode>
                <c:ptCount val="3"/>
                <c:pt idx="0">
                  <c:v>178.55</c:v>
                </c:pt>
                <c:pt idx="1">
                  <c:v>178.55</c:v>
                </c:pt>
                <c:pt idx="2">
                  <c:v>178.55</c:v>
                </c:pt>
              </c:numCache>
            </c:numRef>
          </c:xVal>
          <c:yVal>
            <c:numRef>
              <c:f>Stabilito!$C$140:$C$142</c:f>
              <c:numCache>
                <c:formatCode>0</c:formatCode>
                <c:ptCount val="3"/>
                <c:pt idx="0">
                  <c:v>-892</c:v>
                </c:pt>
                <c:pt idx="1">
                  <c:v>-946.5</c:v>
                </c:pt>
                <c:pt idx="2">
                  <c:v>-1001</c:v>
                </c:pt>
              </c:numCache>
            </c:numRef>
          </c:yVal>
        </c:ser>
        <c:ser>
          <c:idx val="18"/>
          <c:order val="18"/>
          <c:tx>
            <c:strRef>
              <c:f>Stabilito!$B$155</c:f>
              <c:strCache>
                <c:ptCount val="1"/>
                <c:pt idx="0">
                  <c:v>Marge Statique</c:v>
                </c:pt>
              </c:strCache>
            </c:strRef>
          </c:tx>
          <c:spPr>
            <a:ln w="12700">
              <a:solidFill>
                <a:schemeClr val="tx1"/>
              </a:solidFill>
            </a:ln>
          </c:spPr>
          <c:marker>
            <c:symbol val="none"/>
          </c:marker>
          <c:dLbls>
            <c:dLbl>
              <c:idx val="1"/>
              <c:layout/>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SerName val="1"/>
            </c:dLbl>
            <c:delete val="1"/>
          </c:dLbls>
          <c:xVal>
            <c:numRef>
              <c:f>Stabilito!$D$155:$D$157</c:f>
              <c:numCache>
                <c:formatCode>0</c:formatCode>
                <c:ptCount val="3"/>
                <c:pt idx="0">
                  <c:v>-178.55</c:v>
                </c:pt>
                <c:pt idx="1">
                  <c:v>-178.55</c:v>
                </c:pt>
                <c:pt idx="2">
                  <c:v>-178.55</c:v>
                </c:pt>
              </c:numCache>
            </c:numRef>
          </c:xVal>
          <c:yVal>
            <c:numRef>
              <c:f>Stabilito!$C$155:$C$157</c:f>
              <c:numCache>
                <c:formatCode>0</c:formatCode>
                <c:ptCount val="3"/>
                <c:pt idx="0">
                  <c:v>-699.16302858385291</c:v>
                </c:pt>
                <c:pt idx="1">
                  <c:v>-790.47551920654109</c:v>
                </c:pt>
                <c:pt idx="2">
                  <c:v>-881.7880098292294</c:v>
                </c:pt>
              </c:numCache>
            </c:numRef>
          </c:yVal>
        </c:ser>
        <c:axId val="148707200"/>
        <c:axId val="148708736"/>
      </c:scatterChart>
      <c:valAx>
        <c:axId val="148707200"/>
        <c:scaling>
          <c:orientation val="minMax"/>
        </c:scaling>
        <c:axPos val="t"/>
        <c:numFmt formatCode="0" sourceLinked="1"/>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axPos val="r"/>
        <c:numFmt formatCode="0" sourceLinked="1"/>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fr-FR"/>
  <c:chart>
    <c:title>
      <c:tx>
        <c:strRef>
          <c:f>Abaco!$B$75</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plotArea>
      <c:layout>
        <c:manualLayout>
          <c:layoutTarget val="inner"/>
          <c:xMode val="edge"/>
          <c:yMode val="edge"/>
          <c:x val="0.13612729658792738"/>
          <c:y val="5.1400554097404488E-2"/>
          <c:w val="0.81367125984251965"/>
          <c:h val="0.8326195683872849"/>
        </c:manualLayout>
      </c:layout>
      <c:scatterChart>
        <c:scatterStyle val="lineMarker"/>
        <c:ser>
          <c:idx val="0"/>
          <c:order val="0"/>
          <c:tx>
            <c:strRef>
              <c:f>Abaco!$B$41</c:f>
              <c:strCache>
                <c:ptCount val="1"/>
                <c:pt idx="0">
                  <c:v>Ø = 30 mm</c:v>
                </c:pt>
              </c:strCache>
            </c:strRef>
          </c:tx>
          <c:xVal>
            <c:numRef>
              <c:f>Abaco!$D$41:$D$49</c:f>
              <c:numCache>
                <c:formatCode>General\ "kg"</c:formatCode>
                <c:ptCount val="9"/>
                <c:pt idx="0">
                  <c:v>0.10199999999999999</c:v>
                </c:pt>
                <c:pt idx="1">
                  <c:v>0.19174999999999998</c:v>
                </c:pt>
                <c:pt idx="2">
                  <c:v>0.28149999999999997</c:v>
                </c:pt>
                <c:pt idx="3">
                  <c:v>0.37124999999999997</c:v>
                </c:pt>
                <c:pt idx="4">
                  <c:v>0.46099999999999997</c:v>
                </c:pt>
                <c:pt idx="5">
                  <c:v>0.55074999999999996</c:v>
                </c:pt>
                <c:pt idx="6">
                  <c:v>0.64049999999999996</c:v>
                </c:pt>
                <c:pt idx="7">
                  <c:v>0.73024999999999995</c:v>
                </c:pt>
                <c:pt idx="8">
                  <c:v>0.82</c:v>
                </c:pt>
              </c:numCache>
            </c:numRef>
          </c:xVal>
          <c:yVal>
            <c:numRef>
              <c:f>Abaco!$K$41:$K$49</c:f>
              <c:numCache>
                <c:formatCode>General" m/s"</c:formatCode>
                <c:ptCount val="9"/>
                <c:pt idx="0">
                  <c:v>337.65528155209739</c:v>
                </c:pt>
                <c:pt idx="1">
                  <c:v>242.15425259232137</c:v>
                </c:pt>
                <c:pt idx="2">
                  <c:v>172.85149647468984</c:v>
                </c:pt>
                <c:pt idx="3">
                  <c:v>129.94787482397325</c:v>
                </c:pt>
                <c:pt idx="4">
                  <c:v>101.95557543393099</c:v>
                </c:pt>
                <c:pt idx="5">
                  <c:v>82.525920665382955</c:v>
                </c:pt>
                <c:pt idx="6">
                  <c:v>68.337994917578584</c:v>
                </c:pt>
                <c:pt idx="7">
                  <c:v>57.556101402106165</c:v>
                </c:pt>
                <c:pt idx="8">
                  <c:v>49.099862169462455</c:v>
                </c:pt>
              </c:numCache>
            </c:numRef>
          </c:yVal>
        </c:ser>
        <c:ser>
          <c:idx val="1"/>
          <c:order val="1"/>
          <c:tx>
            <c:strRef>
              <c:f>Abaco!$B$50</c:f>
              <c:strCache>
                <c:ptCount val="1"/>
                <c:pt idx="0">
                  <c:v>Ø = 59 mm</c:v>
                </c:pt>
              </c:strCache>
            </c:strRef>
          </c:tx>
          <c:xVal>
            <c:numRef>
              <c:f>Abaco!$D$50:$D$58</c:f>
              <c:numCache>
                <c:formatCode>General\ "kg"</c:formatCode>
                <c:ptCount val="9"/>
                <c:pt idx="0">
                  <c:v>0.10199999999999999</c:v>
                </c:pt>
                <c:pt idx="1">
                  <c:v>0.19174999999999998</c:v>
                </c:pt>
                <c:pt idx="2">
                  <c:v>0.28149999999999997</c:v>
                </c:pt>
                <c:pt idx="3">
                  <c:v>0.37124999999999997</c:v>
                </c:pt>
                <c:pt idx="4">
                  <c:v>0.46099999999999997</c:v>
                </c:pt>
                <c:pt idx="5">
                  <c:v>0.55074999999999996</c:v>
                </c:pt>
                <c:pt idx="6">
                  <c:v>0.64049999999999996</c:v>
                </c:pt>
                <c:pt idx="7">
                  <c:v>0.73024999999999995</c:v>
                </c:pt>
                <c:pt idx="8">
                  <c:v>0.82</c:v>
                </c:pt>
              </c:numCache>
            </c:numRef>
          </c:xVal>
          <c:yVal>
            <c:numRef>
              <c:f>Abaco!$K$50:$K$58</c:f>
              <c:numCache>
                <c:formatCode>General" m/s"</c:formatCode>
                <c:ptCount val="9"/>
                <c:pt idx="0">
                  <c:v>179.0814659680735</c:v>
                </c:pt>
                <c:pt idx="1">
                  <c:v>164.64044447706567</c:v>
                </c:pt>
                <c:pt idx="2">
                  <c:v>138.4728059484018</c:v>
                </c:pt>
                <c:pt idx="3">
                  <c:v>113.45184079280732</c:v>
                </c:pt>
                <c:pt idx="4">
                  <c:v>93.291635393409635</c:v>
                </c:pt>
                <c:pt idx="5">
                  <c:v>77.61873002011852</c:v>
                </c:pt>
                <c:pt idx="6">
                  <c:v>65.388101407841958</c:v>
                </c:pt>
                <c:pt idx="7">
                  <c:v>55.698202028808609</c:v>
                </c:pt>
                <c:pt idx="8">
                  <c:v>47.886019392243561</c:v>
                </c:pt>
              </c:numCache>
            </c:numRef>
          </c:yVal>
        </c:ser>
        <c:ser>
          <c:idx val="2"/>
          <c:order val="2"/>
          <c:tx>
            <c:strRef>
              <c:f>Abaco!$B$59</c:f>
              <c:strCache>
                <c:ptCount val="1"/>
                <c:pt idx="0">
                  <c:v>Ø = 89 mm</c:v>
                </c:pt>
              </c:strCache>
            </c:strRef>
          </c:tx>
          <c:xVal>
            <c:numRef>
              <c:f>Abaco!$D$59:$D$67</c:f>
              <c:numCache>
                <c:formatCode>General\ "kg"</c:formatCode>
                <c:ptCount val="9"/>
                <c:pt idx="0">
                  <c:v>0.10199999999999999</c:v>
                </c:pt>
                <c:pt idx="1">
                  <c:v>0.19174999999999998</c:v>
                </c:pt>
                <c:pt idx="2">
                  <c:v>0.28149999999999997</c:v>
                </c:pt>
                <c:pt idx="3">
                  <c:v>0.37124999999999997</c:v>
                </c:pt>
                <c:pt idx="4">
                  <c:v>0.46099999999999997</c:v>
                </c:pt>
                <c:pt idx="5">
                  <c:v>0.55074999999999996</c:v>
                </c:pt>
                <c:pt idx="6">
                  <c:v>0.64049999999999996</c:v>
                </c:pt>
                <c:pt idx="7">
                  <c:v>0.73024999999999995</c:v>
                </c:pt>
                <c:pt idx="8">
                  <c:v>0.82</c:v>
                </c:pt>
              </c:numCache>
            </c:numRef>
          </c:xVal>
          <c:yVal>
            <c:numRef>
              <c:f>Abaco!$K$59:$K$67</c:f>
              <c:numCache>
                <c:formatCode>General" m/s"</c:formatCode>
                <c:ptCount val="9"/>
                <c:pt idx="0">
                  <c:v>119.60173573879825</c:v>
                </c:pt>
                <c:pt idx="1">
                  <c:v>116.13105604600871</c:v>
                </c:pt>
                <c:pt idx="2">
                  <c:v>107.26441302945213</c:v>
                </c:pt>
                <c:pt idx="3">
                  <c:v>94.865426204734206</c:v>
                </c:pt>
                <c:pt idx="4">
                  <c:v>82.207947376201005</c:v>
                </c:pt>
                <c:pt idx="5">
                  <c:v>70.830906540366499</c:v>
                </c:pt>
                <c:pt idx="6">
                  <c:v>61.096765365157836</c:v>
                </c:pt>
                <c:pt idx="7">
                  <c:v>52.902159678307548</c:v>
                </c:pt>
                <c:pt idx="8">
                  <c:v>46.015453113749984</c:v>
                </c:pt>
              </c:numCache>
            </c:numRef>
          </c:yVal>
        </c:ser>
        <c:axId val="193467904"/>
        <c:axId val="193469824"/>
      </c:scatterChart>
      <c:valAx>
        <c:axId val="193467904"/>
        <c:scaling>
          <c:orientation val="minMax"/>
        </c:scaling>
        <c:axPos val="b"/>
        <c:majorGridlines/>
        <c:title>
          <c:tx>
            <c:strRef>
              <c:f>Abaco!$B$73</c:f>
              <c:strCache>
                <c:ptCount val="1"/>
                <c:pt idx="0">
                  <c:v>Masse totale</c:v>
                </c:pt>
              </c:strCache>
            </c:strRef>
          </c:tx>
          <c:layout>
            <c:manualLayout>
              <c:xMode val="edge"/>
              <c:yMode val="edge"/>
              <c:x val="0.25133792650918629"/>
              <c:y val="0.80923605680929611"/>
            </c:manualLayout>
          </c:layout>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axPos val="l"/>
        <c:majorGridlines/>
        <c:title>
          <c:tx>
            <c:strRef>
              <c:f>Abaco!$B$74</c:f>
              <c:strCache>
                <c:ptCount val="1"/>
                <c:pt idx="0">
                  <c:v>Vitesse max</c:v>
                </c:pt>
              </c:strCache>
            </c:strRef>
          </c:tx>
          <c:layout>
            <c:manualLayout>
              <c:xMode val="edge"/>
              <c:yMode val="edge"/>
              <c:x val="0.14166666666666666"/>
              <c:y val="5.803422378207343E-2"/>
            </c:manualLayout>
          </c:layout>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fr-FR"/>
  <c:chart>
    <c:title>
      <c:tx>
        <c:strRef>
          <c:f>Abaco!$B$77</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plotArea>
      <c:layout>
        <c:manualLayout>
          <c:layoutTarget val="inner"/>
          <c:xMode val="edge"/>
          <c:yMode val="edge"/>
          <c:x val="0.13612729658792738"/>
          <c:y val="5.1400554097404488E-2"/>
          <c:w val="0.81367125984251965"/>
          <c:h val="0.8326195683872849"/>
        </c:manualLayout>
      </c:layout>
      <c:scatterChart>
        <c:scatterStyle val="lineMarker"/>
        <c:ser>
          <c:idx val="0"/>
          <c:order val="0"/>
          <c:tx>
            <c:strRef>
              <c:f>Abaco!$B$41</c:f>
              <c:strCache>
                <c:ptCount val="1"/>
                <c:pt idx="0">
                  <c:v>Ø = 30 mm</c:v>
                </c:pt>
              </c:strCache>
            </c:strRef>
          </c:tx>
          <c:xVal>
            <c:numRef>
              <c:f>Abaco!$D$41:$D$49</c:f>
              <c:numCache>
                <c:formatCode>General\ "kg"</c:formatCode>
                <c:ptCount val="9"/>
                <c:pt idx="0">
                  <c:v>0.10199999999999999</c:v>
                </c:pt>
                <c:pt idx="1">
                  <c:v>0.19174999999999998</c:v>
                </c:pt>
                <c:pt idx="2">
                  <c:v>0.28149999999999997</c:v>
                </c:pt>
                <c:pt idx="3">
                  <c:v>0.37124999999999997</c:v>
                </c:pt>
                <c:pt idx="4">
                  <c:v>0.46099999999999997</c:v>
                </c:pt>
                <c:pt idx="5">
                  <c:v>0.55074999999999996</c:v>
                </c:pt>
                <c:pt idx="6">
                  <c:v>0.64049999999999996</c:v>
                </c:pt>
                <c:pt idx="7">
                  <c:v>0.73024999999999995</c:v>
                </c:pt>
                <c:pt idx="8">
                  <c:v>0.82</c:v>
                </c:pt>
              </c:numCache>
            </c:numRef>
          </c:xVal>
          <c:yVal>
            <c:numRef>
              <c:f>Abaco!$L$41:$L$49</c:f>
              <c:numCache>
                <c:formatCode>General" m"</c:formatCode>
                <c:ptCount val="9"/>
                <c:pt idx="0">
                  <c:v>1043.212408565345</c:v>
                </c:pt>
                <c:pt idx="1">
                  <c:v>1098.4343001821589</c:v>
                </c:pt>
                <c:pt idx="2">
                  <c:v>936.92408161598678</c:v>
                </c:pt>
                <c:pt idx="3">
                  <c:v>719.80649794416115</c:v>
                </c:pt>
                <c:pt idx="4">
                  <c:v>530.6666645057071</c:v>
                </c:pt>
                <c:pt idx="5">
                  <c:v>389.44314733177288</c:v>
                </c:pt>
                <c:pt idx="6">
                  <c:v>289.29658013711582</c:v>
                </c:pt>
                <c:pt idx="7">
                  <c:v>218.7145892559534</c:v>
                </c:pt>
                <c:pt idx="8">
                  <c:v>168.34006704196247</c:v>
                </c:pt>
              </c:numCache>
            </c:numRef>
          </c:yVal>
        </c:ser>
        <c:ser>
          <c:idx val="1"/>
          <c:order val="1"/>
          <c:tx>
            <c:strRef>
              <c:f>Abaco!$B$50</c:f>
              <c:strCache>
                <c:ptCount val="1"/>
                <c:pt idx="0">
                  <c:v>Ø = 59 mm</c:v>
                </c:pt>
              </c:strCache>
            </c:strRef>
          </c:tx>
          <c:xVal>
            <c:numRef>
              <c:f>Abaco!$D$50:$D$58</c:f>
              <c:numCache>
                <c:formatCode>General\ "kg"</c:formatCode>
                <c:ptCount val="9"/>
                <c:pt idx="0">
                  <c:v>0.10199999999999999</c:v>
                </c:pt>
                <c:pt idx="1">
                  <c:v>0.19174999999999998</c:v>
                </c:pt>
                <c:pt idx="2">
                  <c:v>0.28149999999999997</c:v>
                </c:pt>
                <c:pt idx="3">
                  <c:v>0.37124999999999997</c:v>
                </c:pt>
                <c:pt idx="4">
                  <c:v>0.46099999999999997</c:v>
                </c:pt>
                <c:pt idx="5">
                  <c:v>0.55074999999999996</c:v>
                </c:pt>
                <c:pt idx="6">
                  <c:v>0.64049999999999996</c:v>
                </c:pt>
                <c:pt idx="7">
                  <c:v>0.73024999999999995</c:v>
                </c:pt>
                <c:pt idx="8">
                  <c:v>0.82</c:v>
                </c:pt>
              </c:numCache>
            </c:numRef>
          </c:xVal>
          <c:yVal>
            <c:numRef>
              <c:f>Abaco!$L$50:$L$58</c:f>
              <c:numCache>
                <c:formatCode>General" m"</c:formatCode>
                <c:ptCount val="9"/>
                <c:pt idx="0">
                  <c:v>442.03433137652576</c:v>
                </c:pt>
                <c:pt idx="1">
                  <c:v>475.93045162833494</c:v>
                </c:pt>
                <c:pt idx="2">
                  <c:v>462.19630619581812</c:v>
                </c:pt>
                <c:pt idx="3">
                  <c:v>416.83513090784777</c:v>
                </c:pt>
                <c:pt idx="4">
                  <c:v>356.4347970447879</c:v>
                </c:pt>
                <c:pt idx="5">
                  <c:v>294.22892193070561</c:v>
                </c:pt>
                <c:pt idx="6">
                  <c:v>238.06618941397949</c:v>
                </c:pt>
                <c:pt idx="7">
                  <c:v>190.99180575545927</c:v>
                </c:pt>
                <c:pt idx="8">
                  <c:v>153.08220976381062</c:v>
                </c:pt>
              </c:numCache>
            </c:numRef>
          </c:yVal>
        </c:ser>
        <c:ser>
          <c:idx val="2"/>
          <c:order val="2"/>
          <c:tx>
            <c:strRef>
              <c:f>Abaco!$B$59</c:f>
              <c:strCache>
                <c:ptCount val="1"/>
                <c:pt idx="0">
                  <c:v>Ø = 89 mm</c:v>
                </c:pt>
              </c:strCache>
            </c:strRef>
          </c:tx>
          <c:xVal>
            <c:numRef>
              <c:f>Abaco!$D$59:$D$67</c:f>
              <c:numCache>
                <c:formatCode>General\ "kg"</c:formatCode>
                <c:ptCount val="9"/>
                <c:pt idx="0">
                  <c:v>0.10199999999999999</c:v>
                </c:pt>
                <c:pt idx="1">
                  <c:v>0.19174999999999998</c:v>
                </c:pt>
                <c:pt idx="2">
                  <c:v>0.28149999999999997</c:v>
                </c:pt>
                <c:pt idx="3">
                  <c:v>0.37124999999999997</c:v>
                </c:pt>
                <c:pt idx="4">
                  <c:v>0.46099999999999997</c:v>
                </c:pt>
                <c:pt idx="5">
                  <c:v>0.55074999999999996</c:v>
                </c:pt>
                <c:pt idx="6">
                  <c:v>0.64049999999999996</c:v>
                </c:pt>
                <c:pt idx="7">
                  <c:v>0.73024999999999995</c:v>
                </c:pt>
                <c:pt idx="8">
                  <c:v>0.82</c:v>
                </c:pt>
              </c:numCache>
            </c:numRef>
          </c:xVal>
          <c:yVal>
            <c:numRef>
              <c:f>Abaco!$L$59:$L$67</c:f>
              <c:numCache>
                <c:formatCode>General" m"</c:formatCode>
                <c:ptCount val="9"/>
                <c:pt idx="0">
                  <c:v>276.22271217044045</c:v>
                </c:pt>
                <c:pt idx="1">
                  <c:v>291.86376571105603</c:v>
                </c:pt>
                <c:pt idx="2">
                  <c:v>290.29294073300548</c:v>
                </c:pt>
                <c:pt idx="3">
                  <c:v>275.44233646022178</c:v>
                </c:pt>
                <c:pt idx="4">
                  <c:v>251.15030053575441</c:v>
                </c:pt>
                <c:pt idx="5">
                  <c:v>221.65161772604597</c:v>
                </c:pt>
                <c:pt idx="6">
                  <c:v>190.74939471758697</c:v>
                </c:pt>
                <c:pt idx="7">
                  <c:v>161.23708308838005</c:v>
                </c:pt>
                <c:pt idx="8">
                  <c:v>134.73830312251422</c:v>
                </c:pt>
              </c:numCache>
            </c:numRef>
          </c:yVal>
        </c:ser>
        <c:axId val="193512576"/>
        <c:axId val="193514496"/>
      </c:scatterChart>
      <c:valAx>
        <c:axId val="193512576"/>
        <c:scaling>
          <c:orientation val="minMax"/>
        </c:scaling>
        <c:axPos val="b"/>
        <c:majorGridlines/>
        <c:title>
          <c:tx>
            <c:strRef>
              <c:f>Abaco!$B$73</c:f>
              <c:strCache>
                <c:ptCount val="1"/>
                <c:pt idx="0">
                  <c:v>Masse totale</c:v>
                </c:pt>
              </c:strCache>
            </c:strRef>
          </c:tx>
          <c:layout>
            <c:manualLayout>
              <c:xMode val="edge"/>
              <c:yMode val="edge"/>
              <c:x val="0.25133792650918629"/>
              <c:y val="0.80923599762293852"/>
            </c:manualLayout>
          </c:layout>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axPos val="l"/>
        <c:majorGridlines/>
        <c:title>
          <c:tx>
            <c:strRef>
              <c:f>Abaco!$B$76</c:f>
              <c:strCache>
                <c:ptCount val="1"/>
                <c:pt idx="0">
                  <c:v>Altitude max</c:v>
                </c:pt>
              </c:strCache>
            </c:strRef>
          </c:tx>
          <c:layout>
            <c:manualLayout>
              <c:xMode val="edge"/>
              <c:yMode val="edge"/>
              <c:x val="0.14166666666666666"/>
              <c:y val="5.8034467389689502E-2"/>
            </c:manualLayout>
          </c:layout>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fr-FR"/>
  <c:chart>
    <c:title>
      <c:tx>
        <c:strRef>
          <c:f>Abaco!$B$79</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plotArea>
      <c:layout>
        <c:manualLayout>
          <c:layoutTarget val="inner"/>
          <c:xMode val="edge"/>
          <c:yMode val="edge"/>
          <c:x val="0.13612729658792738"/>
          <c:y val="5.1400554097404488E-2"/>
          <c:w val="0.81367125984251965"/>
          <c:h val="0.8326195683872849"/>
        </c:manualLayout>
      </c:layout>
      <c:scatterChart>
        <c:scatterStyle val="lineMarker"/>
        <c:ser>
          <c:idx val="0"/>
          <c:order val="0"/>
          <c:tx>
            <c:strRef>
              <c:f>Abaco!$B$41</c:f>
              <c:strCache>
                <c:ptCount val="1"/>
                <c:pt idx="0">
                  <c:v>Ø = 30 mm</c:v>
                </c:pt>
              </c:strCache>
            </c:strRef>
          </c:tx>
          <c:xVal>
            <c:numRef>
              <c:f>Abaco!$D$41:$D$49</c:f>
              <c:numCache>
                <c:formatCode>General\ "kg"</c:formatCode>
                <c:ptCount val="9"/>
                <c:pt idx="0">
                  <c:v>0.10199999999999999</c:v>
                </c:pt>
                <c:pt idx="1">
                  <c:v>0.19174999999999998</c:v>
                </c:pt>
                <c:pt idx="2">
                  <c:v>0.28149999999999997</c:v>
                </c:pt>
                <c:pt idx="3">
                  <c:v>0.37124999999999997</c:v>
                </c:pt>
                <c:pt idx="4">
                  <c:v>0.46099999999999997</c:v>
                </c:pt>
                <c:pt idx="5">
                  <c:v>0.55074999999999996</c:v>
                </c:pt>
                <c:pt idx="6">
                  <c:v>0.64049999999999996</c:v>
                </c:pt>
                <c:pt idx="7">
                  <c:v>0.73024999999999995</c:v>
                </c:pt>
                <c:pt idx="8">
                  <c:v>0.82</c:v>
                </c:pt>
              </c:numCache>
            </c:numRef>
          </c:xVal>
          <c:yVal>
            <c:numRef>
              <c:f>Abaco!$M$41:$M$49</c:f>
              <c:numCache>
                <c:formatCode>General" s"</c:formatCode>
                <c:ptCount val="9"/>
                <c:pt idx="0">
                  <c:v>10.190198136626632</c:v>
                </c:pt>
                <c:pt idx="1">
                  <c:v>12.827871249539157</c:v>
                </c:pt>
                <c:pt idx="2">
                  <c:v>13.152647485936452</c:v>
                </c:pt>
                <c:pt idx="3">
                  <c:v>12.288618784969398</c:v>
                </c:pt>
                <c:pt idx="4">
                  <c:v>11.010505738898038</c:v>
                </c:pt>
                <c:pt idx="5">
                  <c:v>9.7371980460971539</c:v>
                </c:pt>
                <c:pt idx="6">
                  <c:v>8.6193828500745973</c:v>
                </c:pt>
                <c:pt idx="7">
                  <c:v>7.6803266828449939</c:v>
                </c:pt>
                <c:pt idx="8">
                  <c:v>6.9002497971227061</c:v>
                </c:pt>
              </c:numCache>
            </c:numRef>
          </c:yVal>
        </c:ser>
        <c:ser>
          <c:idx val="1"/>
          <c:order val="1"/>
          <c:tx>
            <c:strRef>
              <c:f>Abaco!$B$50</c:f>
              <c:strCache>
                <c:ptCount val="1"/>
                <c:pt idx="0">
                  <c:v>Ø = 59 mm</c:v>
                </c:pt>
              </c:strCache>
            </c:strRef>
          </c:tx>
          <c:xVal>
            <c:numRef>
              <c:f>Abaco!$D$50:$D$58</c:f>
              <c:numCache>
                <c:formatCode>General\ "kg"</c:formatCode>
                <c:ptCount val="9"/>
                <c:pt idx="0">
                  <c:v>0.10199999999999999</c:v>
                </c:pt>
                <c:pt idx="1">
                  <c:v>0.19174999999999998</c:v>
                </c:pt>
                <c:pt idx="2">
                  <c:v>0.28149999999999997</c:v>
                </c:pt>
                <c:pt idx="3">
                  <c:v>0.37124999999999997</c:v>
                </c:pt>
                <c:pt idx="4">
                  <c:v>0.46099999999999997</c:v>
                </c:pt>
                <c:pt idx="5">
                  <c:v>0.55074999999999996</c:v>
                </c:pt>
                <c:pt idx="6">
                  <c:v>0.64049999999999996</c:v>
                </c:pt>
                <c:pt idx="7">
                  <c:v>0.73024999999999995</c:v>
                </c:pt>
                <c:pt idx="8">
                  <c:v>0.82</c:v>
                </c:pt>
              </c:numCache>
            </c:numRef>
          </c:xVal>
          <c:yVal>
            <c:numRef>
              <c:f>Abaco!$M$50:$M$58</c:f>
              <c:numCache>
                <c:formatCode>General" s"</c:formatCode>
                <c:ptCount val="9"/>
                <c:pt idx="0">
                  <c:v>6.1227037431729601</c:v>
                </c:pt>
                <c:pt idx="1">
                  <c:v>7.7941597856907148</c:v>
                </c:pt>
                <c:pt idx="2">
                  <c:v>8.6057244302838498</c:v>
                </c:pt>
                <c:pt idx="3">
                  <c:v>8.8353481452633691</c:v>
                </c:pt>
                <c:pt idx="4">
                  <c:v>8.6557736334035251</c:v>
                </c:pt>
                <c:pt idx="5">
                  <c:v>8.2241563508066324</c:v>
                </c:pt>
                <c:pt idx="6">
                  <c:v>7.671606209735117</c:v>
                </c:pt>
                <c:pt idx="7">
                  <c:v>7.089062411057899</c:v>
                </c:pt>
                <c:pt idx="8">
                  <c:v>6.5284824154459686</c:v>
                </c:pt>
              </c:numCache>
            </c:numRef>
          </c:yVal>
        </c:ser>
        <c:ser>
          <c:idx val="2"/>
          <c:order val="2"/>
          <c:tx>
            <c:strRef>
              <c:f>Abaco!$B$59</c:f>
              <c:strCache>
                <c:ptCount val="1"/>
                <c:pt idx="0">
                  <c:v>Ø = 89 mm</c:v>
                </c:pt>
              </c:strCache>
            </c:strRef>
          </c:tx>
          <c:xVal>
            <c:numRef>
              <c:f>Abaco!$D$59:$D$67</c:f>
              <c:numCache>
                <c:formatCode>General\ "kg"</c:formatCode>
                <c:ptCount val="9"/>
                <c:pt idx="0">
                  <c:v>0.10199999999999999</c:v>
                </c:pt>
                <c:pt idx="1">
                  <c:v>0.19174999999999998</c:v>
                </c:pt>
                <c:pt idx="2">
                  <c:v>0.28149999999999997</c:v>
                </c:pt>
                <c:pt idx="3">
                  <c:v>0.37124999999999997</c:v>
                </c:pt>
                <c:pt idx="4">
                  <c:v>0.46099999999999997</c:v>
                </c:pt>
                <c:pt idx="5">
                  <c:v>0.55074999999999996</c:v>
                </c:pt>
                <c:pt idx="6">
                  <c:v>0.64049999999999996</c:v>
                </c:pt>
                <c:pt idx="7">
                  <c:v>0.73024999999999995</c:v>
                </c:pt>
                <c:pt idx="8">
                  <c:v>0.82</c:v>
                </c:pt>
              </c:numCache>
            </c:numRef>
          </c:xVal>
          <c:yVal>
            <c:numRef>
              <c:f>Abaco!$M$59:$M$67</c:f>
              <c:numCache>
                <c:formatCode>General" s"</c:formatCode>
                <c:ptCount val="9"/>
                <c:pt idx="0">
                  <c:v>4.7490124137637082</c:v>
                </c:pt>
                <c:pt idx="1">
                  <c:v>5.9025566714069821</c:v>
                </c:pt>
                <c:pt idx="2">
                  <c:v>6.5804324603275255</c:v>
                </c:pt>
                <c:pt idx="3">
                  <c:v>6.9431478421324044</c:v>
                </c:pt>
                <c:pt idx="4">
                  <c:v>7.0541263586304694</c:v>
                </c:pt>
                <c:pt idx="5">
                  <c:v>6.9683175493655476</c:v>
                </c:pt>
                <c:pt idx="6">
                  <c:v>6.7414937925618181</c:v>
                </c:pt>
                <c:pt idx="7">
                  <c:v>6.426538785480159</c:v>
                </c:pt>
                <c:pt idx="8">
                  <c:v>6.0676408456895965</c:v>
                </c:pt>
              </c:numCache>
            </c:numRef>
          </c:yVal>
        </c:ser>
        <c:axId val="195678976"/>
        <c:axId val="195680896"/>
      </c:scatterChart>
      <c:valAx>
        <c:axId val="195678976"/>
        <c:scaling>
          <c:orientation val="minMax"/>
        </c:scaling>
        <c:axPos val="b"/>
        <c:majorGridlines/>
        <c:title>
          <c:tx>
            <c:strRef>
              <c:f>Abaco!$B$73</c:f>
              <c:strCache>
                <c:ptCount val="1"/>
                <c:pt idx="0">
                  <c:v>Masse totale</c:v>
                </c:pt>
              </c:strCache>
            </c:strRef>
          </c:tx>
          <c:layout>
            <c:manualLayout>
              <c:xMode val="edge"/>
              <c:yMode val="edge"/>
              <c:x val="0.25133794251328334"/>
              <c:y val="0.80923599762293852"/>
            </c:manualLayout>
          </c:layout>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axPos val="l"/>
        <c:majorGridlines/>
        <c:title>
          <c:tx>
            <c:strRef>
              <c:f>Abaco!$B$78</c:f>
              <c:strCache>
                <c:ptCount val="1"/>
                <c:pt idx="0">
                  <c:v>Temps de culmination</c:v>
                </c:pt>
              </c:strCache>
            </c:strRef>
          </c:tx>
          <c:layout>
            <c:manualLayout>
              <c:xMode val="edge"/>
              <c:yMode val="edge"/>
              <c:x val="0.14166677336064695"/>
              <c:y val="5.8034467389689502E-2"/>
            </c:manualLayout>
          </c:layout>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strRef>
          <c:f>Stabilito!$B$117</c:f>
          <c:strCache>
            <c:ptCount val="1"/>
            <c:pt idx="0">
              <c:v>Diagramme des critères de stabilité</c:v>
            </c:pt>
          </c:strCache>
        </c:strRef>
      </c:tx>
      <c:layout>
        <c:manualLayout>
          <c:xMode val="edge"/>
          <c:yMode val="edge"/>
          <c:x val="0.19620910443519407"/>
          <c:y val="8.0214173228346466E-2"/>
        </c:manualLayout>
      </c:layout>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plotArea>
      <c:layout>
        <c:manualLayout>
          <c:layoutTarget val="inner"/>
          <c:xMode val="edge"/>
          <c:yMode val="edge"/>
          <c:x val="4.5092838196286504E-2"/>
          <c:y val="5.8823683008029475E-2"/>
          <c:w val="0.93899204244031864"/>
          <c:h val="0.82887916965859743"/>
        </c:manualLayout>
      </c:layout>
      <c:scatterChart>
        <c:scatterStyle val="smoothMarker"/>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ser>
        <c:ser>
          <c:idx val="2"/>
          <c:order val="2"/>
          <c:tx>
            <c:v>MS min</c:v>
          </c:tx>
          <c:spPr>
            <a:ln w="12700">
              <a:solidFill>
                <a:srgbClr val="FF0000"/>
              </a:solidFill>
              <a:prstDash val="solid"/>
            </a:ln>
          </c:spPr>
          <c:marker>
            <c:symbol val="none"/>
          </c:marker>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4.2857142857142856</c:v>
                </c:pt>
              </c:numCache>
            </c:numRef>
          </c:yVal>
          <c:smooth val="1"/>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ser>
        <c:ser>
          <c:idx val="8"/>
          <c:order val="9"/>
          <c:tx>
            <c:v>Cna moy2</c:v>
          </c:tx>
          <c:spPr>
            <a:ln w="12700">
              <a:solidFill>
                <a:srgbClr val="FF0000"/>
              </a:solidFill>
              <a:prstDash val="solid"/>
            </a:ln>
          </c:spPr>
          <c:marker>
            <c:symbol val="none"/>
          </c:marker>
          <c:xVal>
            <c:numRef>
              <c:f>Stabilito!$B$197:$B$198</c:f>
              <c:numCache>
                <c:formatCode>General</c:formatCode>
                <c:ptCount val="2"/>
                <c:pt idx="0">
                  <c:v>4.4444444444444446</c:v>
                </c:pt>
                <c:pt idx="1">
                  <c:v>7</c:v>
                </c:pt>
              </c:numCache>
            </c:numRef>
          </c:xVal>
          <c:yVal>
            <c:numRef>
              <c:f>Stabilito!$C$197:$C$198</c:f>
              <c:numCache>
                <c:formatCode>General</c:formatCode>
                <c:ptCount val="2"/>
                <c:pt idx="0">
                  <c:v>22.5</c:v>
                </c:pt>
                <c:pt idx="1">
                  <c:v>22.5</c:v>
                </c:pt>
              </c:numCache>
            </c:numRef>
          </c:yVal>
          <c:smooth val="1"/>
        </c:ser>
        <c:ser>
          <c:idx val="9"/>
          <c:order val="10"/>
          <c:tx>
            <c:v>MS moy</c:v>
          </c:tx>
          <c:spPr>
            <a:ln w="12700">
              <a:solidFill>
                <a:srgbClr val="FF0000"/>
              </a:solidFill>
              <a:prstDash val="solid"/>
            </a:ln>
          </c:spPr>
          <c:marker>
            <c:symbol val="none"/>
          </c:marker>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ser>
        <c:ser>
          <c:idx val="10"/>
          <c:order val="11"/>
          <c:tx>
            <c:v>MS moy2</c:v>
          </c:tx>
          <c:spPr>
            <a:ln w="12700">
              <a:solidFill>
                <a:srgbClr val="FF0000"/>
              </a:solidFill>
              <a:prstDash val="solid"/>
            </a:ln>
          </c:spPr>
          <c:marker>
            <c:symbol val="none"/>
          </c:marker>
          <c:xVal>
            <c:numRef>
              <c:f>Stabilito!$B$201:$B$202</c:f>
              <c:numCache>
                <c:formatCode>General</c:formatCode>
                <c:ptCount val="2"/>
                <c:pt idx="0">
                  <c:v>3.75</c:v>
                </c:pt>
                <c:pt idx="1">
                  <c:v>3.75</c:v>
                </c:pt>
              </c:numCache>
            </c:numRef>
          </c:xVal>
          <c:yVal>
            <c:numRef>
              <c:f>Stabilito!$C$201:$C$202</c:f>
              <c:numCache>
                <c:formatCode>General</c:formatCode>
                <c:ptCount val="2"/>
                <c:pt idx="0">
                  <c:v>26.666666666666668</c:v>
                </c:pt>
                <c:pt idx="1">
                  <c:v>55</c:v>
                </c:pt>
              </c:numCache>
            </c:numRef>
          </c:yVal>
          <c:smooth val="1"/>
        </c:ser>
        <c:axId val="148471168"/>
        <c:axId val="148481536"/>
      </c:scatterChart>
      <c:scatterChart>
        <c:scatterStyle val="lineMarker"/>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2.9412578598946553</c:v>
                </c:pt>
                <c:pt idx="1">
                  <c:v>2.9412578598946553</c:v>
                </c:pt>
                <c:pt idx="2">
                  <c:v>3.2494194704570898</c:v>
                </c:pt>
                <c:pt idx="3">
                  <c:v>3.2494194704570898</c:v>
                </c:pt>
              </c:numCache>
            </c:numRef>
          </c:xVal>
          <c:yVal>
            <c:numRef>
              <c:f>Stabilito!$C$190:$C$193</c:f>
              <c:numCache>
                <c:formatCode>0.00</c:formatCode>
                <c:ptCount val="4"/>
                <c:pt idx="0">
                  <c:v>21.497524281832401</c:v>
                </c:pt>
                <c:pt idx="1">
                  <c:v>21.497524281832401</c:v>
                </c:pt>
                <c:pt idx="2">
                  <c:v>21.497524281832401</c:v>
                </c:pt>
                <c:pt idx="3">
                  <c:v>21.497524281832401</c:v>
                </c:pt>
              </c:numCache>
            </c:numRef>
          </c:yVal>
        </c:ser>
        <c:ser>
          <c:idx val="11"/>
          <c:order val="5"/>
          <c:tx>
            <c:v>Fusée en cours0</c:v>
          </c:tx>
          <c:spPr>
            <a:ln w="25400">
              <a:solidFill>
                <a:schemeClr val="tx1"/>
              </a:solidFill>
            </a:ln>
          </c:spPr>
          <c:marker>
            <c:symbol val="none"/>
          </c:marker>
          <c:xVal>
            <c:numRef>
              <c:f>Stabilito!$B$193:$B$194</c:f>
              <c:numCache>
                <c:formatCode>0.00</c:formatCode>
                <c:ptCount val="2"/>
                <c:pt idx="0">
                  <c:v>3.2494194704570898</c:v>
                </c:pt>
                <c:pt idx="1">
                  <c:v>2.9412578598946553</c:v>
                </c:pt>
              </c:numCache>
            </c:numRef>
          </c:xVal>
          <c:yVal>
            <c:numRef>
              <c:f>Stabilito!$C$193:$C$194</c:f>
              <c:numCache>
                <c:formatCode>0.00</c:formatCode>
                <c:ptCount val="2"/>
                <c:pt idx="0">
                  <c:v>21.497524281832401</c:v>
                </c:pt>
                <c:pt idx="1">
                  <c:v>21.497524281832401</c:v>
                </c:pt>
              </c:numCache>
            </c:numRef>
          </c:yVal>
        </c:ser>
        <c:axId val="148471168"/>
        <c:axId val="148481536"/>
      </c:scatterChart>
      <c:valAx>
        <c:axId val="148471168"/>
        <c:scaling>
          <c:orientation val="minMax"/>
          <c:max val="7"/>
          <c:min val="0"/>
        </c:scaling>
        <c:axPos val="b"/>
        <c:title>
          <c:tx>
            <c:strRef>
              <c:f>Stabilito!$B$118</c:f>
              <c:strCache>
                <c:ptCount val="1"/>
                <c:pt idx="0">
                  <c:v>Marge Statique (MS)</c:v>
                </c:pt>
              </c:strCache>
            </c:strRef>
          </c:tx>
          <c:layout>
            <c:manualLayout>
              <c:xMode val="edge"/>
              <c:yMode val="edge"/>
              <c:x val="0.51717271009913568"/>
              <c:y val="0.73094047244094495"/>
            </c:manualLayout>
          </c:layout>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axPos val="l"/>
        <c:title>
          <c:tx>
            <c:strRef>
              <c:f>Stabilito!$B$119</c:f>
              <c:strCache>
                <c:ptCount val="1"/>
                <c:pt idx="0">
                  <c:v>Portance Cnα</c:v>
                </c:pt>
              </c:strCache>
            </c:strRef>
          </c:tx>
          <c:layout>
            <c:manualLayout>
              <c:xMode val="edge"/>
              <c:yMode val="edge"/>
              <c:x val="6.9119481083972797E-2"/>
              <c:y val="0.24099905511811029"/>
            </c:manualLayout>
          </c:layout>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strRef>
          <c:f>Trajecto!$B$110</c:f>
          <c:strCache>
            <c:ptCount val="1"/>
            <c:pt idx="0">
              <c:v>Trajectoire (x z)</c:v>
            </c:pt>
          </c:strCache>
        </c:strRef>
      </c:tx>
      <c:layout>
        <c:manualLayout>
          <c:xMode val="edge"/>
          <c:yMode val="edge"/>
          <c:x val="0.66868786671936287"/>
          <c:y val="3.8575744069727136E-2"/>
        </c:manualLayout>
      </c:layout>
      <c:spPr>
        <a:noFill/>
        <a:ln w="25400">
          <a:noFill/>
        </a:ln>
      </c:spPr>
      <c:txPr>
        <a:bodyPr/>
        <a:lstStyle/>
        <a:p>
          <a:pPr>
            <a:defRPr sz="800" b="1" i="0" u="none" strike="noStrike" baseline="0">
              <a:solidFill>
                <a:srgbClr val="0000FF"/>
              </a:solidFill>
              <a:latin typeface="Arial"/>
              <a:ea typeface="Arial"/>
              <a:cs typeface="Arial"/>
            </a:defRPr>
          </a:pPr>
          <a:endParaRPr lang="fr-FR"/>
        </a:p>
      </c:txPr>
    </c:title>
    <c:plotArea>
      <c:layout>
        <c:manualLayout>
          <c:layoutTarget val="inner"/>
          <c:xMode val="edge"/>
          <c:yMode val="edge"/>
          <c:x val="6.9697175950449913E-2"/>
          <c:y val="3.5608360198500402E-2"/>
          <c:w val="0.89697235136230857"/>
          <c:h val="0.89614373166225958"/>
        </c:manualLayout>
      </c:layout>
      <c:scatterChart>
        <c:scatterStyle val="lineMarker"/>
        <c:ser>
          <c:idx val="0"/>
          <c:order val="0"/>
          <c:tx>
            <c:v>Point invisible pour mise à l'echelle</c:v>
          </c:tx>
          <c:spPr>
            <a:ln w="3175">
              <a:solidFill>
                <a:srgbClr val="99CCFF"/>
              </a:solidFill>
              <a:prstDash val="solid"/>
            </a:ln>
          </c:spPr>
          <c:marker>
            <c:symbol val="none"/>
          </c:marker>
          <c:xVal>
            <c:numRef>
              <c:f>Trajecto!$B$120</c:f>
              <c:numCache>
                <c:formatCode>0</c:formatCode>
                <c:ptCount val="1"/>
                <c:pt idx="0">
                  <c:v>310.72890500764521</c:v>
                </c:pt>
              </c:numCache>
            </c:numRef>
          </c:xVal>
          <c:yVal>
            <c:numRef>
              <c:f>Trajecto!$C$118</c:f>
              <c:numCache>
                <c:formatCode>0</c:formatCode>
                <c:ptCount val="1"/>
                <c:pt idx="0">
                  <c:v>310.72890500764521</c:v>
                </c:pt>
              </c:numCache>
            </c:numRef>
          </c:yVal>
          <c:smooth val="1"/>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6.5119224725594211</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24.804339670964325</c:v>
                </c:pt>
                <c:pt idx="201">
                  <c:v>#N/A</c:v>
                </c:pt>
                <c:pt idx="202">
                  <c:v>#N/A</c:v>
                </c:pt>
                <c:pt idx="203">
                  <c:v>#N/A</c:v>
                </c:pt>
                <c:pt idx="204">
                  <c:v>#N/A</c:v>
                </c:pt>
                <c:pt idx="205">
                  <c:v>#N/A</c:v>
                </c:pt>
                <c:pt idx="206">
                  <c:v>#N/A</c:v>
                </c:pt>
                <c:pt idx="207">
                  <c:v>#N/A</c:v>
                </c:pt>
                <c:pt idx="208">
                  <c:v>#N/A</c:v>
                </c:pt>
                <c:pt idx="209">
                  <c:v>#N/A</c:v>
                </c:pt>
                <c:pt idx="210">
                  <c:v>42.906041202249114</c:v>
                </c:pt>
                <c:pt idx="211">
                  <c:v>#N/A</c:v>
                </c:pt>
                <c:pt idx="212">
                  <c:v>#N/A</c:v>
                </c:pt>
                <c:pt idx="213">
                  <c:v>#N/A</c:v>
                </c:pt>
                <c:pt idx="214">
                  <c:v>#N/A</c:v>
                </c:pt>
                <c:pt idx="215">
                  <c:v>#N/A</c:v>
                </c:pt>
                <c:pt idx="216">
                  <c:v>#N/A</c:v>
                </c:pt>
                <c:pt idx="217">
                  <c:v>#N/A</c:v>
                </c:pt>
                <c:pt idx="218">
                  <c:v>#N/A</c:v>
                </c:pt>
                <c:pt idx="219">
                  <c:v>#N/A</c:v>
                </c:pt>
                <c:pt idx="220">
                  <c:v>58.34236491975085</c:v>
                </c:pt>
                <c:pt idx="221">
                  <c:v>#N/A</c:v>
                </c:pt>
                <c:pt idx="222">
                  <c:v>#N/A</c:v>
                </c:pt>
                <c:pt idx="223">
                  <c:v>#N/A</c:v>
                </c:pt>
                <c:pt idx="224">
                  <c:v>#N/A</c:v>
                </c:pt>
                <c:pt idx="225">
                  <c:v>#N/A</c:v>
                </c:pt>
                <c:pt idx="226">
                  <c:v>#N/A</c:v>
                </c:pt>
                <c:pt idx="227">
                  <c:v>#N/A</c:v>
                </c:pt>
                <c:pt idx="228">
                  <c:v>#N/A</c:v>
                </c:pt>
                <c:pt idx="229">
                  <c:v>#N/A</c:v>
                </c:pt>
                <c:pt idx="230">
                  <c:v>72.097806407118071</c:v>
                </c:pt>
                <c:pt idx="231">
                  <c:v>#N/A</c:v>
                </c:pt>
                <c:pt idx="232">
                  <c:v>#N/A</c:v>
                </c:pt>
                <c:pt idx="233">
                  <c:v>#N/A</c:v>
                </c:pt>
                <c:pt idx="234">
                  <c:v>#N/A</c:v>
                </c:pt>
                <c:pt idx="235">
                  <c:v>#N/A</c:v>
                </c:pt>
                <c:pt idx="236">
                  <c:v>#N/A</c:v>
                </c:pt>
                <c:pt idx="237">
                  <c:v>#N/A</c:v>
                </c:pt>
                <c:pt idx="238">
                  <c:v>#N/A</c:v>
                </c:pt>
                <c:pt idx="239">
                  <c:v>#N/A</c:v>
                </c:pt>
                <c:pt idx="240">
                  <c:v>84.771229347554325</c:v>
                </c:pt>
                <c:pt idx="241">
                  <c:v>#N/A</c:v>
                </c:pt>
                <c:pt idx="242">
                  <c:v>#N/A</c:v>
                </c:pt>
                <c:pt idx="243">
                  <c:v>#N/A</c:v>
                </c:pt>
                <c:pt idx="244">
                  <c:v>#N/A</c:v>
                </c:pt>
                <c:pt idx="245">
                  <c:v>#N/A</c:v>
                </c:pt>
                <c:pt idx="246">
                  <c:v>#N/A</c:v>
                </c:pt>
                <c:pt idx="247">
                  <c:v>#N/A</c:v>
                </c:pt>
                <c:pt idx="248">
                  <c:v>#N/A</c:v>
                </c:pt>
                <c:pt idx="249">
                  <c:v>#N/A</c:v>
                </c:pt>
                <c:pt idx="250">
                  <c:v>96.760315623901803</c:v>
                </c:pt>
                <c:pt idx="251">
                  <c:v>#N/A</c:v>
                </c:pt>
                <c:pt idx="252">
                  <c:v>#N/A</c:v>
                </c:pt>
                <c:pt idx="253">
                  <c:v>#N/A</c:v>
                </c:pt>
                <c:pt idx="254">
                  <c:v>#N/A</c:v>
                </c:pt>
                <c:pt idx="255">
                  <c:v>#N/A</c:v>
                </c:pt>
                <c:pt idx="256">
                  <c:v>#N/A</c:v>
                </c:pt>
                <c:pt idx="257">
                  <c:v>#N/A</c:v>
                </c:pt>
                <c:pt idx="258">
                  <c:v>#N/A</c:v>
                </c:pt>
                <c:pt idx="259">
                  <c:v>#N/A</c:v>
                </c:pt>
                <c:pt idx="260">
                  <c:v>108.32287923480831</c:v>
                </c:pt>
                <c:pt idx="261">
                  <c:v>#N/A</c:v>
                </c:pt>
                <c:pt idx="262">
                  <c:v>#N/A</c:v>
                </c:pt>
                <c:pt idx="263">
                  <c:v>#N/A</c:v>
                </c:pt>
                <c:pt idx="264">
                  <c:v>#N/A</c:v>
                </c:pt>
                <c:pt idx="265">
                  <c:v>#N/A</c:v>
                </c:pt>
                <c:pt idx="266">
                  <c:v>#N/A</c:v>
                </c:pt>
                <c:pt idx="267">
                  <c:v>#N/A</c:v>
                </c:pt>
                <c:pt idx="268">
                  <c:v>#N/A</c:v>
                </c:pt>
                <c:pt idx="269">
                  <c:v>#N/A</c:v>
                </c:pt>
                <c:pt idx="270">
                  <c:v>119.54643576478527</c:v>
                </c:pt>
                <c:pt idx="271">
                  <c:v>#N/A</c:v>
                </c:pt>
                <c:pt idx="272">
                  <c:v>#N/A</c:v>
                </c:pt>
                <c:pt idx="273">
                  <c:v>#N/A</c:v>
                </c:pt>
                <c:pt idx="274">
                  <c:v>#N/A</c:v>
                </c:pt>
                <c:pt idx="275">
                  <c:v>#N/A</c:v>
                </c:pt>
                <c:pt idx="276">
                  <c:v>#N/A</c:v>
                </c:pt>
                <c:pt idx="277">
                  <c:v>#N/A</c:v>
                </c:pt>
                <c:pt idx="278">
                  <c:v>#N/A</c:v>
                </c:pt>
                <c:pt idx="279">
                  <c:v>#N/A</c:v>
                </c:pt>
                <c:pt idx="280">
                  <c:v>130.33884540352054</c:v>
                </c:pt>
                <c:pt idx="281">
                  <c:v>#N/A</c:v>
                </c:pt>
                <c:pt idx="282">
                  <c:v>#N/A</c:v>
                </c:pt>
                <c:pt idx="283">
                  <c:v>#N/A</c:v>
                </c:pt>
                <c:pt idx="284">
                  <c:v>#N/A</c:v>
                </c:pt>
                <c:pt idx="285">
                  <c:v>#N/A</c:v>
                </c:pt>
                <c:pt idx="286">
                  <c:v>#N/A</c:v>
                </c:pt>
                <c:pt idx="287">
                  <c:v>#N/A</c:v>
                </c:pt>
                <c:pt idx="288">
                  <c:v>#N/A</c:v>
                </c:pt>
                <c:pt idx="289">
                  <c:v>#N/A</c:v>
                </c:pt>
                <c:pt idx="290">
                  <c:v>140.54111943056174</c:v>
                </c:pt>
                <c:pt idx="291">
                  <c:v>#N/A</c:v>
                </c:pt>
                <c:pt idx="292">
                  <c:v>#N/A</c:v>
                </c:pt>
                <c:pt idx="293">
                  <c:v>#N/A</c:v>
                </c:pt>
                <c:pt idx="294">
                  <c:v>#N/A</c:v>
                </c:pt>
                <c:pt idx="295">
                  <c:v>#N/A</c:v>
                </c:pt>
                <c:pt idx="296">
                  <c:v>#N/A</c:v>
                </c:pt>
                <c:pt idx="297">
                  <c:v>#N/A</c:v>
                </c:pt>
                <c:pt idx="298">
                  <c:v>#N/A</c:v>
                </c:pt>
                <c:pt idx="299">
                  <c:v>#N/A</c:v>
                </c:pt>
                <c:pt idx="300">
                  <c:v>150.01301760665015</c:v>
                </c:pt>
                <c:pt idx="301">
                  <c:v>#N/A</c:v>
                </c:pt>
                <c:pt idx="302">
                  <c:v>#N/A</c:v>
                </c:pt>
                <c:pt idx="303">
                  <c:v>#N/A</c:v>
                </c:pt>
                <c:pt idx="304">
                  <c:v>#N/A</c:v>
                </c:pt>
                <c:pt idx="305">
                  <c:v>#N/A</c:v>
                </c:pt>
                <c:pt idx="306">
                  <c:v>#N/A</c:v>
                </c:pt>
                <c:pt idx="307">
                  <c:v>#N/A</c:v>
                </c:pt>
                <c:pt idx="308">
                  <c:v>#N/A</c:v>
                </c:pt>
                <c:pt idx="309">
                  <c:v>#N/A</c:v>
                </c:pt>
                <c:pt idx="310">
                  <c:v>158.66118983066278</c:v>
                </c:pt>
                <c:pt idx="311">
                  <c:v>#N/A</c:v>
                </c:pt>
                <c:pt idx="312">
                  <c:v>#N/A</c:v>
                </c:pt>
                <c:pt idx="313">
                  <c:v>#N/A</c:v>
                </c:pt>
                <c:pt idx="314">
                  <c:v>#N/A</c:v>
                </c:pt>
                <c:pt idx="315">
                  <c:v>#N/A</c:v>
                </c:pt>
                <c:pt idx="316">
                  <c:v>#N/A</c:v>
                </c:pt>
                <c:pt idx="317">
                  <c:v>#N/A</c:v>
                </c:pt>
                <c:pt idx="318">
                  <c:v>#N/A</c:v>
                </c:pt>
                <c:pt idx="319">
                  <c:v>#N/A</c:v>
                </c:pt>
                <c:pt idx="320">
                  <c:v>166.44310684568873</c:v>
                </c:pt>
                <c:pt idx="321">
                  <c:v>#N/A</c:v>
                </c:pt>
                <c:pt idx="322">
                  <c:v>#N/A</c:v>
                </c:pt>
                <c:pt idx="323">
                  <c:v>#N/A</c:v>
                </c:pt>
                <c:pt idx="324">
                  <c:v>#N/A</c:v>
                </c:pt>
                <c:pt idx="325">
                  <c:v>#N/A</c:v>
                </c:pt>
                <c:pt idx="326">
                  <c:v>#N/A</c:v>
                </c:pt>
                <c:pt idx="327">
                  <c:v>#N/A</c:v>
                </c:pt>
                <c:pt idx="328">
                  <c:v>#N/A</c:v>
                </c:pt>
                <c:pt idx="329">
                  <c:v>#N/A</c:v>
                </c:pt>
                <c:pt idx="330">
                  <c:v>173.36039244411319</c:v>
                </c:pt>
                <c:pt idx="331">
                  <c:v>#N/A</c:v>
                </c:pt>
                <c:pt idx="332">
                  <c:v>#N/A</c:v>
                </c:pt>
                <c:pt idx="333">
                  <c:v>#N/A</c:v>
                </c:pt>
                <c:pt idx="334">
                  <c:v>#N/A</c:v>
                </c:pt>
                <c:pt idx="335">
                  <c:v>#N/A</c:v>
                </c:pt>
                <c:pt idx="336">
                  <c:v>#N/A</c:v>
                </c:pt>
                <c:pt idx="337">
                  <c:v>#N/A</c:v>
                </c:pt>
                <c:pt idx="338">
                  <c:v>#N/A</c:v>
                </c:pt>
                <c:pt idx="339">
                  <c:v>#N/A</c:v>
                </c:pt>
                <c:pt idx="340">
                  <c:v>179.44790280988005</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1.072892741762712E-3</c:v>
                </c:pt>
                <c:pt idx="2">
                  <c:v>7.2351927811420786E-3</c:v>
                </c:pt>
                <c:pt idx="3">
                  <c:v>2.3530778934193496E-2</c:v>
                </c:pt>
                <c:pt idx="4">
                  <c:v>5.0766950166213465E-2</c:v>
                </c:pt>
                <c:pt idx="5">
                  <c:v>8.635542859419712E-2</c:v>
                </c:pt>
                <c:pt idx="6">
                  <c:v>0.12818107940988069</c:v>
                </c:pt>
                <c:pt idx="7">
                  <c:v>0.17535088098540064</c:v>
                </c:pt>
                <c:pt idx="8">
                  <c:v>0.22789845747226903</c:v>
                </c:pt>
                <c:pt idx="9">
                  <c:v>0.28603749780814081</c:v>
                </c:pt>
                <c:pt idx="10">
                  <c:v>0.34998174114909841</c:v>
                </c:pt>
                <c:pt idx="11">
                  <c:v>0.41987674107719297</c:v>
                </c:pt>
                <c:pt idx="12">
                  <c:v>0.49579979276688169</c:v>
                </c:pt>
                <c:pt idx="13">
                  <c:v>0.57782808871137048</c:v>
                </c:pt>
                <c:pt idx="14">
                  <c:v>0.66603871299013173</c:v>
                </c:pt>
                <c:pt idx="15">
                  <c:v>0.7605086354537719</c:v>
                </c:pt>
                <c:pt idx="16">
                  <c:v>0.86131470582715164</c:v>
                </c:pt>
                <c:pt idx="17">
                  <c:v>0.96853364773170481</c:v>
                </c:pt>
                <c:pt idx="18">
                  <c:v>1.0822420526279484</c:v>
                </c:pt>
                <c:pt idx="19">
                  <c:v>1.2025163736792197</c:v>
                </c:pt>
                <c:pt idx="20">
                  <c:v>1.3294329195377239</c:v>
                </c:pt>
                <c:pt idx="21">
                  <c:v>1.4630678480540187</c:v>
                </c:pt>
                <c:pt idx="22">
                  <c:v>1.6034889803670815</c:v>
                </c:pt>
                <c:pt idx="23">
                  <c:v>1.7507366943596958</c:v>
                </c:pt>
                <c:pt idx="24">
                  <c:v>1.9048320799354088</c:v>
                </c:pt>
                <c:pt idx="25">
                  <c:v>2.0657960170354097</c:v>
                </c:pt>
                <c:pt idx="26">
                  <c:v>2.2336491735297295</c:v>
                </c:pt>
                <c:pt idx="27">
                  <c:v>2.4084120031271685</c:v>
                </c:pt>
                <c:pt idx="28">
                  <c:v>2.5901047433045332</c:v>
                </c:pt>
                <c:pt idx="29">
                  <c:v>2.7787326159599739</c:v>
                </c:pt>
                <c:pt idx="30">
                  <c:v>2.9743000181727588</c:v>
                </c:pt>
                <c:pt idx="31">
                  <c:v>3.1768253225665628</c:v>
                </c:pt>
                <c:pt idx="32">
                  <c:v>3.3863266944319115</c:v>
                </c:pt>
                <c:pt idx="33">
                  <c:v>3.6028220959421331</c:v>
                </c:pt>
                <c:pt idx="34">
                  <c:v>3.8263292829822326</c:v>
                </c:pt>
                <c:pt idx="35">
                  <c:v>4.0568636750422051</c:v>
                </c:pt>
                <c:pt idx="36">
                  <c:v>4.2944192020993182</c:v>
                </c:pt>
                <c:pt idx="37">
                  <c:v>4.5389704290437773</c:v>
                </c:pt>
                <c:pt idx="38">
                  <c:v>4.7904917052703091</c:v>
                </c:pt>
                <c:pt idx="39">
                  <c:v>5.0489571659514167</c:v>
                </c:pt>
                <c:pt idx="40">
                  <c:v>5.3143407334395389</c:v>
                </c:pt>
                <c:pt idx="41">
                  <c:v>5.5866161187868544</c:v>
                </c:pt>
                <c:pt idx="42">
                  <c:v>5.8657568233728172</c:v>
                </c:pt>
                <c:pt idx="43">
                  <c:v>6.1517361406306446</c:v>
                </c:pt>
                <c:pt idx="44">
                  <c:v>6.4445271578649379</c:v>
                </c:pt>
                <c:pt idx="45">
                  <c:v>6.744102758153466</c:v>
                </c:pt>
                <c:pt idx="46">
                  <c:v>7.0504356223268356</c:v>
                </c:pt>
                <c:pt idx="47">
                  <c:v>7.363498231020392</c:v>
                </c:pt>
                <c:pt idx="48">
                  <c:v>7.6832628667932452</c:v>
                </c:pt>
                <c:pt idx="49">
                  <c:v>8.0097016163097514</c:v>
                </c:pt>
                <c:pt idx="50">
                  <c:v>8.3427863725792104</c:v>
                </c:pt>
                <c:pt idx="51">
                  <c:v>8.6824888372498776</c:v>
                </c:pt>
                <c:pt idx="52">
                  <c:v>9.0287805229537099</c:v>
                </c:pt>
                <c:pt idx="53">
                  <c:v>9.3816327556985435</c:v>
                </c:pt>
                <c:pt idx="54">
                  <c:v>9.7410166773046196</c:v>
                </c:pt>
                <c:pt idx="55">
                  <c:v>10.106903247882626</c:v>
                </c:pt>
                <c:pt idx="56">
                  <c:v>10.479263248350573</c:v>
                </c:pt>
                <c:pt idx="57">
                  <c:v>10.858067282987053</c:v>
                </c:pt>
                <c:pt idx="58">
                  <c:v>11.243285782018482</c:v>
                </c:pt>
                <c:pt idx="59">
                  <c:v>11.634889004238197</c:v>
                </c:pt>
                <c:pt idx="60">
                  <c:v>12.032847039655268</c:v>
                </c:pt>
                <c:pt idx="61">
                  <c:v>12.437129812171102</c:v>
                </c:pt>
                <c:pt idx="62">
                  <c:v>12.847707082281946</c:v>
                </c:pt>
                <c:pt idx="63">
                  <c:v>13.264548449805515</c:v>
                </c:pt>
                <c:pt idx="64">
                  <c:v>13.68762335663007</c:v>
                </c:pt>
                <c:pt idx="65">
                  <c:v>14.116901089484308</c:v>
                </c:pt>
                <c:pt idx="66">
                  <c:v>14.552350782726517</c:v>
                </c:pt>
                <c:pt idx="67">
                  <c:v>14.993941421151517</c:v>
                </c:pt>
                <c:pt idx="68">
                  <c:v>15.441641842813945</c:v>
                </c:pt>
                <c:pt idx="69">
                  <c:v>15.895420741866532</c:v>
                </c:pt>
                <c:pt idx="70">
                  <c:v>16.355246671412008</c:v>
                </c:pt>
                <c:pt idx="71">
                  <c:v>16.821088046367397</c:v>
                </c:pt>
                <c:pt idx="72">
                  <c:v>17.292913146339416</c:v>
                </c:pt>
                <c:pt idx="73">
                  <c:v>17.770690118509833</c:v>
                </c:pt>
                <c:pt idx="74">
                  <c:v>18.254386980529581</c:v>
                </c:pt>
                <c:pt idx="75">
                  <c:v>18.74397162342051</c:v>
                </c:pt>
                <c:pt idx="76">
                  <c:v>19.239411814483692</c:v>
                </c:pt>
                <c:pt idx="77">
                  <c:v>19.740675200213207</c:v>
                </c:pt>
                <c:pt idx="78">
                  <c:v>20.247729309214396</c:v>
                </c:pt>
                <c:pt idx="79">
                  <c:v>20.760541555125531</c:v>
                </c:pt>
                <c:pt idx="80">
                  <c:v>21.279079239541964</c:v>
                </c:pt>
                <c:pt idx="81">
                  <c:v>21.803309554941777</c:v>
                </c:pt>
                <c:pt idx="82">
                  <c:v>22.333199587612018</c:v>
                </c:pt>
                <c:pt idx="83">
                  <c:v>22.868716320574592</c:v>
                </c:pt>
                <c:pt idx="84">
                  <c:v>23.409826636510946</c:v>
                </c:pt>
                <c:pt idx="85">
                  <c:v>23.956497320684655</c:v>
                </c:pt>
                <c:pt idx="86">
                  <c:v>24.508695063861097</c:v>
                </c:pt>
                <c:pt idx="87">
                  <c:v>25.066386465223367</c:v>
                </c:pt>
                <c:pt idx="88">
                  <c:v>25.629538035283634</c:v>
                </c:pt>
                <c:pt idx="89">
                  <c:v>26.198116198789158</c:v>
                </c:pt>
                <c:pt idx="90">
                  <c:v>26.772087297622189</c:v>
                </c:pt>
                <c:pt idx="91">
                  <c:v>27.351417593693007</c:v>
                </c:pt>
                <c:pt idx="92">
                  <c:v>27.936073271825379</c:v>
                </c:pt>
                <c:pt idx="93">
                  <c:v>28.526020442633673</c:v>
                </c:pt>
                <c:pt idx="94">
                  <c:v>29.121225145391008</c:v>
                </c:pt>
                <c:pt idx="95">
                  <c:v>29.721653350887667</c:v>
                </c:pt>
                <c:pt idx="96">
                  <c:v>30.327270964279183</c:v>
                </c:pt>
                <c:pt idx="97">
                  <c:v>30.938043827923391</c:v>
                </c:pt>
                <c:pt idx="98">
                  <c:v>31.553937724205856</c:v>
                </c:pt>
                <c:pt idx="99">
                  <c:v>32.17491837835302</c:v>
                </c:pt>
                <c:pt idx="100">
                  <c:v>32.800951461232479</c:v>
                </c:pt>
                <c:pt idx="101">
                  <c:v>33.432002592139817</c:v>
                </c:pt>
                <c:pt idx="102">
                  <c:v>34.068037341571383</c:v>
                </c:pt>
                <c:pt idx="103">
                  <c:v>34.709021233982483</c:v>
                </c:pt>
                <c:pt idx="104">
                  <c:v>35.354919750530435</c:v>
                </c:pt>
                <c:pt idx="105">
                  <c:v>36.005698331801931</c:v>
                </c:pt>
                <c:pt idx="106">
                  <c:v>36.66132238052424</c:v>
                </c:pt>
                <c:pt idx="107">
                  <c:v>37.321757264259674</c:v>
                </c:pt>
                <c:pt idx="108">
                  <c:v>37.986968318082909</c:v>
                </c:pt>
                <c:pt idx="109">
                  <c:v>38.656920847240627</c:v>
                </c:pt>
                <c:pt idx="110">
                  <c:v>39.331580129793032</c:v>
                </c:pt>
                <c:pt idx="111">
                  <c:v>40.010911419236784</c:v>
                </c:pt>
                <c:pt idx="112">
                  <c:v>40.694879947108959</c:v>
                </c:pt>
                <c:pt idx="113">
                  <c:v>41.38345092557153</c:v>
                </c:pt>
                <c:pt idx="114">
                  <c:v>42.076589549976063</c:v>
                </c:pt>
                <c:pt idx="115">
                  <c:v>42.774261001408121</c:v>
                </c:pt>
                <c:pt idx="116">
                  <c:v>43.476430449211072</c:v>
                </c:pt>
                <c:pt idx="117">
                  <c:v>44.183063053488922</c:v>
                </c:pt>
                <c:pt idx="118">
                  <c:v>44.894123967587774</c:v>
                </c:pt>
                <c:pt idx="119">
                  <c:v>45.609578340555593</c:v>
                </c:pt>
                <c:pt idx="120">
                  <c:v>46.329391319579969</c:v>
                </c:pt>
                <c:pt idx="121">
                  <c:v>47.053528052403493</c:v>
                </c:pt>
                <c:pt idx="122">
                  <c:v>47.781953689716495</c:v>
                </c:pt>
                <c:pt idx="123">
                  <c:v>48.51463338752685</c:v>
                </c:pt>
                <c:pt idx="124">
                  <c:v>49.251532309506494</c:v>
                </c:pt>
                <c:pt idx="125">
                  <c:v>49.992615629314471</c:v>
                </c:pt>
                <c:pt idx="126">
                  <c:v>50.737848532896201</c:v>
                </c:pt>
                <c:pt idx="127">
                  <c:v>51.487196220758705</c:v>
                </c:pt>
                <c:pt idx="128">
                  <c:v>52.240623910221601</c:v>
                </c:pt>
                <c:pt idx="129">
                  <c:v>52.998096837643573</c:v>
                </c:pt>
                <c:pt idx="130">
                  <c:v>53.75958026062419</c:v>
                </c:pt>
                <c:pt idx="131">
                  <c:v>54.525039460180786</c:v>
                </c:pt>
                <c:pt idx="132">
                  <c:v>55.294439742900238</c:v>
                </c:pt>
                <c:pt idx="133">
                  <c:v>56.067746443065488</c:v>
                </c:pt>
                <c:pt idx="134">
                  <c:v>56.844924924756583</c:v>
                </c:pt>
                <c:pt idx="135">
                  <c:v>57.625940583926138</c:v>
                </c:pt>
                <c:pt idx="136">
                  <c:v>58.410758850449</c:v>
                </c:pt>
                <c:pt idx="137">
                  <c:v>59.199345190146033</c:v>
                </c:pt>
                <c:pt idx="138">
                  <c:v>59.991665106781845</c:v>
                </c:pt>
                <c:pt idx="139">
                  <c:v>60.78768414403639</c:v>
                </c:pt>
                <c:pt idx="140">
                  <c:v>61.587367887450284</c:v>
                </c:pt>
                <c:pt idx="141">
                  <c:v>62.390681966343777</c:v>
                </c:pt>
                <c:pt idx="142">
                  <c:v>63.197592055709251</c:v>
                </c:pt>
                <c:pt idx="143">
                  <c:v>64.008063878077195</c:v>
                </c:pt>
                <c:pt idx="144">
                  <c:v>64.822063205355548</c:v>
                </c:pt>
                <c:pt idx="145">
                  <c:v>65.639555860642417</c:v>
                </c:pt>
                <c:pt idx="146">
                  <c:v>66.46050772001206</c:v>
                </c:pt>
                <c:pt idx="147">
                  <c:v>67.284884714274057</c:v>
                </c:pt>
                <c:pt idx="148">
                  <c:v>68.112652830705727</c:v>
                </c:pt>
                <c:pt idx="149">
                  <c:v>68.943778114757677</c:v>
                </c:pt>
                <c:pt idx="150">
                  <c:v>69.778226671732568</c:v>
                </c:pt>
                <c:pt idx="151">
                  <c:v>70.615964668436916</c:v>
                </c:pt>
                <c:pt idx="152">
                  <c:v>71.456958334806131</c:v>
                </c:pt>
                <c:pt idx="153">
                  <c:v>72.301173965502642</c:v>
                </c:pt>
                <c:pt idx="154">
                  <c:v>73.148577921487203</c:v>
                </c:pt>
                <c:pt idx="155">
                  <c:v>73.999136631563331</c:v>
                </c:pt>
                <c:pt idx="156">
                  <c:v>74.852816593895056</c:v>
                </c:pt>
                <c:pt idx="157">
                  <c:v>75.709584377497791</c:v>
                </c:pt>
                <c:pt idx="158">
                  <c:v>76.56942584895377</c:v>
                </c:pt>
                <c:pt idx="159">
                  <c:v>77.432350912947911</c:v>
                </c:pt>
                <c:pt idx="160">
                  <c:v>78.298374201905489</c:v>
                </c:pt>
                <c:pt idx="161">
                  <c:v>79.167510250941604</c:v>
                </c:pt>
                <c:pt idx="162">
                  <c:v>80.039773497604742</c:v>
                </c:pt>
                <c:pt idx="163">
                  <c:v>80.915178281623454</c:v>
                </c:pt>
                <c:pt idx="164">
                  <c:v>81.793710585891262</c:v>
                </c:pt>
                <c:pt idx="165">
                  <c:v>82.675285738968839</c:v>
                </c:pt>
                <c:pt idx="166">
                  <c:v>83.559776934887225</c:v>
                </c:pt>
                <c:pt idx="167">
                  <c:v>84.447028980639615</c:v>
                </c:pt>
                <c:pt idx="168">
                  <c:v>85.336743127732262</c:v>
                </c:pt>
                <c:pt idx="169">
                  <c:v>86.228506457019563</c:v>
                </c:pt>
                <c:pt idx="170">
                  <c:v>87.121907639794912</c:v>
                </c:pt>
                <c:pt idx="171">
                  <c:v>88.016536973746426</c:v>
                </c:pt>
                <c:pt idx="172">
                  <c:v>88.911986415933924</c:v>
                </c:pt>
                <c:pt idx="173">
                  <c:v>89.807849612823077</c:v>
                </c:pt>
                <c:pt idx="174">
                  <c:v>90.703721927414378</c:v>
                </c:pt>
                <c:pt idx="175">
                  <c:v>91.599200463506833</c:v>
                </c:pt>
                <c:pt idx="176">
                  <c:v>92.493884087137914</c:v>
                </c:pt>
                <c:pt idx="177">
                  <c:v>93.387373445243014</c:v>
                </c:pt>
                <c:pt idx="178">
                  <c:v>94.279270981578861</c:v>
                </c:pt>
                <c:pt idx="179">
                  <c:v>95.169180949957124</c:v>
                </c:pt>
                <c:pt idx="180">
                  <c:v>96.056814500661389</c:v>
                </c:pt>
                <c:pt idx="181">
                  <c:v>96.941989187631137</c:v>
                </c:pt>
                <c:pt idx="182">
                  <c:v>97.824523393133248</c:v>
                </c:pt>
                <c:pt idx="183">
                  <c:v>98.704236323425704</c:v>
                </c:pt>
                <c:pt idx="184">
                  <c:v>99.581015459762511</c:v>
                </c:pt>
                <c:pt idx="185">
                  <c:v>100.45484513987745</c:v>
                </c:pt>
                <c:pt idx="186">
                  <c:v>101.32573864070235</c:v>
                </c:pt>
                <c:pt idx="187">
                  <c:v>102.19370913345134</c:v>
                </c:pt>
                <c:pt idx="188">
                  <c:v>103.05876968472141</c:v>
                </c:pt>
                <c:pt idx="189">
                  <c:v>103.92093325757882</c:v>
                </c:pt>
                <c:pt idx="190">
                  <c:v>104.78021271263111</c:v>
                </c:pt>
                <c:pt idx="191">
                  <c:v>105.63662080908526</c:v>
                </c:pt>
                <c:pt idx="192">
                  <c:v>106.49017020579207</c:v>
                </c:pt>
                <c:pt idx="193">
                  <c:v>107.34087346227705</c:v>
                </c:pt>
                <c:pt idx="194">
                  <c:v>108.18874303975794</c:v>
                </c:pt>
                <c:pt idx="195">
                  <c:v>109.03379130214917</c:v>
                </c:pt>
                <c:pt idx="196">
                  <c:v>109.87603051705337</c:v>
                </c:pt>
                <c:pt idx="197">
                  <c:v>110.71547285674016</c:v>
                </c:pt>
                <c:pt idx="198">
                  <c:v>111.55213039911251</c:v>
                </c:pt>
                <c:pt idx="199">
                  <c:v>112.38601512866065</c:v>
                </c:pt>
                <c:pt idx="200">
                  <c:v>113.21713893740392</c:v>
                </c:pt>
                <c:pt idx="201">
                  <c:v>121.37743989300272</c:v>
                </c:pt>
                <c:pt idx="202">
                  <c:v>129.26915840943906</c:v>
                </c:pt>
                <c:pt idx="203">
                  <c:v>136.90335100801678</c:v>
                </c:pt>
                <c:pt idx="204">
                  <c:v>144.29026049480095</c:v>
                </c:pt>
                <c:pt idx="205">
                  <c:v>151.43939243205682</c:v>
                </c:pt>
                <c:pt idx="206">
                  <c:v>158.35958270172321</c:v>
                </c:pt>
                <c:pt idx="207">
                  <c:v>165.05905738090735</c:v>
                </c:pt>
                <c:pt idx="208">
                  <c:v>171.54548595799542</c:v>
                </c:pt>
                <c:pt idx="209">
                  <c:v>177.82602876024026</c:v>
                </c:pt>
                <c:pt idx="210">
                  <c:v>183.90737933308407</c:v>
                </c:pt>
                <c:pt idx="211">
                  <c:v>189.79580240284557</c:v>
                </c:pt>
                <c:pt idx="212">
                  <c:v>195.49716796366587</c:v>
                </c:pt>
                <c:pt idx="213">
                  <c:v>201.01698195350619</c:v>
                </c:pt>
                <c:pt idx="214">
                  <c:v>206.36041391991728</c:v>
                </c:pt>
                <c:pt idx="215">
                  <c:v>211.53232202215091</c:v>
                </c:pt>
                <c:pt idx="216">
                  <c:v>216.53727567025916</c:v>
                </c:pt>
                <c:pt idx="217">
                  <c:v>221.37957606274551</c:v>
                </c:pt>
                <c:pt idx="218">
                  <c:v>226.06327485096458</c:v>
                </c:pt>
                <c:pt idx="219">
                  <c:v>230.59219112989055</c:v>
                </c:pt>
                <c:pt idx="220">
                  <c:v>234.96992693032703</c:v>
                </c:pt>
                <c:pt idx="221">
                  <c:v>239.19988136648496</c:v>
                </c:pt>
                <c:pt idx="222">
                  <c:v>243.28526357459015</c:v>
                </c:pt>
                <c:pt idx="223">
                  <c:v>247.22910456236411</c:v>
                </c:pt>
                <c:pt idx="224">
                  <c:v>251.03426807549025</c:v>
                </c:pt>
                <c:pt idx="225">
                  <c:v>254.70346057523042</c:v>
                </c:pt>
                <c:pt idx="226">
                  <c:v>258.23924041094114</c:v>
                </c:pt>
                <c:pt idx="227">
                  <c:v>261.64402626213899</c:v>
                </c:pt>
                <c:pt idx="228">
                  <c:v>264.92010491680662</c:v>
                </c:pt>
                <c:pt idx="229">
                  <c:v>268.06963844565797</c:v>
                </c:pt>
                <c:pt idx="230">
                  <c:v>271.09467082597052</c:v>
                </c:pt>
                <c:pt idx="231">
                  <c:v>273.99713406323673</c:v>
                </c:pt>
                <c:pt idx="232">
                  <c:v>276.77885385419501</c:v>
                </c:pt>
                <c:pt idx="233">
                  <c:v>279.4415548307017</c:v>
                </c:pt>
                <c:pt idx="234">
                  <c:v>281.98686542033994</c:v>
                </c:pt>
                <c:pt idx="235">
                  <c:v>284.41632235657846</c:v>
                </c:pt>
                <c:pt idx="236">
                  <c:v>286.73137486866523</c:v>
                </c:pt>
                <c:pt idx="237">
                  <c:v>288.93338857923601</c:v>
                </c:pt>
                <c:pt idx="238">
                  <c:v>291.02364913583546</c:v>
                </c:pt>
                <c:pt idx="239">
                  <c:v>293.00336560118114</c:v>
                </c:pt>
                <c:pt idx="240">
                  <c:v>294.87367362607557</c:v>
                </c:pt>
                <c:pt idx="241">
                  <c:v>296.63563842841364</c:v>
                </c:pt>
                <c:pt idx="242">
                  <c:v>298.29025760179991</c:v>
                </c:pt>
                <c:pt idx="243">
                  <c:v>299.83846377795135</c:v>
                </c:pt>
                <c:pt idx="244">
                  <c:v>301.28112716841173</c:v>
                </c:pt>
                <c:pt idx="245">
                  <c:v>302.61905801325429</c:v>
                </c:pt>
                <c:pt idx="246">
                  <c:v>303.85300896752813</c:v>
                </c:pt>
                <c:pt idx="247">
                  <c:v>304.98367746033074</c:v>
                </c:pt>
                <c:pt idx="248">
                  <c:v>306.01170806664669</c:v>
                </c:pt>
                <c:pt idx="249">
                  <c:v>306.93769493846571</c:v>
                </c:pt>
                <c:pt idx="250">
                  <c:v>307.76218434896589</c:v>
                </c:pt>
                <c:pt idx="251">
                  <c:v>308.48567741115079</c:v>
                </c:pt>
                <c:pt idx="252">
                  <c:v>309.10863303915647</c:v>
                </c:pt>
                <c:pt idx="253">
                  <c:v>309.6314712246342</c:v>
                </c:pt>
                <c:pt idx="254">
                  <c:v>310.05457669944644</c:v>
                </c:pt>
                <c:pt idx="255">
                  <c:v>310.37830304596787</c:v>
                </c:pt>
                <c:pt idx="256">
                  <c:v>310.60297729410752</c:v>
                </c:pt>
                <c:pt idx="257">
                  <c:v>310.72890500764521</c:v>
                </c:pt>
                <c:pt idx="258">
                  <c:v>310.75637581267</c:v>
                </c:pt>
                <c:pt idx="259">
                  <c:v>310.68566926365179</c:v>
                </c:pt>
                <c:pt idx="260">
                  <c:v>310.5170608885864</c:v>
                </c:pt>
                <c:pt idx="261">
                  <c:v>310.25082821658748</c:v>
                </c:pt>
                <c:pt idx="262">
                  <c:v>309.88725657968848</c:v>
                </c:pt>
                <c:pt idx="263">
                  <c:v>309.42664449891976</c:v>
                </c:pt>
                <c:pt idx="264">
                  <c:v>308.86930850777571</c:v>
                </c:pt>
                <c:pt idx="265">
                  <c:v>308.21558732254641</c:v>
                </c:pt>
                <c:pt idx="266">
                  <c:v>307.4658453257897</c:v>
                </c:pt>
                <c:pt idx="267">
                  <c:v>306.6204753765939</c:v>
                </c:pt>
                <c:pt idx="268">
                  <c:v>305.67990099441533</c:v>
                </c:pt>
                <c:pt idx="269">
                  <c:v>304.64457798197571</c:v>
                </c:pt>
                <c:pt idx="270">
                  <c:v>303.51499555962681</c:v>
                </c:pt>
                <c:pt idx="271">
                  <c:v>302.29167708237981</c:v>
                </c:pt>
                <c:pt idx="272">
                  <c:v>300.97518040485863</c:v>
                </c:pt>
                <c:pt idx="273">
                  <c:v>299.56609795135751</c:v>
                </c:pt>
                <c:pt idx="274">
                  <c:v>298.0650565396615</c:v>
                </c:pt>
                <c:pt idx="275">
                  <c:v>296.47271699929297</c:v>
                </c:pt>
                <c:pt idx="276">
                  <c:v>294.78977361782506</c:v>
                </c:pt>
                <c:pt idx="277">
                  <c:v>293.01695344299378</c:v>
                </c:pt>
                <c:pt idx="278">
                  <c:v>291.15501546349572</c:v>
                </c:pt>
                <c:pt idx="279">
                  <c:v>289.20474968746134</c:v>
                </c:pt>
                <c:pt idx="280">
                  <c:v>287.16697613448918</c:v>
                </c:pt>
                <c:pt idx="281">
                  <c:v>285.04254375467031</c:v>
                </c:pt>
                <c:pt idx="282">
                  <c:v>282.83232928609323</c:v>
                </c:pt>
                <c:pt idx="283">
                  <c:v>280.53723606078285</c:v>
                </c:pt>
                <c:pt idx="284">
                  <c:v>278.1581927678082</c:v>
                </c:pt>
                <c:pt idx="285">
                  <c:v>275.69615218131446</c:v>
                </c:pt>
                <c:pt idx="286">
                  <c:v>273.15208986044325</c:v>
                </c:pt>
                <c:pt idx="287">
                  <c:v>270.52700282745371</c:v>
                </c:pt>
                <c:pt idx="288">
                  <c:v>267.82190822981352</c:v>
                </c:pt>
                <c:pt idx="289">
                  <c:v>265.03784199156678</c:v>
                </c:pt>
                <c:pt idx="290">
                  <c:v>262.17585745888522</c:v>
                </c:pt>
                <c:pt idx="291">
                  <c:v>259.23702404435397</c:v>
                </c:pt>
                <c:pt idx="292">
                  <c:v>256.22242587422426</c:v>
                </c:pt>
                <c:pt idx="293">
                  <c:v>253.13316044257104</c:v>
                </c:pt>
                <c:pt idx="294">
                  <c:v>249.9703372760207</c:v>
                </c:pt>
                <c:pt idx="295">
                  <c:v>246.73507661245498</c:v>
                </c:pt>
                <c:pt idx="296">
                  <c:v>243.42850809685083</c:v>
                </c:pt>
                <c:pt idx="297">
                  <c:v>240.0517694971787</c:v>
                </c:pt>
                <c:pt idx="298">
                  <c:v>236.60600544305149</c:v>
                </c:pt>
                <c:pt idx="299">
                  <c:v>233.09236618959417</c:v>
                </c:pt>
                <c:pt idx="300">
                  <c:v>229.51200640878608</c:v>
                </c:pt>
                <c:pt idx="301">
                  <c:v>225.86608401031683</c:v>
                </c:pt>
                <c:pt idx="302">
                  <c:v>222.15575899379058</c:v>
                </c:pt>
                <c:pt idx="303">
                  <c:v>218.38219233391257</c:v>
                </c:pt>
                <c:pt idx="304">
                  <c:v>214.54654490009733</c:v>
                </c:pt>
                <c:pt idx="305">
                  <c:v>210.64997641174872</c:v>
                </c:pt>
                <c:pt idx="306">
                  <c:v>206.69364443027945</c:v>
                </c:pt>
                <c:pt idx="307">
                  <c:v>202.67870338876145</c:v>
                </c:pt>
                <c:pt idx="308">
                  <c:v>198.60630365992955</c:v>
                </c:pt>
                <c:pt idx="309">
                  <c:v>194.47759066309794</c:v>
                </c:pt>
                <c:pt idx="310">
                  <c:v>190.29370401039509</c:v>
                </c:pt>
                <c:pt idx="311">
                  <c:v>186.05577669257505</c:v>
                </c:pt>
                <c:pt idx="312">
                  <c:v>181.76493430452365</c:v>
                </c:pt>
                <c:pt idx="313">
                  <c:v>177.42229431044723</c:v>
                </c:pt>
                <c:pt idx="314">
                  <c:v>173.0289653486075</c:v>
                </c:pt>
                <c:pt idx="315">
                  <c:v>168.58604657535133</c:v>
                </c:pt>
                <c:pt idx="316">
                  <c:v>164.09462704807689</c:v>
                </c:pt>
                <c:pt idx="317">
                  <c:v>159.55578514667843</c:v>
                </c:pt>
                <c:pt idx="318">
                  <c:v>154.97058803292109</c:v>
                </c:pt>
                <c:pt idx="319">
                  <c:v>150.3400911471133</c:v>
                </c:pt>
                <c:pt idx="320">
                  <c:v>145.66533774136951</c:v>
                </c:pt>
                <c:pt idx="321">
                  <c:v>140.94735844868768</c:v>
                </c:pt>
                <c:pt idx="322">
                  <c:v>136.1871708870049</c:v>
                </c:pt>
                <c:pt idx="323">
                  <c:v>131.38577929734174</c:v>
                </c:pt>
                <c:pt idx="324">
                  <c:v>126.54417421509872</c:v>
                </c:pt>
                <c:pt idx="325">
                  <c:v>121.66333217352781</c:v>
                </c:pt>
                <c:pt idx="326">
                  <c:v>116.74421543836885</c:v>
                </c:pt>
                <c:pt idx="327">
                  <c:v>111.7877717726121</c:v>
                </c:pt>
                <c:pt idx="328">
                  <c:v>106.79493423032601</c:v>
                </c:pt>
                <c:pt idx="329">
                  <c:v>101.7666209784726</c:v>
                </c:pt>
                <c:pt idx="330">
                  <c:v>96.703735145620769</c:v>
                </c:pt>
                <c:pt idx="331">
                  <c:v>91.607164696460373</c:v>
                </c:pt>
                <c:pt idx="332">
                  <c:v>86.477782331017437</c:v>
                </c:pt>
                <c:pt idx="333">
                  <c:v>81.316445407471775</c:v>
                </c:pt>
                <c:pt idx="334">
                  <c:v>76.123995887483105</c:v>
                </c:pt>
                <c:pt idx="335">
                  <c:v>70.901260302940429</c:v>
                </c:pt>
                <c:pt idx="336">
                  <c:v>65.649049743060388</c:v>
                </c:pt>
                <c:pt idx="337">
                  <c:v>60.368159860774938</c:v>
                </c:pt>
                <c:pt idx="338">
                  <c:v>55.059370897365326</c:v>
                </c:pt>
                <c:pt idx="339">
                  <c:v>49.723447724318461</c:v>
                </c:pt>
                <c:pt idx="340">
                  <c:v>44.361139901402865</c:v>
                </c:pt>
                <c:pt idx="341">
                  <c:v>38.973181749984256</c:v>
                </c:pt>
                <c:pt idx="342">
                  <c:v>33.56029244062524</c:v>
                </c:pt>
                <c:pt idx="343">
                  <c:v>28.123176094039209</c:v>
                </c:pt>
                <c:pt idx="344">
                  <c:v>22.662521894495509</c:v>
                </c:pt>
                <c:pt idx="345">
                  <c:v>17.179004214800511</c:v>
                </c:pt>
                <c:pt idx="346">
                  <c:v>11.673282752007784</c:v>
                </c:pt>
                <c:pt idx="347">
                  <c:v>6.146002673039499</c:v>
                </c:pt>
                <c:pt idx="348">
                  <c:v>0.59779476943062004</c:v>
                </c:pt>
                <c:pt idx="349">
                  <c:v>-4.9707243795628928</c:v>
                </c:pt>
                <c:pt idx="350">
                  <c:v>-4.9763029116613193</c:v>
                </c:pt>
                <c:pt idx="351">
                  <c:v>-4.9818814631703825</c:v>
                </c:pt>
                <c:pt idx="352">
                  <c:v>-4.9874600340895032</c:v>
                </c:pt>
                <c:pt idx="353">
                  <c:v>-4.9930386244180998</c:v>
                </c:pt>
                <c:pt idx="354">
                  <c:v>-4.998617234155593</c:v>
                </c:pt>
                <c:pt idx="355">
                  <c:v>-5.0041958633014021</c:v>
                </c:pt>
                <c:pt idx="356">
                  <c:v>-5.0097745118549462</c:v>
                </c:pt>
                <c:pt idx="357">
                  <c:v>-5.0153531798156452</c:v>
                </c:pt>
                <c:pt idx="358">
                  <c:v>-5.0209318671829193</c:v>
                </c:pt>
                <c:pt idx="359">
                  <c:v>-5.0265105739561875</c:v>
                </c:pt>
                <c:pt idx="360">
                  <c:v>-5.0320893001348699</c:v>
                </c:pt>
                <c:pt idx="361">
                  <c:v>-5.0376680457183864</c:v>
                </c:pt>
                <c:pt idx="362">
                  <c:v>-5.0432468107061572</c:v>
                </c:pt>
                <c:pt idx="363">
                  <c:v>-5.0488255950976013</c:v>
                </c:pt>
                <c:pt idx="364">
                  <c:v>-5.0544043988921388</c:v>
                </c:pt>
                <c:pt idx="365">
                  <c:v>-5.0599832220891887</c:v>
                </c:pt>
                <c:pt idx="366">
                  <c:v>-5.0655620646881721</c:v>
                </c:pt>
                <c:pt idx="367">
                  <c:v>-5.0711409266885079</c:v>
                </c:pt>
                <c:pt idx="368">
                  <c:v>-5.0767198080896163</c:v>
                </c:pt>
                <c:pt idx="369">
                  <c:v>-5.0822987088909173</c:v>
                </c:pt>
                <c:pt idx="370">
                  <c:v>-5.0878776290918299</c:v>
                </c:pt>
                <c:pt idx="371">
                  <c:v>-5.0934565686917752</c:v>
                </c:pt>
                <c:pt idx="372">
                  <c:v>-5.0990355276901722</c:v>
                </c:pt>
                <c:pt idx="373">
                  <c:v>-5.104614506086441</c:v>
                </c:pt>
                <c:pt idx="374">
                  <c:v>-5.1101935038800015</c:v>
                </c:pt>
                <c:pt idx="375">
                  <c:v>-5.1157725210702738</c:v>
                </c:pt>
                <c:pt idx="376">
                  <c:v>-5.1213515576566779</c:v>
                </c:pt>
                <c:pt idx="377">
                  <c:v>-5.1269306136386339</c:v>
                </c:pt>
                <c:pt idx="378">
                  <c:v>-5.1325096890155617</c:v>
                </c:pt>
                <c:pt idx="379">
                  <c:v>-5.1380887837868805</c:v>
                </c:pt>
                <c:pt idx="380">
                  <c:v>-5.1436678979520112</c:v>
                </c:pt>
                <c:pt idx="381">
                  <c:v>-5.1492470315103738</c:v>
                </c:pt>
                <c:pt idx="382">
                  <c:v>-5.1548261844613874</c:v>
                </c:pt>
                <c:pt idx="383">
                  <c:v>-5.160405356804473</c:v>
                </c:pt>
                <c:pt idx="384">
                  <c:v>-5.1659845485390505</c:v>
                </c:pt>
                <c:pt idx="385">
                  <c:v>-5.1715637596645392</c:v>
                </c:pt>
                <c:pt idx="386">
                  <c:v>-5.1771429901803598</c:v>
                </c:pt>
                <c:pt idx="387">
                  <c:v>-5.1827222400859325</c:v>
                </c:pt>
                <c:pt idx="388">
                  <c:v>-5.1883015093806772</c:v>
                </c:pt>
                <c:pt idx="389">
                  <c:v>-5.193880798064014</c:v>
                </c:pt>
                <c:pt idx="390">
                  <c:v>-5.1994601061353629</c:v>
                </c:pt>
                <c:pt idx="391">
                  <c:v>-5.2050394335941448</c:v>
                </c:pt>
                <c:pt idx="392">
                  <c:v>-5.2106187804397788</c:v>
                </c:pt>
                <c:pt idx="393">
                  <c:v>-5.2161981466716858</c:v>
                </c:pt>
                <c:pt idx="394">
                  <c:v>-5.2217775322892859</c:v>
                </c:pt>
                <c:pt idx="395">
                  <c:v>-5.227356937291999</c:v>
                </c:pt>
                <c:pt idx="396">
                  <c:v>-5.2329363616792453</c:v>
                </c:pt>
                <c:pt idx="397">
                  <c:v>-5.2385158054504446</c:v>
                </c:pt>
                <c:pt idx="398">
                  <c:v>-5.244095268605018</c:v>
                </c:pt>
                <c:pt idx="399">
                  <c:v>-5.2496747511423854</c:v>
                </c:pt>
                <c:pt idx="400">
                  <c:v>-5.2552542530619668</c:v>
                </c:pt>
                <c:pt idx="401">
                  <c:v>-5.2608337743631832</c:v>
                </c:pt>
                <c:pt idx="402">
                  <c:v>-5.2664133150454546</c:v>
                </c:pt>
                <c:pt idx="403">
                  <c:v>-5.271992875108201</c:v>
                </c:pt>
                <c:pt idx="404">
                  <c:v>-5.2775724545508425</c:v>
                </c:pt>
                <c:pt idx="405">
                  <c:v>-5.2831520533727998</c:v>
                </c:pt>
                <c:pt idx="406">
                  <c:v>-5.2887316715734931</c:v>
                </c:pt>
                <c:pt idx="407">
                  <c:v>-5.2943113091523433</c:v>
                </c:pt>
                <c:pt idx="408">
                  <c:v>-5.2998909661087703</c:v>
                </c:pt>
                <c:pt idx="409">
                  <c:v>-5.3054706424421942</c:v>
                </c:pt>
                <c:pt idx="410">
                  <c:v>-5.311050338152036</c:v>
                </c:pt>
                <c:pt idx="411">
                  <c:v>-5.3166300532377155</c:v>
                </c:pt>
                <c:pt idx="412">
                  <c:v>-5.3222097876986538</c:v>
                </c:pt>
                <c:pt idx="413">
                  <c:v>-5.3277895415342709</c:v>
                </c:pt>
                <c:pt idx="414">
                  <c:v>-5.3333693147439876</c:v>
                </c:pt>
                <c:pt idx="415">
                  <c:v>-5.3389491073272239</c:v>
                </c:pt>
                <c:pt idx="416">
                  <c:v>-5.3445289192834</c:v>
                </c:pt>
                <c:pt idx="417">
                  <c:v>-5.3501087506119376</c:v>
                </c:pt>
                <c:pt idx="418">
                  <c:v>-5.3556886013122558</c:v>
                </c:pt>
                <c:pt idx="419">
                  <c:v>-5.3612684713837764</c:v>
                </c:pt>
                <c:pt idx="420">
                  <c:v>-5.3668483608259194</c:v>
                </c:pt>
                <c:pt idx="421">
                  <c:v>-5.3724282696381049</c:v>
                </c:pt>
                <c:pt idx="422">
                  <c:v>-5.3780081978197538</c:v>
                </c:pt>
                <c:pt idx="423">
                  <c:v>-5.383588145370287</c:v>
                </c:pt>
                <c:pt idx="424">
                  <c:v>-5.3891681122891244</c:v>
                </c:pt>
                <c:pt idx="425">
                  <c:v>-5.394748098575687</c:v>
                </c:pt>
                <c:pt idx="426">
                  <c:v>-5.4003281042293958</c:v>
                </c:pt>
                <c:pt idx="427">
                  <c:v>-5.4059081292496707</c:v>
                </c:pt>
                <c:pt idx="428">
                  <c:v>-5.4114881736359326</c:v>
                </c:pt>
                <c:pt idx="429">
                  <c:v>-5.4170682373876025</c:v>
                </c:pt>
                <c:pt idx="430">
                  <c:v>-5.4226483205041003</c:v>
                </c:pt>
                <c:pt idx="431">
                  <c:v>-5.4282284229848479</c:v>
                </c:pt>
                <c:pt idx="432">
                  <c:v>-5.4338085448292643</c:v>
                </c:pt>
                <c:pt idx="433">
                  <c:v>-5.4393886860367715</c:v>
                </c:pt>
                <c:pt idx="434">
                  <c:v>-5.4449688466067903</c:v>
                </c:pt>
                <c:pt idx="435">
                  <c:v>-5.4505490265387406</c:v>
                </c:pt>
                <c:pt idx="436">
                  <c:v>-5.4561292258320435</c:v>
                </c:pt>
                <c:pt idx="437">
                  <c:v>-5.4617094444861198</c:v>
                </c:pt>
                <c:pt idx="438">
                  <c:v>-5.4672896825003905</c:v>
                </c:pt>
                <c:pt idx="439">
                  <c:v>-5.4728699398742764</c:v>
                </c:pt>
                <c:pt idx="440">
                  <c:v>-5.4784502166071976</c:v>
                </c:pt>
                <c:pt idx="441">
                  <c:v>-5.4840305126985758</c:v>
                </c:pt>
                <c:pt idx="442">
                  <c:v>-5.4896108281478311</c:v>
                </c:pt>
                <c:pt idx="443">
                  <c:v>-5.4951911629543844</c:v>
                </c:pt>
                <c:pt idx="444">
                  <c:v>-5.5007715171176566</c:v>
                </c:pt>
                <c:pt idx="445">
                  <c:v>-5.5063518906370694</c:v>
                </c:pt>
                <c:pt idx="446">
                  <c:v>-5.511932283512043</c:v>
                </c:pt>
                <c:pt idx="447">
                  <c:v>-5.5175126957419982</c:v>
                </c:pt>
                <c:pt idx="448">
                  <c:v>-5.5230931273263559</c:v>
                </c:pt>
                <c:pt idx="449">
                  <c:v>-5.5286735782645371</c:v>
                </c:pt>
                <c:pt idx="450">
                  <c:v>-5.5342540485559626</c:v>
                </c:pt>
                <c:pt idx="451">
                  <c:v>-5.5398345382000533</c:v>
                </c:pt>
                <c:pt idx="452">
                  <c:v>-5.5454150471962311</c:v>
                </c:pt>
                <c:pt idx="453">
                  <c:v>-5.550995575543916</c:v>
                </c:pt>
                <c:pt idx="454">
                  <c:v>-5.5565761232425288</c:v>
                </c:pt>
                <c:pt idx="455">
                  <c:v>-5.5621566902914914</c:v>
                </c:pt>
                <c:pt idx="456">
                  <c:v>-5.5677372766902247</c:v>
                </c:pt>
                <c:pt idx="457">
                  <c:v>-5.5733178824381486</c:v>
                </c:pt>
                <c:pt idx="458">
                  <c:v>-5.5788985075346851</c:v>
                </c:pt>
                <c:pt idx="459">
                  <c:v>-5.5844791519792549</c:v>
                </c:pt>
                <c:pt idx="460">
                  <c:v>-5.59005981577128</c:v>
                </c:pt>
                <c:pt idx="461">
                  <c:v>-5.5956404989101802</c:v>
                </c:pt>
                <c:pt idx="462">
                  <c:v>-5.6012212013953775</c:v>
                </c:pt>
                <c:pt idx="463">
                  <c:v>-5.6068019232262927</c:v>
                </c:pt>
                <c:pt idx="464">
                  <c:v>-5.6123826644023467</c:v>
                </c:pt>
                <c:pt idx="465">
                  <c:v>-5.6179634249229604</c:v>
                </c:pt>
                <c:pt idx="466">
                  <c:v>-5.6235442047875557</c:v>
                </c:pt>
                <c:pt idx="467">
                  <c:v>-5.6291250039955534</c:v>
                </c:pt>
                <c:pt idx="468">
                  <c:v>-5.6347058225463744</c:v>
                </c:pt>
                <c:pt idx="469">
                  <c:v>-5.6402866604394397</c:v>
                </c:pt>
                <c:pt idx="470">
                  <c:v>-5.6458675176741711</c:v>
                </c:pt>
                <c:pt idx="471">
                  <c:v>-5.6514483942499902</c:v>
                </c:pt>
                <c:pt idx="472">
                  <c:v>-5.6570292901663173</c:v>
                </c:pt>
                <c:pt idx="473">
                  <c:v>-5.662610205422574</c:v>
                </c:pt>
                <c:pt idx="474">
                  <c:v>-5.6681911400181813</c:v>
                </c:pt>
                <c:pt idx="475">
                  <c:v>-5.6737720939525609</c:v>
                </c:pt>
                <c:pt idx="476">
                  <c:v>-5.6793530672251338</c:v>
                </c:pt>
                <c:pt idx="477">
                  <c:v>-5.6849340598353217</c:v>
                </c:pt>
                <c:pt idx="478">
                  <c:v>-5.6905150717825457</c:v>
                </c:pt>
                <c:pt idx="479">
                  <c:v>-5.6960961030662274</c:v>
                </c:pt>
                <c:pt idx="480">
                  <c:v>-5.7016771536857878</c:v>
                </c:pt>
                <c:pt idx="481">
                  <c:v>-5.7072582236406477</c:v>
                </c:pt>
                <c:pt idx="482">
                  <c:v>-5.7128393129302291</c:v>
                </c:pt>
                <c:pt idx="483">
                  <c:v>-5.7184204215539536</c:v>
                </c:pt>
                <c:pt idx="484">
                  <c:v>-5.7240015495112422</c:v>
                </c:pt>
                <c:pt idx="485">
                  <c:v>-5.7295826968015158</c:v>
                </c:pt>
                <c:pt idx="486">
                  <c:v>-5.7351638634241962</c:v>
                </c:pt>
                <c:pt idx="487">
                  <c:v>-5.7407450493787051</c:v>
                </c:pt>
                <c:pt idx="488">
                  <c:v>-5.7463262546644645</c:v>
                </c:pt>
                <c:pt idx="489">
                  <c:v>-5.7519074792808951</c:v>
                </c:pt>
                <c:pt idx="490">
                  <c:v>-5.7574887232274179</c:v>
                </c:pt>
                <c:pt idx="491">
                  <c:v>-5.7630699865034556</c:v>
                </c:pt>
                <c:pt idx="492">
                  <c:v>-5.7686512691084291</c:v>
                </c:pt>
                <c:pt idx="493">
                  <c:v>-5.7742325710417592</c:v>
                </c:pt>
                <c:pt idx="494">
                  <c:v>-5.7798138923028679</c:v>
                </c:pt>
                <c:pt idx="495">
                  <c:v>-5.7853952328911777</c:v>
                </c:pt>
                <c:pt idx="496">
                  <c:v>-5.7909765928061088</c:v>
                </c:pt>
                <c:pt idx="497">
                  <c:v>-5.7965579720470837</c:v>
                </c:pt>
                <c:pt idx="498">
                  <c:v>-5.8021393706135234</c:v>
                </c:pt>
                <c:pt idx="499">
                  <c:v>-5.8077207885048496</c:v>
                </c:pt>
                <c:pt idx="500">
                  <c:v>-5.8133022257204843</c:v>
                </c:pt>
                <c:pt idx="501">
                  <c:v>-5.8188836822598482</c:v>
                </c:pt>
                <c:pt idx="502">
                  <c:v>-5.8244651581223641</c:v>
                </c:pt>
                <c:pt idx="503">
                  <c:v>-5.8300466533074529</c:v>
                </c:pt>
                <c:pt idx="504">
                  <c:v>-5.8356281678145363</c:v>
                </c:pt>
                <c:pt idx="505">
                  <c:v>-5.8412097016430362</c:v>
                </c:pt>
                <c:pt idx="506">
                  <c:v>-5.8467912547923744</c:v>
                </c:pt>
                <c:pt idx="507">
                  <c:v>-5.8523728272619717</c:v>
                </c:pt>
                <c:pt idx="508">
                  <c:v>-5.8579544190512509</c:v>
                </c:pt>
                <c:pt idx="509">
                  <c:v>-5.8635360301596329</c:v>
                </c:pt>
                <c:pt idx="510">
                  <c:v>-5.8691176605865403</c:v>
                </c:pt>
                <c:pt idx="511">
                  <c:v>-5.874699310331394</c:v>
                </c:pt>
                <c:pt idx="512">
                  <c:v>-5.8802809793936168</c:v>
                </c:pt>
                <c:pt idx="513">
                  <c:v>-5.8858626677726296</c:v>
                </c:pt>
                <c:pt idx="514">
                  <c:v>-5.891444375467854</c:v>
                </c:pt>
                <c:pt idx="515">
                  <c:v>-5.897026102478713</c:v>
                </c:pt>
                <c:pt idx="516">
                  <c:v>-5.9026078488046272</c:v>
                </c:pt>
                <c:pt idx="517">
                  <c:v>-5.9081896144450186</c:v>
                </c:pt>
                <c:pt idx="518">
                  <c:v>-5.9137713993993097</c:v>
                </c:pt>
                <c:pt idx="519">
                  <c:v>-5.9193532036669216</c:v>
                </c:pt>
                <c:pt idx="520">
                  <c:v>-5.9249350272472769</c:v>
                </c:pt>
                <c:pt idx="521">
                  <c:v>-5.9305168701397974</c:v>
                </c:pt>
                <c:pt idx="522">
                  <c:v>-5.9360987323439041</c:v>
                </c:pt>
                <c:pt idx="523">
                  <c:v>-5.9416806138590195</c:v>
                </c:pt>
                <c:pt idx="524">
                  <c:v>-5.9472625146845655</c:v>
                </c:pt>
                <c:pt idx="525">
                  <c:v>-5.9528444348199647</c:v>
                </c:pt>
                <c:pt idx="526">
                  <c:v>-5.9584263742646382</c:v>
                </c:pt>
                <c:pt idx="527">
                  <c:v>-5.9640083330180085</c:v>
                </c:pt>
                <c:pt idx="528">
                  <c:v>-5.9695903110794966</c:v>
                </c:pt>
                <c:pt idx="529">
                  <c:v>-5.9751723084485251</c:v>
                </c:pt>
                <c:pt idx="530">
                  <c:v>-5.9807543251245168</c:v>
                </c:pt>
                <c:pt idx="531">
                  <c:v>-5.9863363611068925</c:v>
                </c:pt>
                <c:pt idx="532">
                  <c:v>-5.9919184163950749</c:v>
                </c:pt>
                <c:pt idx="533">
                  <c:v>-5.9975004909884859</c:v>
                </c:pt>
                <c:pt idx="534">
                  <c:v>-6.0030825848865472</c:v>
                </c:pt>
                <c:pt idx="535">
                  <c:v>-6.0086646980886815</c:v>
                </c:pt>
                <c:pt idx="536">
                  <c:v>-6.0142468305943106</c:v>
                </c:pt>
                <c:pt idx="537">
                  <c:v>-6.0198289824028564</c:v>
                </c:pt>
                <c:pt idx="538">
                  <c:v>-6.0254111535137413</c:v>
                </c:pt>
                <c:pt idx="539">
                  <c:v>-6.0309933439263874</c:v>
                </c:pt>
                <c:pt idx="540">
                  <c:v>-6.0365755536402164</c:v>
                </c:pt>
                <c:pt idx="541">
                  <c:v>-6.0421577826546509</c:v>
                </c:pt>
                <c:pt idx="542">
                  <c:v>-6.0477400309691127</c:v>
                </c:pt>
                <c:pt idx="543">
                  <c:v>-6.0533222985830246</c:v>
                </c:pt>
                <c:pt idx="544">
                  <c:v>-6.0589045854958083</c:v>
                </c:pt>
                <c:pt idx="545">
                  <c:v>-6.0644868917068866</c:v>
                </c:pt>
                <c:pt idx="546">
                  <c:v>-6.0700692172156812</c:v>
                </c:pt>
                <c:pt idx="547">
                  <c:v>-6.0756515620216138</c:v>
                </c:pt>
                <c:pt idx="548">
                  <c:v>-6.0812339261241073</c:v>
                </c:pt>
                <c:pt idx="549">
                  <c:v>-6.0868163095225842</c:v>
                </c:pt>
                <c:pt idx="550">
                  <c:v>-6.0923987122164664</c:v>
                </c:pt>
                <c:pt idx="551">
                  <c:v>-6.0979811342051766</c:v>
                </c:pt>
                <c:pt idx="552">
                  <c:v>-6.1035635754881366</c:v>
                </c:pt>
                <c:pt idx="553">
                  <c:v>-6.1091460360647689</c:v>
                </c:pt>
                <c:pt idx="554">
                  <c:v>-6.1147285159344955</c:v>
                </c:pt>
                <c:pt idx="555">
                  <c:v>-6.120311015096739</c:v>
                </c:pt>
                <c:pt idx="556">
                  <c:v>-6.1258935335509221</c:v>
                </c:pt>
                <c:pt idx="557">
                  <c:v>-6.1314760712964667</c:v>
                </c:pt>
                <c:pt idx="558">
                  <c:v>-6.1370586283327953</c:v>
                </c:pt>
                <c:pt idx="559">
                  <c:v>-6.1426412046593306</c:v>
                </c:pt>
                <c:pt idx="560">
                  <c:v>-6.1482238002754945</c:v>
                </c:pt>
                <c:pt idx="561">
                  <c:v>-6.1538064151807097</c:v>
                </c:pt>
                <c:pt idx="562">
                  <c:v>-6.1593890493743988</c:v>
                </c:pt>
                <c:pt idx="563">
                  <c:v>-6.1649717028559836</c:v>
                </c:pt>
                <c:pt idx="564">
                  <c:v>-6.1705543756248868</c:v>
                </c:pt>
                <c:pt idx="565">
                  <c:v>-6.1761370676805312</c:v>
                </c:pt>
                <c:pt idx="566">
                  <c:v>-6.1817197790223393</c:v>
                </c:pt>
                <c:pt idx="567">
                  <c:v>-6.1873025096497338</c:v>
                </c:pt>
                <c:pt idx="568">
                  <c:v>-6.1928852595621366</c:v>
                </c:pt>
                <c:pt idx="569">
                  <c:v>-6.1984680287589704</c:v>
                </c:pt>
                <c:pt idx="570">
                  <c:v>-6.2040508172396578</c:v>
                </c:pt>
                <c:pt idx="571">
                  <c:v>-6.2096336250036215</c:v>
                </c:pt>
                <c:pt idx="572">
                  <c:v>-6.2152164520502842</c:v>
                </c:pt>
                <c:pt idx="573">
                  <c:v>-6.2207992983790676</c:v>
                </c:pt>
                <c:pt idx="574">
                  <c:v>-6.2263821639893955</c:v>
                </c:pt>
                <c:pt idx="575">
                  <c:v>-6.2319650488806895</c:v>
                </c:pt>
                <c:pt idx="576">
                  <c:v>-6.2375479530523723</c:v>
                </c:pt>
                <c:pt idx="577">
                  <c:v>-6.2431308765038676</c:v>
                </c:pt>
                <c:pt idx="578">
                  <c:v>-6.248713819234597</c:v>
                </c:pt>
                <c:pt idx="579">
                  <c:v>-6.2542967812439834</c:v>
                </c:pt>
                <c:pt idx="580">
                  <c:v>-6.2598797625314493</c:v>
                </c:pt>
                <c:pt idx="581">
                  <c:v>-6.2654627630964175</c:v>
                </c:pt>
                <c:pt idx="582">
                  <c:v>-6.2710457829383115</c:v>
                </c:pt>
                <c:pt idx="583">
                  <c:v>-6.2766288220565531</c:v>
                </c:pt>
                <c:pt idx="584">
                  <c:v>-6.2822118804505651</c:v>
                </c:pt>
                <c:pt idx="585">
                  <c:v>-6.287794958119771</c:v>
                </c:pt>
                <c:pt idx="586">
                  <c:v>-6.2933780550635925</c:v>
                </c:pt>
                <c:pt idx="587">
                  <c:v>-6.2989611712814533</c:v>
                </c:pt>
                <c:pt idx="588">
                  <c:v>-6.3045443067727751</c:v>
                </c:pt>
                <c:pt idx="589">
                  <c:v>-6.3101274615369816</c:v>
                </c:pt>
                <c:pt idx="590">
                  <c:v>-6.3157106355734953</c:v>
                </c:pt>
                <c:pt idx="591">
                  <c:v>-6.3212938288817391</c:v>
                </c:pt>
                <c:pt idx="592">
                  <c:v>-6.3268770414611355</c:v>
                </c:pt>
                <c:pt idx="593">
                  <c:v>-6.3324602733111073</c:v>
                </c:pt>
                <c:pt idx="594">
                  <c:v>-6.338043524431078</c:v>
                </c:pt>
                <c:pt idx="595">
                  <c:v>-6.3436267948204703</c:v>
                </c:pt>
                <c:pt idx="596">
                  <c:v>-6.3492100844787069</c:v>
                </c:pt>
                <c:pt idx="597">
                  <c:v>-6.3547933934052105</c:v>
                </c:pt>
                <c:pt idx="598">
                  <c:v>-6.3603767215994047</c:v>
                </c:pt>
                <c:pt idx="599">
                  <c:v>-6.3659600690607121</c:v>
                </c:pt>
                <c:pt idx="600">
                  <c:v>-6.3715434357885554</c:v>
                </c:pt>
                <c:pt idx="601">
                  <c:v>-6.3771268217823573</c:v>
                </c:pt>
                <c:pt idx="602">
                  <c:v>-6.3827102270415415</c:v>
                </c:pt>
                <c:pt idx="603">
                  <c:v>-6.3882936515655304</c:v>
                </c:pt>
                <c:pt idx="604">
                  <c:v>-6.3938770953537469</c:v>
                </c:pt>
                <c:pt idx="605">
                  <c:v>-6.3994605584056146</c:v>
                </c:pt>
                <c:pt idx="606">
                  <c:v>-6.405044040720556</c:v>
                </c:pt>
                <c:pt idx="607">
                  <c:v>-6.4106275422979948</c:v>
                </c:pt>
                <c:pt idx="608">
                  <c:v>-6.4162110631373537</c:v>
                </c:pt>
                <c:pt idx="609">
                  <c:v>-6.4217946032380553</c:v>
                </c:pt>
                <c:pt idx="610">
                  <c:v>-6.4273781625995232</c:v>
                </c:pt>
                <c:pt idx="611">
                  <c:v>-6.4329617412211801</c:v>
                </c:pt>
                <c:pt idx="612">
                  <c:v>-6.4385453391024496</c:v>
                </c:pt>
                <c:pt idx="613">
                  <c:v>-6.4441289562427544</c:v>
                </c:pt>
                <c:pt idx="614">
                  <c:v>-6.449712592641518</c:v>
                </c:pt>
                <c:pt idx="615">
                  <c:v>-6.4552962482981631</c:v>
                </c:pt>
                <c:pt idx="616">
                  <c:v>-6.4608799232121132</c:v>
                </c:pt>
                <c:pt idx="617">
                  <c:v>-6.4664636173827912</c:v>
                </c:pt>
                <c:pt idx="618">
                  <c:v>-6.4720473308096205</c:v>
                </c:pt>
                <c:pt idx="619">
                  <c:v>-6.4776310634920247</c:v>
                </c:pt>
                <c:pt idx="620">
                  <c:v>-6.4832148154294265</c:v>
                </c:pt>
                <c:pt idx="621">
                  <c:v>-6.4887985866212485</c:v>
                </c:pt>
                <c:pt idx="622">
                  <c:v>-6.4943823770669153</c:v>
                </c:pt>
                <c:pt idx="623">
                  <c:v>-6.4999661867658487</c:v>
                </c:pt>
                <c:pt idx="624">
                  <c:v>-6.505550015717473</c:v>
                </c:pt>
                <c:pt idx="625">
                  <c:v>-6.5111338639212111</c:v>
                </c:pt>
                <c:pt idx="626">
                  <c:v>-6.5167177313764864</c:v>
                </c:pt>
                <c:pt idx="627">
                  <c:v>-6.5223016180827225</c:v>
                </c:pt>
                <c:pt idx="628">
                  <c:v>-6.5278855240393421</c:v>
                </c:pt>
                <c:pt idx="629">
                  <c:v>-6.5334694492457688</c:v>
                </c:pt>
                <c:pt idx="630">
                  <c:v>-6.5390533937014261</c:v>
                </c:pt>
                <c:pt idx="631">
                  <c:v>-6.5446373574057368</c:v>
                </c:pt>
                <c:pt idx="632">
                  <c:v>-6.5502213403581253</c:v>
                </c:pt>
                <c:pt idx="633">
                  <c:v>-6.5558053425580143</c:v>
                </c:pt>
                <c:pt idx="634">
                  <c:v>-6.5613893640048273</c:v>
                </c:pt>
                <c:pt idx="635">
                  <c:v>-6.5669734046979871</c:v>
                </c:pt>
                <c:pt idx="636">
                  <c:v>-6.572557464636918</c:v>
                </c:pt>
                <c:pt idx="637">
                  <c:v>-6.5781415438210429</c:v>
                </c:pt>
                <c:pt idx="638">
                  <c:v>-6.5837256422497861</c:v>
                </c:pt>
                <c:pt idx="639">
                  <c:v>-6.5893097599225703</c:v>
                </c:pt>
                <c:pt idx="640">
                  <c:v>-6.5948938968388191</c:v>
                </c:pt>
                <c:pt idx="641">
                  <c:v>-6.6004780529979561</c:v>
                </c:pt>
                <c:pt idx="642">
                  <c:v>-6.6060622283994039</c:v>
                </c:pt>
                <c:pt idx="643">
                  <c:v>-6.6116464230425871</c:v>
                </c:pt>
                <c:pt idx="644">
                  <c:v>-6.6172306369269291</c:v>
                </c:pt>
                <c:pt idx="645">
                  <c:v>-6.6228148700518537</c:v>
                </c:pt>
                <c:pt idx="646">
                  <c:v>-6.6283991224167833</c:v>
                </c:pt>
                <c:pt idx="647">
                  <c:v>-6.6339833940211426</c:v>
                </c:pt>
                <c:pt idx="648">
                  <c:v>-6.639567684864355</c:v>
                </c:pt>
                <c:pt idx="649">
                  <c:v>-6.6451519949458433</c:v>
                </c:pt>
                <c:pt idx="650">
                  <c:v>-6.6507363242650319</c:v>
                </c:pt>
                <c:pt idx="651">
                  <c:v>-6.6563206728213444</c:v>
                </c:pt>
                <c:pt idx="652">
                  <c:v>-6.6619050406142044</c:v>
                </c:pt>
                <c:pt idx="653">
                  <c:v>-6.6674894276430354</c:v>
                </c:pt>
                <c:pt idx="654">
                  <c:v>-6.6730738339072611</c:v>
                </c:pt>
                <c:pt idx="655">
                  <c:v>-6.6786582594063049</c:v>
                </c:pt>
                <c:pt idx="656">
                  <c:v>-6.6842427041395904</c:v>
                </c:pt>
                <c:pt idx="657">
                  <c:v>-6.6898271681065422</c:v>
                </c:pt>
                <c:pt idx="658">
                  <c:v>-6.6954116513065829</c:v>
                </c:pt>
                <c:pt idx="659">
                  <c:v>-6.7009961537391369</c:v>
                </c:pt>
                <c:pt idx="660">
                  <c:v>-6.7065806754036279</c:v>
                </c:pt>
                <c:pt idx="661">
                  <c:v>-6.7121652162994794</c:v>
                </c:pt>
                <c:pt idx="662">
                  <c:v>-6.7177497764261158</c:v>
                </c:pt>
                <c:pt idx="663">
                  <c:v>-6.7233343557829599</c:v>
                </c:pt>
                <c:pt idx="664">
                  <c:v>-6.7289189543694361</c:v>
                </c:pt>
                <c:pt idx="665">
                  <c:v>-6.7345035721849689</c:v>
                </c:pt>
                <c:pt idx="666">
                  <c:v>-6.7400882092289809</c:v>
                </c:pt>
                <c:pt idx="667">
                  <c:v>-6.7456728655008966</c:v>
                </c:pt>
                <c:pt idx="668">
                  <c:v>-6.7512575410001396</c:v>
                </c:pt>
                <c:pt idx="669">
                  <c:v>-6.7568422357261335</c:v>
                </c:pt>
                <c:pt idx="670">
                  <c:v>-6.7624269496783027</c:v>
                </c:pt>
                <c:pt idx="671">
                  <c:v>-6.7680116828560708</c:v>
                </c:pt>
                <c:pt idx="672">
                  <c:v>-6.7735964352588622</c:v>
                </c:pt>
                <c:pt idx="673">
                  <c:v>-6.7791812068860997</c:v>
                </c:pt>
                <c:pt idx="674">
                  <c:v>-6.7847659977372086</c:v>
                </c:pt>
                <c:pt idx="675">
                  <c:v>-6.7903508078116115</c:v>
                </c:pt>
                <c:pt idx="676">
                  <c:v>-6.7959356371087329</c:v>
                </c:pt>
                <c:pt idx="677">
                  <c:v>-6.8015204856279974</c:v>
                </c:pt>
                <c:pt idx="678">
                  <c:v>-6.8071053533688284</c:v>
                </c:pt>
                <c:pt idx="679">
                  <c:v>-6.8126902403306504</c:v>
                </c:pt>
                <c:pt idx="680">
                  <c:v>-6.818275146512887</c:v>
                </c:pt>
                <c:pt idx="681">
                  <c:v>-6.8238600719149618</c:v>
                </c:pt>
                <c:pt idx="682">
                  <c:v>-6.8294450165362992</c:v>
                </c:pt>
                <c:pt idx="683">
                  <c:v>-6.8350299803763237</c:v>
                </c:pt>
                <c:pt idx="684">
                  <c:v>-6.8406149634344589</c:v>
                </c:pt>
                <c:pt idx="685">
                  <c:v>-6.8461999657101282</c:v>
                </c:pt>
                <c:pt idx="686">
                  <c:v>-6.8517849872027572</c:v>
                </c:pt>
                <c:pt idx="687">
                  <c:v>-6.8573700279117693</c:v>
                </c:pt>
                <c:pt idx="688">
                  <c:v>-6.8629550878365881</c:v>
                </c:pt>
                <c:pt idx="689">
                  <c:v>-6.8685401669766382</c:v>
                </c:pt>
                <c:pt idx="690">
                  <c:v>-6.8741252653313438</c:v>
                </c:pt>
                <c:pt idx="691">
                  <c:v>-6.8797103829001287</c:v>
                </c:pt>
                <c:pt idx="692">
                  <c:v>-6.8852955196824173</c:v>
                </c:pt>
                <c:pt idx="693">
                  <c:v>-6.890880675677634</c:v>
                </c:pt>
                <c:pt idx="694">
                  <c:v>-6.8964658508852033</c:v>
                </c:pt>
                <c:pt idx="695">
                  <c:v>-6.9020510453045487</c:v>
                </c:pt>
                <c:pt idx="696">
                  <c:v>-6.9076362589350948</c:v>
                </c:pt>
                <c:pt idx="697">
                  <c:v>-6.9132214917762651</c:v>
                </c:pt>
                <c:pt idx="698">
                  <c:v>-6.918806743827485</c:v>
                </c:pt>
                <c:pt idx="699">
                  <c:v>-6.9243920150881779</c:v>
                </c:pt>
                <c:pt idx="700">
                  <c:v>-6.9299773055577685</c:v>
                </c:pt>
                <c:pt idx="701">
                  <c:v>-6.9355626152356811</c:v>
                </c:pt>
                <c:pt idx="702">
                  <c:v>-6.9411479441213402</c:v>
                </c:pt>
                <c:pt idx="703">
                  <c:v>-6.9467332922141694</c:v>
                </c:pt>
                <c:pt idx="704">
                  <c:v>-6.9523186595135931</c:v>
                </c:pt>
                <c:pt idx="705">
                  <c:v>-6.9579040460190367</c:v>
                </c:pt>
                <c:pt idx="706">
                  <c:v>-6.9634894517299237</c:v>
                </c:pt>
                <c:pt idx="707">
                  <c:v>-6.9690748766456787</c:v>
                </c:pt>
                <c:pt idx="708">
                  <c:v>-6.9746603207657261</c:v>
                </c:pt>
                <c:pt idx="709">
                  <c:v>-6.9802457840894894</c:v>
                </c:pt>
                <c:pt idx="710">
                  <c:v>-6.985831266616394</c:v>
                </c:pt>
                <c:pt idx="711">
                  <c:v>-6.9914167683458643</c:v>
                </c:pt>
                <c:pt idx="712">
                  <c:v>-6.9970022892773249</c:v>
                </c:pt>
                <c:pt idx="713">
                  <c:v>-7.0025878294101993</c:v>
                </c:pt>
                <c:pt idx="714">
                  <c:v>-7.0081733887439128</c:v>
                </c:pt>
                <c:pt idx="715">
                  <c:v>-7.0137589672778899</c:v>
                </c:pt>
                <c:pt idx="716">
                  <c:v>-7.0193445650115542</c:v>
                </c:pt>
                <c:pt idx="717">
                  <c:v>-7.0249301819443311</c:v>
                </c:pt>
                <c:pt idx="718">
                  <c:v>-7.0305158180756449</c:v>
                </c:pt>
                <c:pt idx="719">
                  <c:v>-7.0361014734049201</c:v>
                </c:pt>
                <c:pt idx="720">
                  <c:v>-7.0416871479315812</c:v>
                </c:pt>
                <c:pt idx="721">
                  <c:v>-7.0472728416550527</c:v>
                </c:pt>
                <c:pt idx="722">
                  <c:v>-7.05285855457476</c:v>
                </c:pt>
                <c:pt idx="723">
                  <c:v>-7.0584442866901265</c:v>
                </c:pt>
                <c:pt idx="724">
                  <c:v>-7.0640300380005776</c:v>
                </c:pt>
                <c:pt idx="725">
                  <c:v>-7.0696158085055369</c:v>
                </c:pt>
                <c:pt idx="726">
                  <c:v>-7.0752015982044298</c:v>
                </c:pt>
                <c:pt idx="727">
                  <c:v>-7.0807874070966808</c:v>
                </c:pt>
                <c:pt idx="728">
                  <c:v>-7.086373235181715</c:v>
                </c:pt>
                <c:pt idx="729">
                  <c:v>-7.0919590824589562</c:v>
                </c:pt>
                <c:pt idx="730">
                  <c:v>-7.0975449489278297</c:v>
                </c:pt>
                <c:pt idx="731">
                  <c:v>-7.10313083458776</c:v>
                </c:pt>
                <c:pt idx="732">
                  <c:v>-7.1087167394381723</c:v>
                </c:pt>
                <c:pt idx="733">
                  <c:v>-7.1143026634784903</c:v>
                </c:pt>
                <c:pt idx="734">
                  <c:v>-7.1198886067081393</c:v>
                </c:pt>
                <c:pt idx="735">
                  <c:v>-7.1254745691265438</c:v>
                </c:pt>
                <c:pt idx="736">
                  <c:v>-7.1310605507331291</c:v>
                </c:pt>
                <c:pt idx="737">
                  <c:v>-7.1366465515273196</c:v>
                </c:pt>
                <c:pt idx="738">
                  <c:v>-7.14223257150854</c:v>
                </c:pt>
                <c:pt idx="739">
                  <c:v>-7.1478186106762154</c:v>
                </c:pt>
                <c:pt idx="740">
                  <c:v>-7.1534046690297703</c:v>
                </c:pt>
                <c:pt idx="741">
                  <c:v>-7.1589907465686302</c:v>
                </c:pt>
                <c:pt idx="742">
                  <c:v>-7.1645768432922186</c:v>
                </c:pt>
                <c:pt idx="743">
                  <c:v>-7.1701629591999616</c:v>
                </c:pt>
                <c:pt idx="744">
                  <c:v>-7.1757490942912838</c:v>
                </c:pt>
                <c:pt idx="745">
                  <c:v>-7.1813352485656097</c:v>
                </c:pt>
                <c:pt idx="746">
                  <c:v>-7.1869214220223645</c:v>
                </c:pt>
                <c:pt idx="747">
                  <c:v>-7.1925076146609728</c:v>
                </c:pt>
                <c:pt idx="748">
                  <c:v>-7.1980938264808598</c:v>
                </c:pt>
                <c:pt idx="749">
                  <c:v>-7.2036800574814501</c:v>
                </c:pt>
                <c:pt idx="750">
                  <c:v>-7.209266307662169</c:v>
                </c:pt>
                <c:pt idx="751">
                  <c:v>-7.214852577022441</c:v>
                </c:pt>
                <c:pt idx="752">
                  <c:v>-7.2204388655616913</c:v>
                </c:pt>
                <c:pt idx="753">
                  <c:v>-7.2260251732793455</c:v>
                </c:pt>
                <c:pt idx="754">
                  <c:v>-7.2316115001748278</c:v>
                </c:pt>
                <c:pt idx="755">
                  <c:v>-7.2371978462475637</c:v>
                </c:pt>
                <c:pt idx="756">
                  <c:v>-7.2427842114969776</c:v>
                </c:pt>
                <c:pt idx="757">
                  <c:v>-7.2483705959224958</c:v>
                </c:pt>
                <c:pt idx="758">
                  <c:v>-7.2539569995235418</c:v>
                </c:pt>
                <c:pt idx="759">
                  <c:v>-7.2595434222995419</c:v>
                </c:pt>
                <c:pt idx="760">
                  <c:v>-7.2651298642499205</c:v>
                </c:pt>
                <c:pt idx="761">
                  <c:v>-7.270716325374103</c:v>
                </c:pt>
                <c:pt idx="762">
                  <c:v>-7.2763028056715138</c:v>
                </c:pt>
                <c:pt idx="763">
                  <c:v>-7.2818893051415792</c:v>
                </c:pt>
                <c:pt idx="764">
                  <c:v>-7.2874758237837236</c:v>
                </c:pt>
                <c:pt idx="765">
                  <c:v>-7.2930623615973724</c:v>
                </c:pt>
                <c:pt idx="766">
                  <c:v>-7.2986489185819501</c:v>
                </c:pt>
                <c:pt idx="767">
                  <c:v>-7.3042354947368828</c:v>
                </c:pt>
                <c:pt idx="768">
                  <c:v>-7.3098220900615951</c:v>
                </c:pt>
                <c:pt idx="769">
                  <c:v>-7.3154087045555123</c:v>
                </c:pt>
                <c:pt idx="770">
                  <c:v>-7.3209953382180597</c:v>
                </c:pt>
                <c:pt idx="771">
                  <c:v>-7.3265819910486627</c:v>
                </c:pt>
                <c:pt idx="772">
                  <c:v>-7.3321686630467457</c:v>
                </c:pt>
                <c:pt idx="773">
                  <c:v>-7.3377553542117351</c:v>
                </c:pt>
                <c:pt idx="774">
                  <c:v>-7.3433420645430552</c:v>
                </c:pt>
                <c:pt idx="775">
                  <c:v>-7.3489287940401322</c:v>
                </c:pt>
                <c:pt idx="776">
                  <c:v>-7.3545155427023907</c:v>
                </c:pt>
                <c:pt idx="777">
                  <c:v>-7.360102310529256</c:v>
                </c:pt>
                <c:pt idx="778">
                  <c:v>-7.3656890975201543</c:v>
                </c:pt>
                <c:pt idx="779">
                  <c:v>-7.3712759036745101</c:v>
                </c:pt>
                <c:pt idx="780">
                  <c:v>-7.3768627289917488</c:v>
                </c:pt>
                <c:pt idx="781">
                  <c:v>-7.3824495734712956</c:v>
                </c:pt>
                <c:pt idx="782">
                  <c:v>-7.3880364371125768</c:v>
                </c:pt>
                <c:pt idx="783">
                  <c:v>-7.393623319915017</c:v>
                </c:pt>
                <c:pt idx="784">
                  <c:v>-7.3992102218780413</c:v>
                </c:pt>
                <c:pt idx="785">
                  <c:v>-7.4047971430010762</c:v>
                </c:pt>
                <c:pt idx="786">
                  <c:v>-7.4103840832835459</c:v>
                </c:pt>
                <c:pt idx="787">
                  <c:v>-7.4159710427248768</c:v>
                </c:pt>
                <c:pt idx="788">
                  <c:v>-7.4215580213244943</c:v>
                </c:pt>
                <c:pt idx="789">
                  <c:v>-7.4271450190818227</c:v>
                </c:pt>
                <c:pt idx="790">
                  <c:v>-7.4327320359962883</c:v>
                </c:pt>
                <c:pt idx="791">
                  <c:v>-7.4383190720673174</c:v>
                </c:pt>
                <c:pt idx="792">
                  <c:v>-7.4439061272943343</c:v>
                </c:pt>
                <c:pt idx="793">
                  <c:v>-7.4494932016767645</c:v>
                </c:pt>
                <c:pt idx="794">
                  <c:v>-7.4550802952140343</c:v>
                </c:pt>
                <c:pt idx="795">
                  <c:v>-7.4606674079055688</c:v>
                </c:pt>
                <c:pt idx="796">
                  <c:v>-7.4662545397507936</c:v>
                </c:pt>
                <c:pt idx="797">
                  <c:v>-7.4718416907491347</c:v>
                </c:pt>
                <c:pt idx="798">
                  <c:v>-7.4774288609000177</c:v>
                </c:pt>
                <c:pt idx="799">
                  <c:v>-7.4830160502028678</c:v>
                </c:pt>
                <c:pt idx="800">
                  <c:v>-7.4886032586571103</c:v>
                </c:pt>
                <c:pt idx="801">
                  <c:v>-7.4941904862621707</c:v>
                </c:pt>
                <c:pt idx="802">
                  <c:v>-7.4997777330174751</c:v>
                </c:pt>
                <c:pt idx="803">
                  <c:v>-7.5053649989224498</c:v>
                </c:pt>
                <c:pt idx="804">
                  <c:v>-7.5109522839765193</c:v>
                </c:pt>
                <c:pt idx="805">
                  <c:v>-7.5165395881791097</c:v>
                </c:pt>
                <c:pt idx="806">
                  <c:v>-7.5221269115296474</c:v>
                </c:pt>
                <c:pt idx="807">
                  <c:v>-7.5277142540275568</c:v>
                </c:pt>
                <c:pt idx="808">
                  <c:v>-7.533301615672265</c:v>
                </c:pt>
                <c:pt idx="809">
                  <c:v>-7.5388889964631964</c:v>
                </c:pt>
                <c:pt idx="810">
                  <c:v>-7.5444763963997774</c:v>
                </c:pt>
                <c:pt idx="811">
                  <c:v>-7.5500638154814341</c:v>
                </c:pt>
                <c:pt idx="812">
                  <c:v>-7.5556512537075919</c:v>
                </c:pt>
                <c:pt idx="813">
                  <c:v>-7.5612387110776762</c:v>
                </c:pt>
                <c:pt idx="814">
                  <c:v>-7.5668261875911131</c:v>
                </c:pt>
                <c:pt idx="815">
                  <c:v>-7.572413683247329</c:v>
                </c:pt>
                <c:pt idx="816">
                  <c:v>-7.5780011980457491</c:v>
                </c:pt>
                <c:pt idx="817">
                  <c:v>-7.5835887319857997</c:v>
                </c:pt>
                <c:pt idx="818">
                  <c:v>-7.5891762850669062</c:v>
                </c:pt>
                <c:pt idx="819">
                  <c:v>-7.5947638572884948</c:v>
                </c:pt>
                <c:pt idx="820">
                  <c:v>-7.6003514486499908</c:v>
                </c:pt>
                <c:pt idx="821">
                  <c:v>-7.6059390591508205</c:v>
                </c:pt>
                <c:pt idx="822">
                  <c:v>-7.6115266887904101</c:v>
                </c:pt>
                <c:pt idx="823">
                  <c:v>-7.6171143375681849</c:v>
                </c:pt>
                <c:pt idx="824">
                  <c:v>-7.6227020054835712</c:v>
                </c:pt>
                <c:pt idx="825">
                  <c:v>-7.6282896925359944</c:v>
                </c:pt>
                <c:pt idx="826">
                  <c:v>-7.6338773987248816</c:v>
                </c:pt>
                <c:pt idx="827">
                  <c:v>-7.6394651240496581</c:v>
                </c:pt>
                <c:pt idx="828">
                  <c:v>-7.6450528685097492</c:v>
                </c:pt>
                <c:pt idx="829">
                  <c:v>-7.6506406321045821</c:v>
                </c:pt>
                <c:pt idx="830">
                  <c:v>-7.6562284148335822</c:v>
                </c:pt>
                <c:pt idx="831">
                  <c:v>-7.6618162166961756</c:v>
                </c:pt>
                <c:pt idx="832">
                  <c:v>-7.6674040376917887</c:v>
                </c:pt>
                <c:pt idx="833">
                  <c:v>-7.6729918778198467</c:v>
                </c:pt>
                <c:pt idx="834">
                  <c:v>-7.6785797370797759</c:v>
                </c:pt>
                <c:pt idx="835">
                  <c:v>-7.6841676154710035</c:v>
                </c:pt>
                <c:pt idx="836">
                  <c:v>-7.6897555129929547</c:v>
                </c:pt>
                <c:pt idx="837">
                  <c:v>-7.6953434296450549</c:v>
                </c:pt>
                <c:pt idx="838">
                  <c:v>-7.7009313654267313</c:v>
                </c:pt>
                <c:pt idx="839">
                  <c:v>-7.7065193203374101</c:v>
                </c:pt>
                <c:pt idx="840">
                  <c:v>-7.7121072943765165</c:v>
                </c:pt>
                <c:pt idx="841">
                  <c:v>-7.7176952875434779</c:v>
                </c:pt>
                <c:pt idx="842">
                  <c:v>-7.7232832998377194</c:v>
                </c:pt>
                <c:pt idx="843">
                  <c:v>-7.7288713312586674</c:v>
                </c:pt>
                <c:pt idx="844">
                  <c:v>-7.7344593818057481</c:v>
                </c:pt>
                <c:pt idx="845">
                  <c:v>-7.7400474514783877</c:v>
                </c:pt>
                <c:pt idx="846">
                  <c:v>-7.7456355402760133</c:v>
                </c:pt>
                <c:pt idx="847">
                  <c:v>-7.7512236481980503</c:v>
                </c:pt>
                <c:pt idx="848">
                  <c:v>-7.756811775243925</c:v>
                </c:pt>
                <c:pt idx="849">
                  <c:v>-7.7623999214130635</c:v>
                </c:pt>
                <c:pt idx="850">
                  <c:v>-7.767988086704892</c:v>
                </c:pt>
                <c:pt idx="851">
                  <c:v>-7.7735762711188379</c:v>
                </c:pt>
                <c:pt idx="852">
                  <c:v>-7.7791644746543263</c:v>
                </c:pt>
                <c:pt idx="853">
                  <c:v>-7.7847526973107843</c:v>
                </c:pt>
                <c:pt idx="854">
                  <c:v>-7.7903409390876375</c:v>
                </c:pt>
                <c:pt idx="855">
                  <c:v>-7.7959291999843128</c:v>
                </c:pt>
                <c:pt idx="856">
                  <c:v>-7.8015174800002365</c:v>
                </c:pt>
                <c:pt idx="857">
                  <c:v>-7.8071057791348348</c:v>
                </c:pt>
                <c:pt idx="858">
                  <c:v>-7.8126940973875341</c:v>
                </c:pt>
                <c:pt idx="859">
                  <c:v>-7.8182824347577604</c:v>
                </c:pt>
                <c:pt idx="860">
                  <c:v>-7.823870791244941</c:v>
                </c:pt>
                <c:pt idx="861">
                  <c:v>-7.8294591668485021</c:v>
                </c:pt>
                <c:pt idx="862">
                  <c:v>-7.8350475615678699</c:v>
                </c:pt>
                <c:pt idx="863">
                  <c:v>-7.8406359754024706</c:v>
                </c:pt>
                <c:pt idx="864">
                  <c:v>-7.8462244083517314</c:v>
                </c:pt>
                <c:pt idx="865">
                  <c:v>-7.8518128604150776</c:v>
                </c:pt>
                <c:pt idx="866">
                  <c:v>-7.8574013315919364</c:v>
                </c:pt>
                <c:pt idx="867">
                  <c:v>-7.8629898218817349</c:v>
                </c:pt>
                <c:pt idx="868">
                  <c:v>-7.8685783312838984</c:v>
                </c:pt>
                <c:pt idx="869">
                  <c:v>-7.874166859797854</c:v>
                </c:pt>
                <c:pt idx="870">
                  <c:v>-7.8797554074230289</c:v>
                </c:pt>
                <c:pt idx="871">
                  <c:v>-7.8853439741588485</c:v>
                </c:pt>
                <c:pt idx="872">
                  <c:v>-7.8909325600047406</c:v>
                </c:pt>
                <c:pt idx="873">
                  <c:v>-7.8965211649601308</c:v>
                </c:pt>
                <c:pt idx="874">
                  <c:v>-7.9021097890244461</c:v>
                </c:pt>
                <c:pt idx="875">
                  <c:v>-7.9076984321971127</c:v>
                </c:pt>
                <c:pt idx="876">
                  <c:v>-7.9132870944775577</c:v>
                </c:pt>
                <c:pt idx="877">
                  <c:v>-7.9188757758652075</c:v>
                </c:pt>
                <c:pt idx="878">
                  <c:v>-7.9244644763594891</c:v>
                </c:pt>
                <c:pt idx="879">
                  <c:v>-7.9300531959598288</c:v>
                </c:pt>
                <c:pt idx="880">
                  <c:v>-7.9356419346656537</c:v>
                </c:pt>
                <c:pt idx="881">
                  <c:v>-7.94123069247639</c:v>
                </c:pt>
                <c:pt idx="882">
                  <c:v>-7.9468194693914649</c:v>
                </c:pt>
                <c:pt idx="883">
                  <c:v>-7.9524082654103045</c:v>
                </c:pt>
                <c:pt idx="884">
                  <c:v>-7.9579970805323361</c:v>
                </c:pt>
                <c:pt idx="885">
                  <c:v>-7.9635859147569859</c:v>
                </c:pt>
                <c:pt idx="886">
                  <c:v>-7.9691747680836809</c:v>
                </c:pt>
                <c:pt idx="887">
                  <c:v>-7.9747636405118483</c:v>
                </c:pt>
                <c:pt idx="888">
                  <c:v>-7.9803525320409143</c:v>
                </c:pt>
                <c:pt idx="889">
                  <c:v>-7.9859414426703053</c:v>
                </c:pt>
                <c:pt idx="890">
                  <c:v>-7.9915303723994491</c:v>
                </c:pt>
                <c:pt idx="891">
                  <c:v>-7.997119321227772</c:v>
                </c:pt>
                <c:pt idx="892">
                  <c:v>-8.0027082891547003</c:v>
                </c:pt>
                <c:pt idx="893">
                  <c:v>-8.0082972761796629</c:v>
                </c:pt>
                <c:pt idx="894">
                  <c:v>-8.0138862823020851</c:v>
                </c:pt>
                <c:pt idx="895">
                  <c:v>-8.0194753075213931</c:v>
                </c:pt>
                <c:pt idx="896">
                  <c:v>-8.0250643518370151</c:v>
                </c:pt>
                <c:pt idx="897">
                  <c:v>-8.0306534152483771</c:v>
                </c:pt>
                <c:pt idx="898">
                  <c:v>-8.0362424977549072</c:v>
                </c:pt>
                <c:pt idx="899">
                  <c:v>-8.0418315993560316</c:v>
                </c:pt>
                <c:pt idx="900">
                  <c:v>-8.0474207200511767</c:v>
                </c:pt>
                <c:pt idx="901">
                  <c:v>-8.0530098598397704</c:v>
                </c:pt>
                <c:pt idx="902">
                  <c:v>-8.0585990187212388</c:v>
                </c:pt>
                <c:pt idx="903">
                  <c:v>-8.0641881966950102</c:v>
                </c:pt>
                <c:pt idx="904">
                  <c:v>-8.0697773937605106</c:v>
                </c:pt>
                <c:pt idx="905">
                  <c:v>-8.0753666099171664</c:v>
                </c:pt>
                <c:pt idx="906">
                  <c:v>-8.0809558451644055</c:v>
                </c:pt>
                <c:pt idx="907">
                  <c:v>-8.0865450995016559</c:v>
                </c:pt>
                <c:pt idx="908">
                  <c:v>-8.0921343729283421</c:v>
                </c:pt>
                <c:pt idx="909">
                  <c:v>-8.097723665443894</c:v>
                </c:pt>
                <c:pt idx="910">
                  <c:v>-8.1033129770477377</c:v>
                </c:pt>
                <c:pt idx="911">
                  <c:v>-8.1089023077392994</c:v>
                </c:pt>
                <c:pt idx="912">
                  <c:v>-8.1144916575180073</c:v>
                </c:pt>
                <c:pt idx="913">
                  <c:v>-8.1200810263832874</c:v>
                </c:pt>
                <c:pt idx="914">
                  <c:v>-8.1256704143345679</c:v>
                </c:pt>
                <c:pt idx="915">
                  <c:v>-8.131259821371275</c:v>
                </c:pt>
                <c:pt idx="916">
                  <c:v>-8.1368492474928367</c:v>
                </c:pt>
                <c:pt idx="917">
                  <c:v>-8.1424386926986791</c:v>
                </c:pt>
                <c:pt idx="918">
                  <c:v>-8.1480281569882305</c:v>
                </c:pt>
                <c:pt idx="919">
                  <c:v>-8.1536176403609169</c:v>
                </c:pt>
                <c:pt idx="920">
                  <c:v>-8.1592071428161663</c:v>
                </c:pt>
                <c:pt idx="921">
                  <c:v>-8.1647966643534051</c:v>
                </c:pt>
                <c:pt idx="922">
                  <c:v>-8.1703862049720613</c:v>
                </c:pt>
                <c:pt idx="923">
                  <c:v>-8.1759757646715627</c:v>
                </c:pt>
                <c:pt idx="924">
                  <c:v>-8.1815653434513358</c:v>
                </c:pt>
                <c:pt idx="925">
                  <c:v>-8.1871549413108085</c:v>
                </c:pt>
                <c:pt idx="926">
                  <c:v>-8.1927445582494069</c:v>
                </c:pt>
                <c:pt idx="927">
                  <c:v>-8.1983341942665593</c:v>
                </c:pt>
                <c:pt idx="928">
                  <c:v>-8.2039238493616935</c:v>
                </c:pt>
                <c:pt idx="929">
                  <c:v>-8.2095135235342358</c:v>
                </c:pt>
                <c:pt idx="930">
                  <c:v>-8.2151032167836142</c:v>
                </c:pt>
                <c:pt idx="931">
                  <c:v>-8.220692929109255</c:v>
                </c:pt>
                <c:pt idx="932">
                  <c:v>-8.2262826605105879</c:v>
                </c:pt>
                <c:pt idx="933">
                  <c:v>-8.2318724109870374</c:v>
                </c:pt>
                <c:pt idx="934">
                  <c:v>-8.2374621805380333</c:v>
                </c:pt>
                <c:pt idx="935">
                  <c:v>-8.2430519691630018</c:v>
                </c:pt>
                <c:pt idx="936">
                  <c:v>-8.2486417768613691</c:v>
                </c:pt>
                <c:pt idx="937">
                  <c:v>-8.2542316036325651</c:v>
                </c:pt>
                <c:pt idx="938">
                  <c:v>-8.259821449476016</c:v>
                </c:pt>
                <c:pt idx="939">
                  <c:v>-8.2654113143911498</c:v>
                </c:pt>
                <c:pt idx="940">
                  <c:v>-8.2710011983773928</c:v>
                </c:pt>
                <c:pt idx="941">
                  <c:v>-8.2765911014341729</c:v>
                </c:pt>
                <c:pt idx="942">
                  <c:v>-8.2821810235609181</c:v>
                </c:pt>
                <c:pt idx="943">
                  <c:v>-8.2877709647570565</c:v>
                </c:pt>
                <c:pt idx="944">
                  <c:v>-8.2933609250220144</c:v>
                </c:pt>
                <c:pt idx="945">
                  <c:v>-8.2989509043552196</c:v>
                </c:pt>
                <c:pt idx="946">
                  <c:v>-8.3045409027561004</c:v>
                </c:pt>
                <c:pt idx="947">
                  <c:v>-8.3101309202240845</c:v>
                </c:pt>
                <c:pt idx="948">
                  <c:v>-8.3157209567585983</c:v>
                </c:pt>
                <c:pt idx="949">
                  <c:v>-8.3213110123590699</c:v>
                </c:pt>
                <c:pt idx="950">
                  <c:v>-8.3269010870249272</c:v>
                </c:pt>
                <c:pt idx="951">
                  <c:v>-8.3324911807555981</c:v>
                </c:pt>
                <c:pt idx="952">
                  <c:v>-8.3380812935505091</c:v>
                </c:pt>
                <c:pt idx="953">
                  <c:v>-8.343671425409088</c:v>
                </c:pt>
                <c:pt idx="954">
                  <c:v>-8.3492615763307629</c:v>
                </c:pt>
                <c:pt idx="955">
                  <c:v>-8.3548517463149619</c:v>
                </c:pt>
                <c:pt idx="956">
                  <c:v>-8.3604419353611128</c:v>
                </c:pt>
                <c:pt idx="957">
                  <c:v>-8.366032143468642</c:v>
                </c:pt>
                <c:pt idx="958">
                  <c:v>-8.3716223706369792</c:v>
                </c:pt>
                <c:pt idx="959">
                  <c:v>-8.3772126168655507</c:v>
                </c:pt>
                <c:pt idx="960">
                  <c:v>-8.3828028821537846</c:v>
                </c:pt>
                <c:pt idx="961">
                  <c:v>-8.3883931665011087</c:v>
                </c:pt>
                <c:pt idx="962">
                  <c:v>-8.3939834699069493</c:v>
                </c:pt>
                <c:pt idx="963">
                  <c:v>-8.3995737923707363</c:v>
                </c:pt>
                <c:pt idx="964">
                  <c:v>-8.4051641338918959</c:v>
                </c:pt>
                <c:pt idx="965">
                  <c:v>-8.4107544944698578</c:v>
                </c:pt>
                <c:pt idx="966">
                  <c:v>-8.4163448741040483</c:v>
                </c:pt>
                <c:pt idx="967">
                  <c:v>-8.4219352727938954</c:v>
                </c:pt>
                <c:pt idx="968">
                  <c:v>-8.4275256905388272</c:v>
                </c:pt>
                <c:pt idx="969">
                  <c:v>-8.4331161273382715</c:v>
                </c:pt>
                <c:pt idx="970">
                  <c:v>-8.4387065831916566</c:v>
                </c:pt>
                <c:pt idx="971">
                  <c:v>-8.4442970580984102</c:v>
                </c:pt>
                <c:pt idx="972">
                  <c:v>-8.4498875520579606</c:v>
                </c:pt>
                <c:pt idx="973">
                  <c:v>-8.4554780650697356</c:v>
                </c:pt>
                <c:pt idx="974">
                  <c:v>-8.4610685971331616</c:v>
                </c:pt>
                <c:pt idx="975">
                  <c:v>-8.4666591482476683</c:v>
                </c:pt>
                <c:pt idx="976">
                  <c:v>-8.4722497184126819</c:v>
                </c:pt>
                <c:pt idx="977">
                  <c:v>-8.4778403076276323</c:v>
                </c:pt>
                <c:pt idx="978">
                  <c:v>-8.4834309158919474</c:v>
                </c:pt>
                <c:pt idx="979">
                  <c:v>-8.4890215432050535</c:v>
                </c:pt>
                <c:pt idx="980">
                  <c:v>-8.4946121895663804</c:v>
                </c:pt>
                <c:pt idx="981">
                  <c:v>-8.5002028549753543</c:v>
                </c:pt>
                <c:pt idx="982">
                  <c:v>-8.505793539431405</c:v>
                </c:pt>
                <c:pt idx="983">
                  <c:v>-8.5113842429339588</c:v>
                </c:pt>
                <c:pt idx="984">
                  <c:v>-8.5169749654824454</c:v>
                </c:pt>
                <c:pt idx="985">
                  <c:v>-8.5225657070762928</c:v>
                </c:pt>
                <c:pt idx="986">
                  <c:v>-8.5281564677149273</c:v>
                </c:pt>
                <c:pt idx="987">
                  <c:v>-8.5337472473977787</c:v>
                </c:pt>
                <c:pt idx="988">
                  <c:v>-8.5393380461242749</c:v>
                </c:pt>
                <c:pt idx="989">
                  <c:v>-8.5449288638938441</c:v>
                </c:pt>
                <c:pt idx="990">
                  <c:v>-8.5505197007059142</c:v>
                </c:pt>
                <c:pt idx="991">
                  <c:v>-8.5561105565599131</c:v>
                </c:pt>
                <c:pt idx="992">
                  <c:v>-8.5617014314552691</c:v>
                </c:pt>
                <c:pt idx="993">
                  <c:v>-8.5672923253914099</c:v>
                </c:pt>
                <c:pt idx="994">
                  <c:v>-8.5728832383677638</c:v>
                </c:pt>
                <c:pt idx="995">
                  <c:v>-8.5784741703837604</c:v>
                </c:pt>
                <c:pt idx="996">
                  <c:v>-8.5840651214388259</c:v>
                </c:pt>
                <c:pt idx="997">
                  <c:v>-8.5896560915323903</c:v>
                </c:pt>
                <c:pt idx="998">
                  <c:v>-8.5952470806638814</c:v>
                </c:pt>
                <c:pt idx="999">
                  <c:v>-8.6008380888327274</c:v>
                </c:pt>
                <c:pt idx="1000">
                  <c:v>-8.6064291160383561</c:v>
                </c:pt>
              </c:numCache>
            </c:numRef>
          </c:yVal>
          <c:smooth val="1"/>
        </c:ser>
        <c:ser>
          <c:idx val="2"/>
          <c:order val="2"/>
          <c:tx>
            <c:strRef>
              <c:f>Trajecto!$B$107</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1.8916427990636037E-4</c:v>
                </c:pt>
                <c:pt idx="2">
                  <c:v>1.2756673035231121E-3</c:v>
                </c:pt>
                <c:pt idx="3">
                  <c:v>4.1488299937873117E-3</c:v>
                </c:pt>
                <c:pt idx="4">
                  <c:v>8.9509927712054897E-3</c:v>
                </c:pt>
                <c:pt idx="5">
                  <c:v>1.5225798570290921E-2</c:v>
                </c:pt>
                <c:pt idx="6">
                  <c:v>2.2600313430176384E-2</c:v>
                </c:pt>
                <c:pt idx="7">
                  <c:v>3.0917082561292893E-2</c:v>
                </c:pt>
                <c:pt idx="8">
                  <c:v>4.0182034457298926E-2</c:v>
                </c:pt>
                <c:pt idx="9">
                  <c:v>5.0432846069798878E-2</c:v>
                </c:pt>
                <c:pt idx="10">
                  <c:v>6.1707203202745843E-2</c:v>
                </c:pt>
                <c:pt idx="11">
                  <c:v>7.403076939093535E-2</c:v>
                </c:pt>
                <c:pt idx="12">
                  <c:v>8.7417173058277647E-2</c:v>
                </c:pt>
                <c:pt idx="13">
                  <c:v>0.10188002452223384</c:v>
                </c:pt>
                <c:pt idx="14">
                  <c:v>0.11743291498301273</c:v>
                </c:pt>
                <c:pt idx="15">
                  <c:v>0.13408941549819403</c:v>
                </c:pt>
                <c:pt idx="16">
                  <c:v>0.15186307594293727</c:v>
                </c:pt>
                <c:pt idx="17">
                  <c:v>0.17076742395594327</c:v>
                </c:pt>
                <c:pt idx="18">
                  <c:v>0.19081596387134311</c:v>
                </c:pt>
                <c:pt idx="19">
                  <c:v>0.2120221756366972</c:v>
                </c:pt>
                <c:pt idx="20">
                  <c:v>0.2343995137172955</c:v>
                </c:pt>
                <c:pt idx="21">
                  <c:v>0.25796140598695783</c:v>
                </c:pt>
                <c:pt idx="22">
                  <c:v>0.28271981041394179</c:v>
                </c:pt>
                <c:pt idx="23">
                  <c:v>0.30868184625478579</c:v>
                </c:pt>
                <c:pt idx="24">
                  <c:v>0.33585123196734168</c:v>
                </c:pt>
                <c:pt idx="25">
                  <c:v>0.36423164898708932</c:v>
                </c:pt>
                <c:pt idx="26">
                  <c:v>0.39382674135529661</c:v>
                </c:pt>
                <c:pt idx="27">
                  <c:v>0.42464011535048191</c:v>
                </c:pt>
                <c:pt idx="28">
                  <c:v>0.45667533912328107</c:v>
                </c:pt>
                <c:pt idx="29">
                  <c:v>0.49001986196934783</c:v>
                </c:pt>
                <c:pt idx="30">
                  <c:v>0.52476451384243916</c:v>
                </c:pt>
                <c:pt idx="31">
                  <c:v>0.56091953944658268</c:v>
                </c:pt>
                <c:pt idx="32">
                  <c:v>0.59849501471401745</c:v>
                </c:pt>
                <c:pt idx="33">
                  <c:v>0.63750081389718116</c:v>
                </c:pt>
                <c:pt idx="34">
                  <c:v>0.6779466184297529</c:v>
                </c:pt>
                <c:pt idx="35">
                  <c:v>0.71984153923936633</c:v>
                </c:pt>
                <c:pt idx="36">
                  <c:v>0.76319063356361083</c:v>
                </c:pt>
                <c:pt idx="37">
                  <c:v>0.80799526646663145</c:v>
                </c:pt>
                <c:pt idx="38">
                  <c:v>0.85425657849729808</c:v>
                </c:pt>
                <c:pt idx="39">
                  <c:v>0.90197549502482166</c:v>
                </c:pt>
                <c:pt idx="40">
                  <c:v>0.95115273485464458</c:v>
                </c:pt>
                <c:pt idx="41">
                  <c:v>1.0017888182024648</c:v>
                </c:pt>
                <c:pt idx="42">
                  <c:v>1.0538840740940199</c:v>
                </c:pt>
                <c:pt idx="43">
                  <c:v>1.1074386472495978</c:v>
                </c:pt>
                <c:pt idx="44">
                  <c:v>1.1624525045048855</c:v>
                </c:pt>
                <c:pt idx="45">
                  <c:v>1.218925440813476</c:v>
                </c:pt>
                <c:pt idx="46">
                  <c:v>1.276857084870977</c:v>
                </c:pt>
                <c:pt idx="47">
                  <c:v>1.3362469043960217</c:v>
                </c:pt>
                <c:pt idx="48">
                  <c:v>1.397094211099478</c:v>
                </c:pt>
                <c:pt idx="49">
                  <c:v>1.4593981653696819</c:v>
                </c:pt>
                <c:pt idx="50">
                  <c:v>1.5231577806984975</c:v>
                </c:pt>
                <c:pt idx="51">
                  <c:v>1.5883719278703685</c:v>
                </c:pt>
                <c:pt idx="52">
                  <c:v>1.6550393389342208</c:v>
                </c:pt>
                <c:pt idx="53">
                  <c:v>1.7231586109760444</c:v>
                </c:pt>
                <c:pt idx="54">
                  <c:v>1.7927282097082002</c:v>
                </c:pt>
                <c:pt idx="55">
                  <c:v>1.863746472889922</c:v>
                </c:pt>
                <c:pt idx="56">
                  <c:v>1.936211613592085</c:v>
                </c:pt>
                <c:pt idx="57">
                  <c:v>2.010121723318079</c:v>
                </c:pt>
                <c:pt idx="58">
                  <c:v>2.085474774991519</c:v>
                </c:pt>
                <c:pt idx="59">
                  <c:v>2.1622686258205439</c:v>
                </c:pt>
                <c:pt idx="60">
                  <c:v>2.2405010200475828</c:v>
                </c:pt>
                <c:pt idx="61">
                  <c:v>2.320169591592673</c:v>
                </c:pt>
                <c:pt idx="62">
                  <c:v>2.4012718665977157</c:v>
                </c:pt>
                <c:pt idx="63">
                  <c:v>2.4838052658784213</c:v>
                </c:pt>
                <c:pt idx="64">
                  <c:v>2.5677671072901225</c:v>
                </c:pt>
                <c:pt idx="65">
                  <c:v>2.6531546080131188</c:v>
                </c:pt>
                <c:pt idx="66">
                  <c:v>2.7399648867627548</c:v>
                </c:pt>
                <c:pt idx="67">
                  <c:v>2.8281949659290087</c:v>
                </c:pt>
                <c:pt idx="68">
                  <c:v>2.9178417736499842</c:v>
                </c:pt>
                <c:pt idx="69">
                  <c:v>3.0089021458233582</c:v>
                </c:pt>
                <c:pt idx="70">
                  <c:v>3.1013728280595165</c:v>
                </c:pt>
                <c:pt idx="71">
                  <c:v>3.1952504775798189</c:v>
                </c:pt>
                <c:pt idx="72">
                  <c:v>3.290531665063182</c:v>
                </c:pt>
                <c:pt idx="73">
                  <c:v>3.3872128764439187</c:v>
                </c:pt>
                <c:pt idx="74">
                  <c:v>3.4852905146635607</c:v>
                </c:pt>
                <c:pt idx="75">
                  <c:v>3.5847609013791861</c:v>
                </c:pt>
                <c:pt idx="76">
                  <c:v>3.6856202786305925</c:v>
                </c:pt>
                <c:pt idx="77">
                  <c:v>3.7878648104684833</c:v>
                </c:pt>
                <c:pt idx="78">
                  <c:v>3.891490584545688</c:v>
                </c:pt>
                <c:pt idx="79">
                  <c:v>3.9964936136732798</c:v>
                </c:pt>
                <c:pt idx="80">
                  <c:v>4.1028698373433405</c:v>
                </c:pt>
                <c:pt idx="81">
                  <c:v>4.2106151232199842</c:v>
                </c:pt>
                <c:pt idx="82">
                  <c:v>4.3197252686001564</c:v>
                </c:pt>
                <c:pt idx="83">
                  <c:v>4.4301960018455997</c:v>
                </c:pt>
                <c:pt idx="84">
                  <c:v>4.5420229837873105</c:v>
                </c:pt>
                <c:pt idx="85">
                  <c:v>4.6552018091036924</c:v>
                </c:pt>
                <c:pt idx="86">
                  <c:v>4.7697280076735558</c:v>
                </c:pt>
                <c:pt idx="87">
                  <c:v>4.8855970459050191</c:v>
                </c:pt>
                <c:pt idx="88">
                  <c:v>5.002804328041309</c:v>
                </c:pt>
                <c:pt idx="89">
                  <c:v>5.1213451974443824</c:v>
                </c:pt>
                <c:pt idx="90">
                  <c:v>5.2412149378572392</c:v>
                </c:pt>
                <c:pt idx="91">
                  <c:v>5.3624087746457381</c:v>
                </c:pt>
                <c:pt idx="92">
                  <c:v>5.4849218760206666</c:v>
                </c:pt>
                <c:pt idx="93">
                  <c:v>5.6087493542407785</c:v>
                </c:pt>
                <c:pt idx="94">
                  <c:v>5.7338862667974668</c:v>
                </c:pt>
                <c:pt idx="95">
                  <c:v>5.8603276175816834</c:v>
                </c:pt>
                <c:pt idx="96">
                  <c:v>5.9880683580336962</c:v>
                </c:pt>
                <c:pt idx="97">
                  <c:v>6.1171033882762229</c:v>
                </c:pt>
                <c:pt idx="98">
                  <c:v>6.2474275582314593</c:v>
                </c:pt>
                <c:pt idx="99">
                  <c:v>6.379035668722473</c:v>
                </c:pt>
                <c:pt idx="100">
                  <c:v>6.5119224725594211</c:v>
                </c:pt>
                <c:pt idx="101">
                  <c:v>6.6460826756110016</c:v>
                </c:pt>
                <c:pt idx="102">
                  <c:v>6.7815109378615475</c:v>
                </c:pt>
                <c:pt idx="103">
                  <c:v>6.9182018744541232</c:v>
                </c:pt>
                <c:pt idx="104">
                  <c:v>7.0561500567199769</c:v>
                </c:pt>
                <c:pt idx="105">
                  <c:v>7.1953500131946777</c:v>
                </c:pt>
                <c:pt idx="106">
                  <c:v>7.3357962306212414</c:v>
                </c:pt>
                <c:pt idx="107">
                  <c:v>7.4774831549405318</c:v>
                </c:pt>
                <c:pt idx="108">
                  <c:v>7.6204051922692164</c:v>
                </c:pt>
                <c:pt idx="109">
                  <c:v>7.7645567098655253</c:v>
                </c:pt>
                <c:pt idx="110">
                  <c:v>7.9099320370830544</c:v>
                </c:pt>
                <c:pt idx="111">
                  <c:v>8.0565254663128414</c:v>
                </c:pt>
                <c:pt idx="112">
                  <c:v>8.2043312539139208</c:v>
                </c:pt>
                <c:pt idx="113">
                  <c:v>8.35334362113257</c:v>
                </c:pt>
                <c:pt idx="114">
                  <c:v>8.5035567550104147</c:v>
                </c:pt>
                <c:pt idx="115">
                  <c:v>8.6549648092815996</c:v>
                </c:pt>
                <c:pt idx="116">
                  <c:v>8.8075619052591616</c:v>
                </c:pt>
                <c:pt idx="117">
                  <c:v>8.9613421327107847</c:v>
                </c:pt>
                <c:pt idx="118">
                  <c:v>9.1162995507240776</c:v>
                </c:pt>
                <c:pt idx="119">
                  <c:v>9.2724281885615145</c:v>
                </c:pt>
                <c:pt idx="120">
                  <c:v>9.429722046505173</c:v>
                </c:pt>
                <c:pt idx="121">
                  <c:v>9.5881750966913994</c:v>
                </c:pt>
                <c:pt idx="122">
                  <c:v>9.747781283935506</c:v>
                </c:pt>
                <c:pt idx="123">
                  <c:v>9.9085345265466387</c:v>
                </c:pt>
                <c:pt idx="124">
                  <c:v>10.070428717132888</c:v>
                </c:pt>
                <c:pt idx="125">
                  <c:v>10.233457723396777</c:v>
                </c:pt>
                <c:pt idx="126">
                  <c:v>10.397615388921205</c:v>
                </c:pt>
                <c:pt idx="127">
                  <c:v>10.562895533945937</c:v>
                </c:pt>
                <c:pt idx="128">
                  <c:v>10.729291956134743</c:v>
                </c:pt>
                <c:pt idx="129">
                  <c:v>10.89679843133324</c:v>
                </c:pt>
                <c:pt idx="130">
                  <c:v>11.065408714317552</c:v>
                </c:pt>
                <c:pt idx="131">
                  <c:v>11.235116539533841</c:v>
                </c:pt>
                <c:pt idx="132">
                  <c:v>11.405915621828779</c:v>
                </c:pt>
                <c:pt idx="133">
                  <c:v>11.577799657171045</c:v>
                </c:pt>
                <c:pt idx="134">
                  <c:v>11.750762323363912</c:v>
                </c:pt>
                <c:pt idx="135">
                  <c:v>11.924797280748969</c:v>
                </c:pt>
                <c:pt idx="136">
                  <c:v>12.099898172901067</c:v>
                </c:pt>
                <c:pt idx="137">
                  <c:v>12.276058627314532</c:v>
                </c:pt>
                <c:pt idx="138">
                  <c:v>12.453272256080698</c:v>
                </c:pt>
                <c:pt idx="139">
                  <c:v>12.631532656556836</c:v>
                </c:pt>
                <c:pt idx="140">
                  <c:v>12.810833412026509</c:v>
                </c:pt>
                <c:pt idx="141">
                  <c:v>12.991168092351435</c:v>
                </c:pt>
                <c:pt idx="142">
                  <c:v>13.17253025461487</c:v>
                </c:pt>
                <c:pt idx="143">
                  <c:v>13.354913443756599</c:v>
                </c:pt>
                <c:pt idx="144">
                  <c:v>13.538311193199565</c:v>
                </c:pt>
                <c:pt idx="145">
                  <c:v>13.722717025468183</c:v>
                </c:pt>
                <c:pt idx="146">
                  <c:v>13.908124452798393</c:v>
                </c:pt>
                <c:pt idx="147">
                  <c:v>14.094526977739497</c:v>
                </c:pt>
                <c:pt idx="148">
                  <c:v>14.281918093747812</c:v>
                </c:pt>
                <c:pt idx="149">
                  <c:v>14.47029128577222</c:v>
                </c:pt>
                <c:pt idx="150">
                  <c:v>14.659640030831607</c:v>
                </c:pt>
                <c:pt idx="151">
                  <c:v>14.849957798584285</c:v>
                </c:pt>
                <c:pt idx="152">
                  <c:v>15.041238051889406</c:v>
                </c:pt>
                <c:pt idx="153">
                  <c:v>15.233474247360435</c:v>
                </c:pt>
                <c:pt idx="154">
                  <c:v>15.4266598359107</c:v>
                </c:pt>
                <c:pt idx="155">
                  <c:v>15.620788263291086</c:v>
                </c:pt>
                <c:pt idx="156">
                  <c:v>15.815852970619909</c:v>
                </c:pt>
                <c:pt idx="157">
                  <c:v>16.011847394905004</c:v>
                </c:pt>
                <c:pt idx="158">
                  <c:v>16.208769370039004</c:v>
                </c:pt>
                <c:pt idx="159">
                  <c:v>16.406622223276813</c:v>
                </c:pt>
                <c:pt idx="160">
                  <c:v>16.60541036780484</c:v>
                </c:pt>
                <c:pt idx="161">
                  <c:v>16.805138199486386</c:v>
                </c:pt>
                <c:pt idx="162">
                  <c:v>17.005810096697026</c:v>
                </c:pt>
                <c:pt idx="163">
                  <c:v>17.207430420161071</c:v>
                </c:pt>
                <c:pt idx="164">
                  <c:v>17.409997000692528</c:v>
                </c:pt>
                <c:pt idx="165">
                  <c:v>17.613491366487391</c:v>
                </c:pt>
                <c:pt idx="166">
                  <c:v>17.817885279376018</c:v>
                </c:pt>
                <c:pt idx="167">
                  <c:v>18.023143870461968</c:v>
                </c:pt>
                <c:pt idx="168">
                  <c:v>18.229198968158421</c:v>
                </c:pt>
                <c:pt idx="169">
                  <c:v>18.435955820107527</c:v>
                </c:pt>
                <c:pt idx="170">
                  <c:v>18.643319831234052</c:v>
                </c:pt>
                <c:pt idx="171">
                  <c:v>18.851196573944996</c:v>
                </c:pt>
                <c:pt idx="172">
                  <c:v>19.059491797475449</c:v>
                </c:pt>
                <c:pt idx="173">
                  <c:v>19.268111436390097</c:v>
                </c:pt>
                <c:pt idx="174">
                  <c:v>19.476961618249536</c:v>
                </c:pt>
                <c:pt idx="175">
                  <c:v>19.685948670450411</c:v>
                </c:pt>
                <c:pt idx="176">
                  <c:v>19.894979126248135</c:v>
                </c:pt>
                <c:pt idx="177">
                  <c:v>20.103959729970697</c:v>
                </c:pt>
                <c:pt idx="178">
                  <c:v>20.312797441431798</c:v>
                </c:pt>
                <c:pt idx="179">
                  <c:v>20.521399439551193</c:v>
                </c:pt>
                <c:pt idx="180">
                  <c:v>20.729697769403767</c:v>
                </c:pt>
                <c:pt idx="181">
                  <c:v>20.937649281294213</c:v>
                </c:pt>
                <c:pt idx="182">
                  <c:v>21.145210923918821</c:v>
                </c:pt>
                <c:pt idx="183">
                  <c:v>21.352339743332013</c:v>
                </c:pt>
                <c:pt idx="184">
                  <c:v>21.559008773139247</c:v>
                </c:pt>
                <c:pt idx="185">
                  <c:v>21.765213810894931</c:v>
                </c:pt>
                <c:pt idx="186">
                  <c:v>21.970957468768678</c:v>
                </c:pt>
                <c:pt idx="187">
                  <c:v>22.176242338670335</c:v>
                </c:pt>
                <c:pt idx="188">
                  <c:v>22.381070992462714</c:v>
                </c:pt>
                <c:pt idx="189">
                  <c:v>22.58544598217156</c:v>
                </c:pt>
                <c:pt idx="190">
                  <c:v>22.789369840192755</c:v>
                </c:pt>
                <c:pt idx="191">
                  <c:v>22.992845079496856</c:v>
                </c:pt>
                <c:pt idx="192">
                  <c:v>23.195874193830964</c:v>
                </c:pt>
                <c:pt idx="193">
                  <c:v>23.398459657917975</c:v>
                </c:pt>
                <c:pt idx="194">
                  <c:v>23.600603927653282</c:v>
                </c:pt>
                <c:pt idx="195">
                  <c:v>23.802309440298924</c:v>
                </c:pt>
                <c:pt idx="196">
                  <c:v>24.003578614675263</c:v>
                </c:pt>
                <c:pt idx="197">
                  <c:v>24.204413851350186</c:v>
                </c:pt>
                <c:pt idx="198">
                  <c:v>24.404817532825898</c:v>
                </c:pt>
                <c:pt idx="199">
                  <c:v>24.604792023723355</c:v>
                </c:pt>
                <c:pt idx="200">
                  <c:v>24.804339670964325</c:v>
                </c:pt>
                <c:pt idx="201">
                  <c:v>26.776520074860517</c:v>
                </c:pt>
                <c:pt idx="202">
                  <c:v>28.70750253090317</c:v>
                </c:pt>
                <c:pt idx="203">
                  <c:v>30.599479998642352</c:v>
                </c:pt>
                <c:pt idx="204">
                  <c:v>32.45448946705325</c:v>
                </c:pt>
                <c:pt idx="205">
                  <c:v>34.274426793668603</c:v>
                </c:pt>
                <c:pt idx="206">
                  <c:v>36.06105981795362</c:v>
                </c:pt>
                <c:pt idx="207">
                  <c:v>37.816039985374118</c:v>
                </c:pt>
                <c:pt idx="208">
                  <c:v>39.540912681499243</c:v>
                </c:pt>
                <c:pt idx="209">
                  <c:v>41.237126444896191</c:v>
                </c:pt>
                <c:pt idx="210">
                  <c:v>42.906041202249114</c:v>
                </c:pt>
                <c:pt idx="211">
                  <c:v>44.548935648068529</c:v>
                </c:pt>
                <c:pt idx="212">
                  <c:v>46.167013873759146</c:v>
                </c:pt>
                <c:pt idx="213">
                  <c:v>47.761411336051395</c:v>
                </c:pt>
                <c:pt idx="214">
                  <c:v>49.333200242369024</c:v>
                </c:pt>
                <c:pt idx="215">
                  <c:v>50.883394420194001</c:v>
                </c:pt>
                <c:pt idx="216">
                  <c:v>52.412953728570962</c:v>
                </c:pt>
                <c:pt idx="217">
                  <c:v>53.922788062297812</c:v>
                </c:pt>
                <c:pt idx="218">
                  <c:v>55.413760992858101</c:v>
                </c:pt>
                <c:pt idx="219">
                  <c:v>56.886693084584245</c:v>
                </c:pt>
                <c:pt idx="220">
                  <c:v>58.34236491975085</c:v>
                </c:pt>
                <c:pt idx="221">
                  <c:v>59.781519862161026</c:v>
                </c:pt>
                <c:pt idx="222">
                  <c:v>61.204866585204599</c:v>
                </c:pt>
                <c:pt idx="223">
                  <c:v>62.613081387249558</c:v>
                </c:pt>
                <c:pt idx="224">
                  <c:v>64.006810314506211</c:v>
                </c:pt>
                <c:pt idx="225">
                  <c:v>65.386671109116563</c:v>
                </c:pt>
                <c:pt idx="226">
                  <c:v>66.753254998118749</c:v>
                </c:pt>
                <c:pt idx="227">
                  <c:v>68.107128337073604</c:v>
                </c:pt>
                <c:pt idx="228">
                  <c:v>69.448834120480768</c:v>
                </c:pt>
                <c:pt idx="229">
                  <c:v>70.778893369621713</c:v>
                </c:pt>
                <c:pt idx="230">
                  <c:v>72.097806407118071</c:v>
                </c:pt>
                <c:pt idx="231">
                  <c:v>73.406054026259966</c:v>
                </c:pt>
                <c:pt idx="232">
                  <c:v>74.704098562017478</c:v>
                </c:pt>
                <c:pt idx="233">
                  <c:v>75.992384869576583</c:v>
                </c:pt>
                <c:pt idx="234">
                  <c:v>77.271341215219408</c:v>
                </c:pt>
                <c:pt idx="235">
                  <c:v>78.541380083377192</c:v>
                </c:pt>
                <c:pt idx="236">
                  <c:v>79.80289890270403</c:v>
                </c:pt>
                <c:pt idx="237">
                  <c:v>81.056280693031397</c:v>
                </c:pt>
                <c:pt idx="238">
                  <c:v>82.301894634049049</c:v>
                </c:pt>
                <c:pt idx="239">
                  <c:v>83.540096555499503</c:v>
                </c:pt>
                <c:pt idx="240">
                  <c:v>84.771229347554325</c:v>
                </c:pt>
                <c:pt idx="241">
                  <c:v>85.995623288849174</c:v>
                </c:pt>
                <c:pt idx="242">
                  <c:v>87.213596288383485</c:v>
                </c:pt>
                <c:pt idx="243">
                  <c:v>88.425454036147997</c:v>
                </c:pt>
                <c:pt idx="244">
                  <c:v>89.631490055953591</c:v>
                </c:pt>
                <c:pt idx="245">
                  <c:v>90.831985652558672</c:v>
                </c:pt>
                <c:pt idx="246">
                  <c:v>92.027209743940574</c:v>
                </c:pt>
                <c:pt idx="247">
                  <c:v>93.217418568617362</c:v>
                </c:pt>
                <c:pt idx="248">
                  <c:v>94.402855257597821</c:v>
                </c:pt>
                <c:pt idx="249">
                  <c:v>95.583749261264671</c:v>
                </c:pt>
                <c:pt idx="250">
                  <c:v>96.760315623901803</c:v>
                </c:pt>
                <c:pt idx="251">
                  <c:v>97.932754103464418</c:v>
                </c:pt>
                <c:pt idx="252">
                  <c:v>99.101248142485204</c:v>
                </c:pt>
                <c:pt idx="253">
                  <c:v>100.26596370856331</c:v>
                </c:pt>
                <c:pt idx="254">
                  <c:v>101.42704804010771</c:v>
                </c:pt>
                <c:pt idx="255">
                  <c:v>102.58462835429003</c:v>
                </c:pt>
                <c:pt idx="256">
                  <c:v>103.7388105971925</c:v>
                </c:pt>
                <c:pt idx="257">
                  <c:v>104.88967833646588</c:v>
                </c:pt>
                <c:pt idx="258">
                  <c:v>106.03729190819698</c:v>
                </c:pt>
                <c:pt idx="259">
                  <c:v>107.18168792570603</c:v>
                </c:pt>
                <c:pt idx="260">
                  <c:v>108.32287923480831</c:v>
                </c:pt>
                <c:pt idx="261">
                  <c:v>109.46085535914546</c:v>
                </c:pt>
                <c:pt idx="262">
                  <c:v>110.59558342813838</c:v>
                </c:pt>
                <c:pt idx="263">
                  <c:v>111.72700953050439</c:v>
                </c:pt>
                <c:pt idx="264">
                  <c:v>112.85506039918789</c:v>
                </c:pt>
                <c:pt idx="265">
                  <c:v>113.97964531536839</c:v>
                </c:pt>
                <c:pt idx="266">
                  <c:v>115.10065812003444</c:v>
                </c:pt>
                <c:pt idx="267">
                  <c:v>116.21797923665061</c:v>
                </c:pt>
                <c:pt idx="268">
                  <c:v>117.33147763092768</c:v>
                </c:pt>
                <c:pt idx="269">
                  <c:v>118.44101265754189</c:v>
                </c:pt>
                <c:pt idx="270">
                  <c:v>119.54643576478527</c:v>
                </c:pt>
                <c:pt idx="271">
                  <c:v>120.64759204468143</c:v>
                </c:pt>
                <c:pt idx="272">
                  <c:v>121.74432162779367</c:v>
                </c:pt>
                <c:pt idx="273">
                  <c:v>122.83646092941038</c:v>
                </c:pt>
                <c:pt idx="274">
                  <c:v>123.92384375798002</c:v>
                </c:pt>
                <c:pt idx="275">
                  <c:v>125.00630229854707</c:v>
                </c:pt>
                <c:pt idx="276">
                  <c:v>126.08366798431443</c:v>
                </c:pt>
                <c:pt idx="277">
                  <c:v>127.15577226893032</c:v>
                </c:pt>
                <c:pt idx="278">
                  <c:v>128.22244731108768</c:v>
                </c:pt>
                <c:pt idx="279">
                  <c:v>129.28352658180739</c:v>
                </c:pt>
                <c:pt idx="280">
                  <c:v>130.33884540352054</c:v>
                </c:pt>
                <c:pt idx="281">
                  <c:v>131.38824142886537</c:v>
                </c:pt>
                <c:pt idx="282">
                  <c:v>132.43155506602241</c:v>
                </c:pt>
                <c:pt idx="283">
                  <c:v>133.46862985644279</c:v>
                </c:pt>
                <c:pt idx="284">
                  <c:v>134.49931280998663</c:v>
                </c:pt>
                <c:pt idx="285">
                  <c:v>135.52345470176974</c:v>
                </c:pt>
                <c:pt idx="286">
                  <c:v>136.54091033440909</c:v>
                </c:pt>
                <c:pt idx="287">
                  <c:v>137.55153876884617</c:v>
                </c:pt>
                <c:pt idx="288">
                  <c:v>138.55520352649859</c:v>
                </c:pt>
                <c:pt idx="289">
                  <c:v>139.55177276513393</c:v>
                </c:pt>
                <c:pt idx="290">
                  <c:v>140.54111943056174</c:v>
                </c:pt>
                <c:pt idx="291">
                  <c:v>141.52312138599305</c:v>
                </c:pt>
                <c:pt idx="292">
                  <c:v>142.49766152071109</c:v>
                </c:pt>
                <c:pt idx="293">
                  <c:v>143.464627839526</c:v>
                </c:pt>
                <c:pt idx="294">
                  <c:v>144.42391353434422</c:v>
                </c:pt>
                <c:pt idx="295">
                  <c:v>145.3754170390647</c:v>
                </c:pt>
                <c:pt idx="296">
                  <c:v>146.31904206891397</c:v>
                </c:pt>
                <c:pt idx="297">
                  <c:v>147.25469764524959</c:v>
                </c:pt>
                <c:pt idx="298">
                  <c:v>148.18229810678966</c:v>
                </c:pt>
                <c:pt idx="299">
                  <c:v>149.10176310816644</c:v>
                </c:pt>
                <c:pt idx="300">
                  <c:v>150.01301760665015</c:v>
                </c:pt>
                <c:pt idx="301">
                  <c:v>150.91599183784427</c:v>
                </c:pt>
                <c:pt idx="302">
                  <c:v>151.81062128111338</c:v>
                </c:pt>
                <c:pt idx="303">
                  <c:v>152.69684661547072</c:v>
                </c:pt>
                <c:pt idx="304">
                  <c:v>153.57461366661974</c:v>
                </c:pt>
                <c:pt idx="305">
                  <c:v>154.44387334581586</c:v>
                </c:pt>
                <c:pt idx="306">
                  <c:v>155.30458158118719</c:v>
                </c:pt>
                <c:pt idx="307">
                  <c:v>156.15669924212838</c:v>
                </c:pt>
                <c:pt idx="308">
                  <c:v>157.00019205735737</c:v>
                </c:pt>
                <c:pt idx="309">
                  <c:v>157.83503052720221</c:v>
                </c:pt>
                <c:pt idx="310">
                  <c:v>158.66118983066278</c:v>
                </c:pt>
                <c:pt idx="311">
                  <c:v>159.4786497277706</c:v>
                </c:pt>
                <c:pt idx="312">
                  <c:v>160.2873944577486</c:v>
                </c:pt>
                <c:pt idx="313">
                  <c:v>161.08741263345215</c:v>
                </c:pt>
                <c:pt idx="314">
                  <c:v>161.87869713255137</c:v>
                </c:pt>
                <c:pt idx="315">
                  <c:v>162.66124498589517</c:v>
                </c:pt>
                <c:pt idx="316">
                  <c:v>163.43505726347632</c:v>
                </c:pt>
                <c:pt idx="317">
                  <c:v>164.20013895839756</c:v>
                </c:pt>
                <c:pt idx="318">
                  <c:v>164.95649886921836</c:v>
                </c:pt>
                <c:pt idx="319">
                  <c:v>165.70414948104272</c:v>
                </c:pt>
                <c:pt idx="320">
                  <c:v>166.44310684568873</c:v>
                </c:pt>
                <c:pt idx="321">
                  <c:v>167.17339046126179</c:v>
                </c:pt>
                <c:pt idx="322">
                  <c:v>167.89502315143412</c:v>
                </c:pt>
                <c:pt idx="323">
                  <c:v>168.60803094471507</c:v>
                </c:pt>
                <c:pt idx="324">
                  <c:v>169.3124429539786</c:v>
                </c:pt>
                <c:pt idx="325">
                  <c:v>170.00829125649628</c:v>
                </c:pt>
                <c:pt idx="326">
                  <c:v>170.69561077470709</c:v>
                </c:pt>
                <c:pt idx="327">
                  <c:v>171.37443915793844</c:v>
                </c:pt>
                <c:pt idx="328">
                  <c:v>172.04481666527622</c:v>
                </c:pt>
                <c:pt idx="329">
                  <c:v>172.70678604976618</c:v>
                </c:pt>
                <c:pt idx="330">
                  <c:v>173.36039244411319</c:v>
                </c:pt>
                <c:pt idx="331">
                  <c:v>174.00568324803046</c:v>
                </c:pt>
                <c:pt idx="332">
                  <c:v>174.64270801737644</c:v>
                </c:pt>
                <c:pt idx="333">
                  <c:v>175.27151835520317</c:v>
                </c:pt>
                <c:pt idx="334">
                  <c:v>175.89216780482744</c:v>
                </c:pt>
                <c:pt idx="335">
                  <c:v>176.50471174502263</c:v>
                </c:pt>
                <c:pt idx="336">
                  <c:v>177.10920728741817</c:v>
                </c:pt>
                <c:pt idx="337">
                  <c:v>177.70571317618146</c:v>
                </c:pt>
                <c:pt idx="338">
                  <c:v>178.29428969004672</c:v>
                </c:pt>
                <c:pt idx="339">
                  <c:v>178.87499854674505</c:v>
                </c:pt>
                <c:pt idx="340">
                  <c:v>179.44790280988005</c:v>
                </c:pt>
                <c:pt idx="341">
                  <c:v>180.01306679828494</c:v>
                </c:pt>
                <c:pt idx="342">
                  <c:v>180.57055599788782</c:v>
                </c:pt>
                <c:pt idx="343">
                  <c:v>181.1204369761046</c:v>
                </c:pt>
                <c:pt idx="344">
                  <c:v>181.66277729877103</c:v>
                </c:pt>
                <c:pt idx="345">
                  <c:v>182.19764544961885</c:v>
                </c:pt>
                <c:pt idx="346">
                  <c:v>182.72511075229431</c:v>
                </c:pt>
                <c:pt idx="347">
                  <c:v>183.24524329491177</c:v>
                </c:pt>
                <c:pt idx="348">
                  <c:v>183.7581138571293</c:v>
                </c:pt>
                <c:pt idx="349">
                  <c:v>184.26379383972827</c:v>
                </c:pt>
                <c:pt idx="350">
                  <c:v>184.26379383972827</c:v>
                </c:pt>
                <c:pt idx="351">
                  <c:v>184.26379383972827</c:v>
                </c:pt>
                <c:pt idx="352">
                  <c:v>184.26379383972827</c:v>
                </c:pt>
                <c:pt idx="353">
                  <c:v>184.26379383972827</c:v>
                </c:pt>
                <c:pt idx="354">
                  <c:v>184.26379383972827</c:v>
                </c:pt>
                <c:pt idx="355">
                  <c:v>184.26379383972827</c:v>
                </c:pt>
                <c:pt idx="356">
                  <c:v>184.26379383972827</c:v>
                </c:pt>
                <c:pt idx="357">
                  <c:v>184.26379383972827</c:v>
                </c:pt>
                <c:pt idx="358">
                  <c:v>184.26379383972827</c:v>
                </c:pt>
                <c:pt idx="359">
                  <c:v>184.26379383972827</c:v>
                </c:pt>
                <c:pt idx="360">
                  <c:v>184.26379383972827</c:v>
                </c:pt>
                <c:pt idx="361">
                  <c:v>184.26379383972827</c:v>
                </c:pt>
                <c:pt idx="362">
                  <c:v>184.26379383972827</c:v>
                </c:pt>
                <c:pt idx="363">
                  <c:v>184.26379383972827</c:v>
                </c:pt>
                <c:pt idx="364">
                  <c:v>184.26379383972827</c:v>
                </c:pt>
                <c:pt idx="365">
                  <c:v>184.26379383972827</c:v>
                </c:pt>
                <c:pt idx="366">
                  <c:v>184.26379383972827</c:v>
                </c:pt>
                <c:pt idx="367">
                  <c:v>184.26379383972827</c:v>
                </c:pt>
                <c:pt idx="368">
                  <c:v>184.26379383972827</c:v>
                </c:pt>
                <c:pt idx="369">
                  <c:v>184.26379383972827</c:v>
                </c:pt>
                <c:pt idx="370">
                  <c:v>184.26379383972827</c:v>
                </c:pt>
                <c:pt idx="371">
                  <c:v>184.26379383972827</c:v>
                </c:pt>
                <c:pt idx="372">
                  <c:v>184.26379383972827</c:v>
                </c:pt>
                <c:pt idx="373">
                  <c:v>184.26379383972827</c:v>
                </c:pt>
                <c:pt idx="374">
                  <c:v>184.26379383972827</c:v>
                </c:pt>
                <c:pt idx="375">
                  <c:v>184.26379383972827</c:v>
                </c:pt>
                <c:pt idx="376">
                  <c:v>184.26379383972827</c:v>
                </c:pt>
                <c:pt idx="377">
                  <c:v>184.26379383972827</c:v>
                </c:pt>
                <c:pt idx="378">
                  <c:v>184.26379383972827</c:v>
                </c:pt>
                <c:pt idx="379">
                  <c:v>184.26379383972827</c:v>
                </c:pt>
                <c:pt idx="380">
                  <c:v>184.26379383972827</c:v>
                </c:pt>
                <c:pt idx="381">
                  <c:v>184.26379383972827</c:v>
                </c:pt>
                <c:pt idx="382">
                  <c:v>184.26379383972827</c:v>
                </c:pt>
                <c:pt idx="383">
                  <c:v>184.26379383972827</c:v>
                </c:pt>
                <c:pt idx="384">
                  <c:v>184.26379383972827</c:v>
                </c:pt>
                <c:pt idx="385">
                  <c:v>184.26379383972827</c:v>
                </c:pt>
                <c:pt idx="386">
                  <c:v>184.26379383972827</c:v>
                </c:pt>
                <c:pt idx="387">
                  <c:v>184.26379383972827</c:v>
                </c:pt>
                <c:pt idx="388">
                  <c:v>184.26379383972827</c:v>
                </c:pt>
                <c:pt idx="389">
                  <c:v>184.26379383972827</c:v>
                </c:pt>
                <c:pt idx="390">
                  <c:v>184.26379383972827</c:v>
                </c:pt>
                <c:pt idx="391">
                  <c:v>184.26379383972827</c:v>
                </c:pt>
                <c:pt idx="392">
                  <c:v>184.26379383972827</c:v>
                </c:pt>
                <c:pt idx="393">
                  <c:v>184.26379383972827</c:v>
                </c:pt>
                <c:pt idx="394">
                  <c:v>184.26379383972827</c:v>
                </c:pt>
                <c:pt idx="395">
                  <c:v>184.26379383972827</c:v>
                </c:pt>
                <c:pt idx="396">
                  <c:v>184.26379383972827</c:v>
                </c:pt>
                <c:pt idx="397">
                  <c:v>184.26379383972827</c:v>
                </c:pt>
                <c:pt idx="398">
                  <c:v>184.26379383972827</c:v>
                </c:pt>
                <c:pt idx="399">
                  <c:v>184.26379383972827</c:v>
                </c:pt>
                <c:pt idx="400">
                  <c:v>184.26379383972827</c:v>
                </c:pt>
                <c:pt idx="401">
                  <c:v>184.26379383972827</c:v>
                </c:pt>
                <c:pt idx="402">
                  <c:v>184.26379383972827</c:v>
                </c:pt>
                <c:pt idx="403">
                  <c:v>184.26379383972827</c:v>
                </c:pt>
                <c:pt idx="404">
                  <c:v>184.26379383972827</c:v>
                </c:pt>
                <c:pt idx="405">
                  <c:v>184.26379383972827</c:v>
                </c:pt>
                <c:pt idx="406">
                  <c:v>184.26379383972827</c:v>
                </c:pt>
                <c:pt idx="407">
                  <c:v>184.26379383972827</c:v>
                </c:pt>
                <c:pt idx="408">
                  <c:v>184.26379383972827</c:v>
                </c:pt>
                <c:pt idx="409">
                  <c:v>184.26379383972827</c:v>
                </c:pt>
                <c:pt idx="410">
                  <c:v>184.26379383972827</c:v>
                </c:pt>
                <c:pt idx="411">
                  <c:v>184.26379383972827</c:v>
                </c:pt>
                <c:pt idx="412">
                  <c:v>184.26379383972827</c:v>
                </c:pt>
                <c:pt idx="413">
                  <c:v>184.26379383972827</c:v>
                </c:pt>
                <c:pt idx="414">
                  <c:v>184.26379383972827</c:v>
                </c:pt>
                <c:pt idx="415">
                  <c:v>184.26379383972827</c:v>
                </c:pt>
                <c:pt idx="416">
                  <c:v>184.26379383972827</c:v>
                </c:pt>
                <c:pt idx="417">
                  <c:v>184.26379383972827</c:v>
                </c:pt>
                <c:pt idx="418">
                  <c:v>184.26379383972827</c:v>
                </c:pt>
                <c:pt idx="419">
                  <c:v>184.26379383972827</c:v>
                </c:pt>
                <c:pt idx="420">
                  <c:v>184.26379383972827</c:v>
                </c:pt>
                <c:pt idx="421">
                  <c:v>184.26379383972827</c:v>
                </c:pt>
                <c:pt idx="422">
                  <c:v>184.26379383972827</c:v>
                </c:pt>
                <c:pt idx="423">
                  <c:v>184.26379383972827</c:v>
                </c:pt>
                <c:pt idx="424">
                  <c:v>184.26379383972827</c:v>
                </c:pt>
                <c:pt idx="425">
                  <c:v>184.26379383972827</c:v>
                </c:pt>
                <c:pt idx="426">
                  <c:v>184.26379383972827</c:v>
                </c:pt>
                <c:pt idx="427">
                  <c:v>184.26379383972827</c:v>
                </c:pt>
                <c:pt idx="428">
                  <c:v>184.26379383972827</c:v>
                </c:pt>
                <c:pt idx="429">
                  <c:v>184.26379383972827</c:v>
                </c:pt>
                <c:pt idx="430">
                  <c:v>184.26379383972827</c:v>
                </c:pt>
                <c:pt idx="431">
                  <c:v>184.26379383972827</c:v>
                </c:pt>
                <c:pt idx="432">
                  <c:v>184.26379383972827</c:v>
                </c:pt>
                <c:pt idx="433">
                  <c:v>184.26379383972827</c:v>
                </c:pt>
                <c:pt idx="434">
                  <c:v>184.26379383972827</c:v>
                </c:pt>
                <c:pt idx="435">
                  <c:v>184.26379383972827</c:v>
                </c:pt>
                <c:pt idx="436">
                  <c:v>184.26379383972827</c:v>
                </c:pt>
                <c:pt idx="437">
                  <c:v>184.26379383972827</c:v>
                </c:pt>
                <c:pt idx="438">
                  <c:v>184.26379383972827</c:v>
                </c:pt>
                <c:pt idx="439">
                  <c:v>184.26379383972827</c:v>
                </c:pt>
                <c:pt idx="440">
                  <c:v>184.26379383972827</c:v>
                </c:pt>
                <c:pt idx="441">
                  <c:v>184.26379383972827</c:v>
                </c:pt>
                <c:pt idx="442">
                  <c:v>184.26379383972827</c:v>
                </c:pt>
                <c:pt idx="443">
                  <c:v>184.26379383972827</c:v>
                </c:pt>
                <c:pt idx="444">
                  <c:v>184.26379383972827</c:v>
                </c:pt>
                <c:pt idx="445">
                  <c:v>184.26379383972827</c:v>
                </c:pt>
                <c:pt idx="446">
                  <c:v>184.26379383972827</c:v>
                </c:pt>
                <c:pt idx="447">
                  <c:v>184.26379383972827</c:v>
                </c:pt>
                <c:pt idx="448">
                  <c:v>184.26379383972827</c:v>
                </c:pt>
                <c:pt idx="449">
                  <c:v>184.26379383972827</c:v>
                </c:pt>
                <c:pt idx="450">
                  <c:v>184.26379383972827</c:v>
                </c:pt>
                <c:pt idx="451">
                  <c:v>184.26379383972827</c:v>
                </c:pt>
                <c:pt idx="452">
                  <c:v>184.26379383972827</c:v>
                </c:pt>
                <c:pt idx="453">
                  <c:v>184.26379383972827</c:v>
                </c:pt>
                <c:pt idx="454">
                  <c:v>184.26379383972827</c:v>
                </c:pt>
                <c:pt idx="455">
                  <c:v>184.26379383972827</c:v>
                </c:pt>
                <c:pt idx="456">
                  <c:v>184.26379383972827</c:v>
                </c:pt>
                <c:pt idx="457">
                  <c:v>184.26379383972827</c:v>
                </c:pt>
                <c:pt idx="458">
                  <c:v>184.26379383972827</c:v>
                </c:pt>
                <c:pt idx="459">
                  <c:v>184.26379383972827</c:v>
                </c:pt>
                <c:pt idx="460">
                  <c:v>184.26379383972827</c:v>
                </c:pt>
                <c:pt idx="461">
                  <c:v>184.26379383972827</c:v>
                </c:pt>
                <c:pt idx="462">
                  <c:v>184.26379383972827</c:v>
                </c:pt>
                <c:pt idx="463">
                  <c:v>184.26379383972827</c:v>
                </c:pt>
                <c:pt idx="464">
                  <c:v>184.26379383972827</c:v>
                </c:pt>
                <c:pt idx="465">
                  <c:v>184.26379383972827</c:v>
                </c:pt>
                <c:pt idx="466">
                  <c:v>184.26379383972827</c:v>
                </c:pt>
                <c:pt idx="467">
                  <c:v>184.26379383972827</c:v>
                </c:pt>
                <c:pt idx="468">
                  <c:v>184.26379383972827</c:v>
                </c:pt>
                <c:pt idx="469">
                  <c:v>184.26379383972827</c:v>
                </c:pt>
                <c:pt idx="470">
                  <c:v>184.26379383972827</c:v>
                </c:pt>
                <c:pt idx="471">
                  <c:v>184.26379383972827</c:v>
                </c:pt>
                <c:pt idx="472">
                  <c:v>184.26379383972827</c:v>
                </c:pt>
                <c:pt idx="473">
                  <c:v>184.26379383972827</c:v>
                </c:pt>
                <c:pt idx="474">
                  <c:v>184.26379383972827</c:v>
                </c:pt>
                <c:pt idx="475">
                  <c:v>184.26379383972827</c:v>
                </c:pt>
                <c:pt idx="476">
                  <c:v>184.26379383972827</c:v>
                </c:pt>
                <c:pt idx="477">
                  <c:v>184.26379383972827</c:v>
                </c:pt>
                <c:pt idx="478">
                  <c:v>184.26379383972827</c:v>
                </c:pt>
                <c:pt idx="479">
                  <c:v>184.26379383972827</c:v>
                </c:pt>
                <c:pt idx="480">
                  <c:v>184.26379383972827</c:v>
                </c:pt>
                <c:pt idx="481">
                  <c:v>184.26379383972827</c:v>
                </c:pt>
                <c:pt idx="482">
                  <c:v>184.26379383972827</c:v>
                </c:pt>
                <c:pt idx="483">
                  <c:v>184.26379383972827</c:v>
                </c:pt>
                <c:pt idx="484">
                  <c:v>184.26379383972827</c:v>
                </c:pt>
                <c:pt idx="485">
                  <c:v>184.26379383972827</c:v>
                </c:pt>
                <c:pt idx="486">
                  <c:v>184.26379383972827</c:v>
                </c:pt>
                <c:pt idx="487">
                  <c:v>184.26379383972827</c:v>
                </c:pt>
                <c:pt idx="488">
                  <c:v>184.26379383972827</c:v>
                </c:pt>
                <c:pt idx="489">
                  <c:v>184.26379383972827</c:v>
                </c:pt>
                <c:pt idx="490">
                  <c:v>184.26379383972827</c:v>
                </c:pt>
                <c:pt idx="491">
                  <c:v>184.26379383972827</c:v>
                </c:pt>
                <c:pt idx="492">
                  <c:v>184.26379383972827</c:v>
                </c:pt>
                <c:pt idx="493">
                  <c:v>184.26379383972827</c:v>
                </c:pt>
                <c:pt idx="494">
                  <c:v>184.26379383972827</c:v>
                </c:pt>
                <c:pt idx="495">
                  <c:v>184.26379383972827</c:v>
                </c:pt>
                <c:pt idx="496">
                  <c:v>184.26379383972827</c:v>
                </c:pt>
                <c:pt idx="497">
                  <c:v>184.26379383972827</c:v>
                </c:pt>
                <c:pt idx="498">
                  <c:v>184.26379383972827</c:v>
                </c:pt>
                <c:pt idx="499">
                  <c:v>184.26379383972827</c:v>
                </c:pt>
                <c:pt idx="500">
                  <c:v>184.26379383972827</c:v>
                </c:pt>
                <c:pt idx="501">
                  <c:v>184.26379383972827</c:v>
                </c:pt>
                <c:pt idx="502">
                  <c:v>184.26379383972827</c:v>
                </c:pt>
                <c:pt idx="503">
                  <c:v>184.26379383972827</c:v>
                </c:pt>
                <c:pt idx="504">
                  <c:v>184.26379383972827</c:v>
                </c:pt>
                <c:pt idx="505">
                  <c:v>184.26379383972827</c:v>
                </c:pt>
                <c:pt idx="506">
                  <c:v>184.26379383972827</c:v>
                </c:pt>
                <c:pt idx="507">
                  <c:v>184.26379383972827</c:v>
                </c:pt>
                <c:pt idx="508">
                  <c:v>184.26379383972827</c:v>
                </c:pt>
                <c:pt idx="509">
                  <c:v>184.26379383972827</c:v>
                </c:pt>
                <c:pt idx="510">
                  <c:v>184.26379383972827</c:v>
                </c:pt>
                <c:pt idx="511">
                  <c:v>184.26379383972827</c:v>
                </c:pt>
                <c:pt idx="512">
                  <c:v>184.26379383972827</c:v>
                </c:pt>
                <c:pt idx="513">
                  <c:v>184.26379383972827</c:v>
                </c:pt>
                <c:pt idx="514">
                  <c:v>184.26379383972827</c:v>
                </c:pt>
                <c:pt idx="515">
                  <c:v>184.26379383972827</c:v>
                </c:pt>
                <c:pt idx="516">
                  <c:v>184.26379383972827</c:v>
                </c:pt>
                <c:pt idx="517">
                  <c:v>184.26379383972827</c:v>
                </c:pt>
                <c:pt idx="518">
                  <c:v>184.26379383972827</c:v>
                </c:pt>
                <c:pt idx="519">
                  <c:v>184.26379383972827</c:v>
                </c:pt>
                <c:pt idx="520">
                  <c:v>184.26379383972827</c:v>
                </c:pt>
                <c:pt idx="521">
                  <c:v>184.26379383972827</c:v>
                </c:pt>
                <c:pt idx="522">
                  <c:v>184.26379383972827</c:v>
                </c:pt>
                <c:pt idx="523">
                  <c:v>184.26379383972827</c:v>
                </c:pt>
                <c:pt idx="524">
                  <c:v>184.26379383972827</c:v>
                </c:pt>
                <c:pt idx="525">
                  <c:v>184.26379383972827</c:v>
                </c:pt>
                <c:pt idx="526">
                  <c:v>184.26379383972827</c:v>
                </c:pt>
                <c:pt idx="527">
                  <c:v>184.26379383972827</c:v>
                </c:pt>
                <c:pt idx="528">
                  <c:v>184.26379383972827</c:v>
                </c:pt>
                <c:pt idx="529">
                  <c:v>184.26379383972827</c:v>
                </c:pt>
                <c:pt idx="530">
                  <c:v>184.26379383972827</c:v>
                </c:pt>
                <c:pt idx="531">
                  <c:v>184.26379383972827</c:v>
                </c:pt>
                <c:pt idx="532">
                  <c:v>184.26379383972827</c:v>
                </c:pt>
                <c:pt idx="533">
                  <c:v>184.26379383972827</c:v>
                </c:pt>
                <c:pt idx="534">
                  <c:v>184.26379383972827</c:v>
                </c:pt>
                <c:pt idx="535">
                  <c:v>184.26379383972827</c:v>
                </c:pt>
                <c:pt idx="536">
                  <c:v>184.26379383972827</c:v>
                </c:pt>
                <c:pt idx="537">
                  <c:v>184.26379383972827</c:v>
                </c:pt>
                <c:pt idx="538">
                  <c:v>184.26379383972827</c:v>
                </c:pt>
                <c:pt idx="539">
                  <c:v>184.26379383972827</c:v>
                </c:pt>
                <c:pt idx="540">
                  <c:v>184.26379383972827</c:v>
                </c:pt>
                <c:pt idx="541">
                  <c:v>184.26379383972827</c:v>
                </c:pt>
                <c:pt idx="542">
                  <c:v>184.26379383972827</c:v>
                </c:pt>
                <c:pt idx="543">
                  <c:v>184.26379383972827</c:v>
                </c:pt>
                <c:pt idx="544">
                  <c:v>184.26379383972827</c:v>
                </c:pt>
                <c:pt idx="545">
                  <c:v>184.26379383972827</c:v>
                </c:pt>
                <c:pt idx="546">
                  <c:v>184.26379383972827</c:v>
                </c:pt>
                <c:pt idx="547">
                  <c:v>184.26379383972827</c:v>
                </c:pt>
                <c:pt idx="548">
                  <c:v>184.26379383972827</c:v>
                </c:pt>
                <c:pt idx="549">
                  <c:v>184.26379383972827</c:v>
                </c:pt>
                <c:pt idx="550">
                  <c:v>184.26379383972827</c:v>
                </c:pt>
                <c:pt idx="551">
                  <c:v>184.26379383972827</c:v>
                </c:pt>
                <c:pt idx="552">
                  <c:v>184.26379383972827</c:v>
                </c:pt>
                <c:pt idx="553">
                  <c:v>184.26379383972827</c:v>
                </c:pt>
                <c:pt idx="554">
                  <c:v>184.26379383972827</c:v>
                </c:pt>
                <c:pt idx="555">
                  <c:v>184.26379383972827</c:v>
                </c:pt>
                <c:pt idx="556">
                  <c:v>184.26379383972827</c:v>
                </c:pt>
                <c:pt idx="557">
                  <c:v>184.26379383972827</c:v>
                </c:pt>
                <c:pt idx="558">
                  <c:v>184.26379383972827</c:v>
                </c:pt>
                <c:pt idx="559">
                  <c:v>184.26379383972827</c:v>
                </c:pt>
                <c:pt idx="560">
                  <c:v>184.26379383972827</c:v>
                </c:pt>
                <c:pt idx="561">
                  <c:v>184.26379383972827</c:v>
                </c:pt>
                <c:pt idx="562">
                  <c:v>184.26379383972827</c:v>
                </c:pt>
                <c:pt idx="563">
                  <c:v>184.26379383972827</c:v>
                </c:pt>
                <c:pt idx="564">
                  <c:v>184.26379383972827</c:v>
                </c:pt>
                <c:pt idx="565">
                  <c:v>184.26379383972827</c:v>
                </c:pt>
                <c:pt idx="566">
                  <c:v>184.26379383972827</c:v>
                </c:pt>
                <c:pt idx="567">
                  <c:v>184.26379383972827</c:v>
                </c:pt>
                <c:pt idx="568">
                  <c:v>184.26379383972827</c:v>
                </c:pt>
                <c:pt idx="569">
                  <c:v>184.26379383972827</c:v>
                </c:pt>
                <c:pt idx="570">
                  <c:v>184.26379383972827</c:v>
                </c:pt>
                <c:pt idx="571">
                  <c:v>184.26379383972827</c:v>
                </c:pt>
                <c:pt idx="572">
                  <c:v>184.26379383972827</c:v>
                </c:pt>
                <c:pt idx="573">
                  <c:v>184.26379383972827</c:v>
                </c:pt>
                <c:pt idx="574">
                  <c:v>184.26379383972827</c:v>
                </c:pt>
                <c:pt idx="575">
                  <c:v>184.26379383972827</c:v>
                </c:pt>
                <c:pt idx="576">
                  <c:v>184.26379383972827</c:v>
                </c:pt>
                <c:pt idx="577">
                  <c:v>184.26379383972827</c:v>
                </c:pt>
                <c:pt idx="578">
                  <c:v>184.26379383972827</c:v>
                </c:pt>
                <c:pt idx="579">
                  <c:v>184.26379383972827</c:v>
                </c:pt>
                <c:pt idx="580">
                  <c:v>184.26379383972827</c:v>
                </c:pt>
                <c:pt idx="581">
                  <c:v>184.26379383972827</c:v>
                </c:pt>
                <c:pt idx="582">
                  <c:v>184.26379383972827</c:v>
                </c:pt>
                <c:pt idx="583">
                  <c:v>184.26379383972827</c:v>
                </c:pt>
                <c:pt idx="584">
                  <c:v>184.26379383972827</c:v>
                </c:pt>
                <c:pt idx="585">
                  <c:v>184.26379383972827</c:v>
                </c:pt>
                <c:pt idx="586">
                  <c:v>184.26379383972827</c:v>
                </c:pt>
                <c:pt idx="587">
                  <c:v>184.26379383972827</c:v>
                </c:pt>
                <c:pt idx="588">
                  <c:v>184.26379383972827</c:v>
                </c:pt>
                <c:pt idx="589">
                  <c:v>184.26379383972827</c:v>
                </c:pt>
                <c:pt idx="590">
                  <c:v>184.26379383972827</c:v>
                </c:pt>
                <c:pt idx="591">
                  <c:v>184.26379383972827</c:v>
                </c:pt>
                <c:pt idx="592">
                  <c:v>184.26379383972827</c:v>
                </c:pt>
                <c:pt idx="593">
                  <c:v>184.26379383972827</c:v>
                </c:pt>
                <c:pt idx="594">
                  <c:v>184.26379383972827</c:v>
                </c:pt>
                <c:pt idx="595">
                  <c:v>184.26379383972827</c:v>
                </c:pt>
                <c:pt idx="596">
                  <c:v>184.26379383972827</c:v>
                </c:pt>
                <c:pt idx="597">
                  <c:v>184.26379383972827</c:v>
                </c:pt>
                <c:pt idx="598">
                  <c:v>184.26379383972827</c:v>
                </c:pt>
                <c:pt idx="599">
                  <c:v>184.26379383972827</c:v>
                </c:pt>
                <c:pt idx="600">
                  <c:v>184.26379383972827</c:v>
                </c:pt>
                <c:pt idx="601">
                  <c:v>184.26379383972827</c:v>
                </c:pt>
                <c:pt idx="602">
                  <c:v>184.26379383972827</c:v>
                </c:pt>
                <c:pt idx="603">
                  <c:v>184.26379383972827</c:v>
                </c:pt>
                <c:pt idx="604">
                  <c:v>184.26379383972827</c:v>
                </c:pt>
                <c:pt idx="605">
                  <c:v>184.26379383972827</c:v>
                </c:pt>
                <c:pt idx="606">
                  <c:v>184.26379383972827</c:v>
                </c:pt>
                <c:pt idx="607">
                  <c:v>184.26379383972827</c:v>
                </c:pt>
                <c:pt idx="608">
                  <c:v>184.26379383972827</c:v>
                </c:pt>
                <c:pt idx="609">
                  <c:v>184.26379383972827</c:v>
                </c:pt>
                <c:pt idx="610">
                  <c:v>184.26379383972827</c:v>
                </c:pt>
                <c:pt idx="611">
                  <c:v>184.26379383972827</c:v>
                </c:pt>
                <c:pt idx="612">
                  <c:v>184.26379383972827</c:v>
                </c:pt>
                <c:pt idx="613">
                  <c:v>184.26379383972827</c:v>
                </c:pt>
                <c:pt idx="614">
                  <c:v>184.26379383972827</c:v>
                </c:pt>
                <c:pt idx="615">
                  <c:v>184.26379383972827</c:v>
                </c:pt>
                <c:pt idx="616">
                  <c:v>184.26379383972827</c:v>
                </c:pt>
                <c:pt idx="617">
                  <c:v>184.26379383972827</c:v>
                </c:pt>
                <c:pt idx="618">
                  <c:v>184.26379383972827</c:v>
                </c:pt>
                <c:pt idx="619">
                  <c:v>184.26379383972827</c:v>
                </c:pt>
                <c:pt idx="620">
                  <c:v>184.26379383972827</c:v>
                </c:pt>
                <c:pt idx="621">
                  <c:v>184.26379383972827</c:v>
                </c:pt>
                <c:pt idx="622">
                  <c:v>184.26379383972827</c:v>
                </c:pt>
                <c:pt idx="623">
                  <c:v>184.26379383972827</c:v>
                </c:pt>
                <c:pt idx="624">
                  <c:v>184.26379383972827</c:v>
                </c:pt>
                <c:pt idx="625">
                  <c:v>184.26379383972827</c:v>
                </c:pt>
                <c:pt idx="626">
                  <c:v>184.26379383972827</c:v>
                </c:pt>
                <c:pt idx="627">
                  <c:v>184.26379383972827</c:v>
                </c:pt>
                <c:pt idx="628">
                  <c:v>184.26379383972827</c:v>
                </c:pt>
                <c:pt idx="629">
                  <c:v>184.26379383972827</c:v>
                </c:pt>
                <c:pt idx="630">
                  <c:v>184.26379383972827</c:v>
                </c:pt>
                <c:pt idx="631">
                  <c:v>184.26379383972827</c:v>
                </c:pt>
                <c:pt idx="632">
                  <c:v>184.26379383972827</c:v>
                </c:pt>
                <c:pt idx="633">
                  <c:v>184.26379383972827</c:v>
                </c:pt>
                <c:pt idx="634">
                  <c:v>184.26379383972827</c:v>
                </c:pt>
                <c:pt idx="635">
                  <c:v>184.26379383972827</c:v>
                </c:pt>
                <c:pt idx="636">
                  <c:v>184.26379383972827</c:v>
                </c:pt>
                <c:pt idx="637">
                  <c:v>184.26379383972827</c:v>
                </c:pt>
                <c:pt idx="638">
                  <c:v>184.26379383972827</c:v>
                </c:pt>
                <c:pt idx="639">
                  <c:v>184.26379383972827</c:v>
                </c:pt>
                <c:pt idx="640">
                  <c:v>184.26379383972827</c:v>
                </c:pt>
                <c:pt idx="641">
                  <c:v>184.26379383972827</c:v>
                </c:pt>
                <c:pt idx="642">
                  <c:v>184.26379383972827</c:v>
                </c:pt>
                <c:pt idx="643">
                  <c:v>184.26379383972827</c:v>
                </c:pt>
                <c:pt idx="644">
                  <c:v>184.26379383972827</c:v>
                </c:pt>
                <c:pt idx="645">
                  <c:v>184.26379383972827</c:v>
                </c:pt>
                <c:pt idx="646">
                  <c:v>184.26379383972827</c:v>
                </c:pt>
                <c:pt idx="647">
                  <c:v>184.26379383972827</c:v>
                </c:pt>
                <c:pt idx="648">
                  <c:v>184.26379383972827</c:v>
                </c:pt>
                <c:pt idx="649">
                  <c:v>184.26379383972827</c:v>
                </c:pt>
                <c:pt idx="650">
                  <c:v>184.26379383972827</c:v>
                </c:pt>
                <c:pt idx="651">
                  <c:v>184.26379383972827</c:v>
                </c:pt>
                <c:pt idx="652">
                  <c:v>184.26379383972827</c:v>
                </c:pt>
                <c:pt idx="653">
                  <c:v>184.26379383972827</c:v>
                </c:pt>
                <c:pt idx="654">
                  <c:v>184.26379383972827</c:v>
                </c:pt>
                <c:pt idx="655">
                  <c:v>184.26379383972827</c:v>
                </c:pt>
                <c:pt idx="656">
                  <c:v>184.26379383972827</c:v>
                </c:pt>
                <c:pt idx="657">
                  <c:v>184.26379383972827</c:v>
                </c:pt>
                <c:pt idx="658">
                  <c:v>184.26379383972827</c:v>
                </c:pt>
                <c:pt idx="659">
                  <c:v>184.26379383972827</c:v>
                </c:pt>
                <c:pt idx="660">
                  <c:v>184.26379383972827</c:v>
                </c:pt>
                <c:pt idx="661">
                  <c:v>184.26379383972827</c:v>
                </c:pt>
                <c:pt idx="662">
                  <c:v>184.26379383972827</c:v>
                </c:pt>
                <c:pt idx="663">
                  <c:v>184.26379383972827</c:v>
                </c:pt>
                <c:pt idx="664">
                  <c:v>184.26379383972827</c:v>
                </c:pt>
                <c:pt idx="665">
                  <c:v>184.26379383972827</c:v>
                </c:pt>
                <c:pt idx="666">
                  <c:v>184.26379383972827</c:v>
                </c:pt>
                <c:pt idx="667">
                  <c:v>184.26379383972827</c:v>
                </c:pt>
                <c:pt idx="668">
                  <c:v>184.26379383972827</c:v>
                </c:pt>
                <c:pt idx="669">
                  <c:v>184.26379383972827</c:v>
                </c:pt>
                <c:pt idx="670">
                  <c:v>184.26379383972827</c:v>
                </c:pt>
                <c:pt idx="671">
                  <c:v>184.26379383972827</c:v>
                </c:pt>
                <c:pt idx="672">
                  <c:v>184.26379383972827</c:v>
                </c:pt>
                <c:pt idx="673">
                  <c:v>184.26379383972827</c:v>
                </c:pt>
                <c:pt idx="674">
                  <c:v>184.26379383972827</c:v>
                </c:pt>
                <c:pt idx="675">
                  <c:v>184.26379383972827</c:v>
                </c:pt>
                <c:pt idx="676">
                  <c:v>184.26379383972827</c:v>
                </c:pt>
                <c:pt idx="677">
                  <c:v>184.26379383972827</c:v>
                </c:pt>
                <c:pt idx="678">
                  <c:v>184.26379383972827</c:v>
                </c:pt>
                <c:pt idx="679">
                  <c:v>184.26379383972827</c:v>
                </c:pt>
                <c:pt idx="680">
                  <c:v>184.26379383972827</c:v>
                </c:pt>
                <c:pt idx="681">
                  <c:v>184.26379383972827</c:v>
                </c:pt>
                <c:pt idx="682">
                  <c:v>184.26379383972827</c:v>
                </c:pt>
                <c:pt idx="683">
                  <c:v>184.26379383972827</c:v>
                </c:pt>
                <c:pt idx="684">
                  <c:v>184.26379383972827</c:v>
                </c:pt>
                <c:pt idx="685">
                  <c:v>184.26379383972827</c:v>
                </c:pt>
                <c:pt idx="686">
                  <c:v>184.26379383972827</c:v>
                </c:pt>
                <c:pt idx="687">
                  <c:v>184.26379383972827</c:v>
                </c:pt>
                <c:pt idx="688">
                  <c:v>184.26379383972827</c:v>
                </c:pt>
                <c:pt idx="689">
                  <c:v>184.26379383972827</c:v>
                </c:pt>
                <c:pt idx="690">
                  <c:v>184.26379383972827</c:v>
                </c:pt>
                <c:pt idx="691">
                  <c:v>184.26379383972827</c:v>
                </c:pt>
                <c:pt idx="692">
                  <c:v>184.26379383972827</c:v>
                </c:pt>
                <c:pt idx="693">
                  <c:v>184.26379383972827</c:v>
                </c:pt>
                <c:pt idx="694">
                  <c:v>184.26379383972827</c:v>
                </c:pt>
                <c:pt idx="695">
                  <c:v>184.26379383972827</c:v>
                </c:pt>
                <c:pt idx="696">
                  <c:v>184.26379383972827</c:v>
                </c:pt>
                <c:pt idx="697">
                  <c:v>184.26379383972827</c:v>
                </c:pt>
                <c:pt idx="698">
                  <c:v>184.26379383972827</c:v>
                </c:pt>
                <c:pt idx="699">
                  <c:v>184.26379383972827</c:v>
                </c:pt>
                <c:pt idx="700">
                  <c:v>184.26379383972827</c:v>
                </c:pt>
                <c:pt idx="701">
                  <c:v>184.26379383972827</c:v>
                </c:pt>
                <c:pt idx="702">
                  <c:v>184.26379383972827</c:v>
                </c:pt>
                <c:pt idx="703">
                  <c:v>184.26379383972827</c:v>
                </c:pt>
                <c:pt idx="704">
                  <c:v>184.26379383972827</c:v>
                </c:pt>
                <c:pt idx="705">
                  <c:v>184.26379383972827</c:v>
                </c:pt>
                <c:pt idx="706">
                  <c:v>184.26379383972827</c:v>
                </c:pt>
                <c:pt idx="707">
                  <c:v>184.26379383972827</c:v>
                </c:pt>
                <c:pt idx="708">
                  <c:v>184.26379383972827</c:v>
                </c:pt>
                <c:pt idx="709">
                  <c:v>184.26379383972827</c:v>
                </c:pt>
                <c:pt idx="710">
                  <c:v>184.26379383972827</c:v>
                </c:pt>
                <c:pt idx="711">
                  <c:v>184.26379383972827</c:v>
                </c:pt>
                <c:pt idx="712">
                  <c:v>184.26379383972827</c:v>
                </c:pt>
                <c:pt idx="713">
                  <c:v>184.26379383972827</c:v>
                </c:pt>
                <c:pt idx="714">
                  <c:v>184.26379383972827</c:v>
                </c:pt>
                <c:pt idx="715">
                  <c:v>184.26379383972827</c:v>
                </c:pt>
                <c:pt idx="716">
                  <c:v>184.26379383972827</c:v>
                </c:pt>
                <c:pt idx="717">
                  <c:v>184.26379383972827</c:v>
                </c:pt>
                <c:pt idx="718">
                  <c:v>184.26379383972827</c:v>
                </c:pt>
                <c:pt idx="719">
                  <c:v>184.26379383972827</c:v>
                </c:pt>
                <c:pt idx="720">
                  <c:v>184.26379383972827</c:v>
                </c:pt>
                <c:pt idx="721">
                  <c:v>184.26379383972827</c:v>
                </c:pt>
                <c:pt idx="722">
                  <c:v>184.26379383972827</c:v>
                </c:pt>
                <c:pt idx="723">
                  <c:v>184.26379383972827</c:v>
                </c:pt>
                <c:pt idx="724">
                  <c:v>184.26379383972827</c:v>
                </c:pt>
                <c:pt idx="725">
                  <c:v>184.26379383972827</c:v>
                </c:pt>
                <c:pt idx="726">
                  <c:v>184.26379383972827</c:v>
                </c:pt>
                <c:pt idx="727">
                  <c:v>184.26379383972827</c:v>
                </c:pt>
                <c:pt idx="728">
                  <c:v>184.26379383972827</c:v>
                </c:pt>
                <c:pt idx="729">
                  <c:v>184.26379383972827</c:v>
                </c:pt>
                <c:pt idx="730">
                  <c:v>184.26379383972827</c:v>
                </c:pt>
                <c:pt idx="731">
                  <c:v>184.26379383972827</c:v>
                </c:pt>
                <c:pt idx="732">
                  <c:v>184.26379383972827</c:v>
                </c:pt>
                <c:pt idx="733">
                  <c:v>184.26379383972827</c:v>
                </c:pt>
                <c:pt idx="734">
                  <c:v>184.26379383972827</c:v>
                </c:pt>
                <c:pt idx="735">
                  <c:v>184.26379383972827</c:v>
                </c:pt>
                <c:pt idx="736">
                  <c:v>184.26379383972827</c:v>
                </c:pt>
                <c:pt idx="737">
                  <c:v>184.26379383972827</c:v>
                </c:pt>
                <c:pt idx="738">
                  <c:v>184.26379383972827</c:v>
                </c:pt>
                <c:pt idx="739">
                  <c:v>184.26379383972827</c:v>
                </c:pt>
                <c:pt idx="740">
                  <c:v>184.26379383972827</c:v>
                </c:pt>
                <c:pt idx="741">
                  <c:v>184.26379383972827</c:v>
                </c:pt>
                <c:pt idx="742">
                  <c:v>184.26379383972827</c:v>
                </c:pt>
                <c:pt idx="743">
                  <c:v>184.26379383972827</c:v>
                </c:pt>
                <c:pt idx="744">
                  <c:v>184.26379383972827</c:v>
                </c:pt>
                <c:pt idx="745">
                  <c:v>184.26379383972827</c:v>
                </c:pt>
                <c:pt idx="746">
                  <c:v>184.26379383972827</c:v>
                </c:pt>
                <c:pt idx="747">
                  <c:v>184.26379383972827</c:v>
                </c:pt>
                <c:pt idx="748">
                  <c:v>184.26379383972827</c:v>
                </c:pt>
                <c:pt idx="749">
                  <c:v>184.26379383972827</c:v>
                </c:pt>
                <c:pt idx="750">
                  <c:v>184.26379383972827</c:v>
                </c:pt>
                <c:pt idx="751">
                  <c:v>184.26379383972827</c:v>
                </c:pt>
                <c:pt idx="752">
                  <c:v>184.26379383972827</c:v>
                </c:pt>
                <c:pt idx="753">
                  <c:v>184.26379383972827</c:v>
                </c:pt>
                <c:pt idx="754">
                  <c:v>184.26379383972827</c:v>
                </c:pt>
                <c:pt idx="755">
                  <c:v>184.26379383972827</c:v>
                </c:pt>
                <c:pt idx="756">
                  <c:v>184.26379383972827</c:v>
                </c:pt>
                <c:pt idx="757">
                  <c:v>184.26379383972827</c:v>
                </c:pt>
                <c:pt idx="758">
                  <c:v>184.26379383972827</c:v>
                </c:pt>
                <c:pt idx="759">
                  <c:v>184.26379383972827</c:v>
                </c:pt>
                <c:pt idx="760">
                  <c:v>184.26379383972827</c:v>
                </c:pt>
                <c:pt idx="761">
                  <c:v>184.26379383972827</c:v>
                </c:pt>
                <c:pt idx="762">
                  <c:v>184.26379383972827</c:v>
                </c:pt>
                <c:pt idx="763">
                  <c:v>184.26379383972827</c:v>
                </c:pt>
                <c:pt idx="764">
                  <c:v>184.26379383972827</c:v>
                </c:pt>
                <c:pt idx="765">
                  <c:v>184.26379383972827</c:v>
                </c:pt>
                <c:pt idx="766">
                  <c:v>184.26379383972827</c:v>
                </c:pt>
                <c:pt idx="767">
                  <c:v>184.26379383972827</c:v>
                </c:pt>
                <c:pt idx="768">
                  <c:v>184.26379383972827</c:v>
                </c:pt>
                <c:pt idx="769">
                  <c:v>184.26379383972827</c:v>
                </c:pt>
                <c:pt idx="770">
                  <c:v>184.26379383972827</c:v>
                </c:pt>
                <c:pt idx="771">
                  <c:v>184.26379383972827</c:v>
                </c:pt>
                <c:pt idx="772">
                  <c:v>184.26379383972827</c:v>
                </c:pt>
                <c:pt idx="773">
                  <c:v>184.26379383972827</c:v>
                </c:pt>
                <c:pt idx="774">
                  <c:v>184.26379383972827</c:v>
                </c:pt>
                <c:pt idx="775">
                  <c:v>184.26379383972827</c:v>
                </c:pt>
                <c:pt idx="776">
                  <c:v>184.26379383972827</c:v>
                </c:pt>
                <c:pt idx="777">
                  <c:v>184.26379383972827</c:v>
                </c:pt>
                <c:pt idx="778">
                  <c:v>184.26379383972827</c:v>
                </c:pt>
                <c:pt idx="779">
                  <c:v>184.26379383972827</c:v>
                </c:pt>
                <c:pt idx="780">
                  <c:v>184.26379383972827</c:v>
                </c:pt>
                <c:pt idx="781">
                  <c:v>184.26379383972827</c:v>
                </c:pt>
                <c:pt idx="782">
                  <c:v>184.26379383972827</c:v>
                </c:pt>
                <c:pt idx="783">
                  <c:v>184.26379383972827</c:v>
                </c:pt>
                <c:pt idx="784">
                  <c:v>184.26379383972827</c:v>
                </c:pt>
                <c:pt idx="785">
                  <c:v>184.26379383972827</c:v>
                </c:pt>
                <c:pt idx="786">
                  <c:v>184.26379383972827</c:v>
                </c:pt>
                <c:pt idx="787">
                  <c:v>184.26379383972827</c:v>
                </c:pt>
                <c:pt idx="788">
                  <c:v>184.26379383972827</c:v>
                </c:pt>
                <c:pt idx="789">
                  <c:v>184.26379383972827</c:v>
                </c:pt>
                <c:pt idx="790">
                  <c:v>184.26379383972827</c:v>
                </c:pt>
                <c:pt idx="791">
                  <c:v>184.26379383972827</c:v>
                </c:pt>
                <c:pt idx="792">
                  <c:v>184.26379383972827</c:v>
                </c:pt>
                <c:pt idx="793">
                  <c:v>184.26379383972827</c:v>
                </c:pt>
                <c:pt idx="794">
                  <c:v>184.26379383972827</c:v>
                </c:pt>
                <c:pt idx="795">
                  <c:v>184.26379383972827</c:v>
                </c:pt>
                <c:pt idx="796">
                  <c:v>184.26379383972827</c:v>
                </c:pt>
                <c:pt idx="797">
                  <c:v>184.26379383972827</c:v>
                </c:pt>
                <c:pt idx="798">
                  <c:v>184.26379383972827</c:v>
                </c:pt>
                <c:pt idx="799">
                  <c:v>184.26379383972827</c:v>
                </c:pt>
                <c:pt idx="800">
                  <c:v>184.26379383972827</c:v>
                </c:pt>
                <c:pt idx="801">
                  <c:v>184.26379383972827</c:v>
                </c:pt>
                <c:pt idx="802">
                  <c:v>184.26379383972827</c:v>
                </c:pt>
                <c:pt idx="803">
                  <c:v>184.26379383972827</c:v>
                </c:pt>
                <c:pt idx="804">
                  <c:v>184.26379383972827</c:v>
                </c:pt>
                <c:pt idx="805">
                  <c:v>184.26379383972827</c:v>
                </c:pt>
                <c:pt idx="806">
                  <c:v>184.26379383972827</c:v>
                </c:pt>
                <c:pt idx="807">
                  <c:v>184.26379383972827</c:v>
                </c:pt>
                <c:pt idx="808">
                  <c:v>184.26379383972827</c:v>
                </c:pt>
                <c:pt idx="809">
                  <c:v>184.26379383972827</c:v>
                </c:pt>
                <c:pt idx="810">
                  <c:v>184.26379383972827</c:v>
                </c:pt>
                <c:pt idx="811">
                  <c:v>184.26379383972827</c:v>
                </c:pt>
                <c:pt idx="812">
                  <c:v>184.26379383972827</c:v>
                </c:pt>
                <c:pt idx="813">
                  <c:v>184.26379383972827</c:v>
                </c:pt>
                <c:pt idx="814">
                  <c:v>184.26379383972827</c:v>
                </c:pt>
                <c:pt idx="815">
                  <c:v>184.26379383972827</c:v>
                </c:pt>
                <c:pt idx="816">
                  <c:v>184.26379383972827</c:v>
                </c:pt>
                <c:pt idx="817">
                  <c:v>184.26379383972827</c:v>
                </c:pt>
                <c:pt idx="818">
                  <c:v>184.26379383972827</c:v>
                </c:pt>
                <c:pt idx="819">
                  <c:v>184.26379383972827</c:v>
                </c:pt>
                <c:pt idx="820">
                  <c:v>184.26379383972827</c:v>
                </c:pt>
                <c:pt idx="821">
                  <c:v>184.26379383972827</c:v>
                </c:pt>
                <c:pt idx="822">
                  <c:v>184.26379383972827</c:v>
                </c:pt>
                <c:pt idx="823">
                  <c:v>184.26379383972827</c:v>
                </c:pt>
                <c:pt idx="824">
                  <c:v>184.26379383972827</c:v>
                </c:pt>
                <c:pt idx="825">
                  <c:v>184.26379383972827</c:v>
                </c:pt>
                <c:pt idx="826">
                  <c:v>184.26379383972827</c:v>
                </c:pt>
                <c:pt idx="827">
                  <c:v>184.26379383972827</c:v>
                </c:pt>
                <c:pt idx="828">
                  <c:v>184.26379383972827</c:v>
                </c:pt>
                <c:pt idx="829">
                  <c:v>184.26379383972827</c:v>
                </c:pt>
                <c:pt idx="830">
                  <c:v>184.26379383972827</c:v>
                </c:pt>
                <c:pt idx="831">
                  <c:v>184.26379383972827</c:v>
                </c:pt>
                <c:pt idx="832">
                  <c:v>184.26379383972827</c:v>
                </c:pt>
                <c:pt idx="833">
                  <c:v>184.26379383972827</c:v>
                </c:pt>
                <c:pt idx="834">
                  <c:v>184.26379383972827</c:v>
                </c:pt>
                <c:pt idx="835">
                  <c:v>184.26379383972827</c:v>
                </c:pt>
                <c:pt idx="836">
                  <c:v>184.26379383972827</c:v>
                </c:pt>
                <c:pt idx="837">
                  <c:v>184.26379383972827</c:v>
                </c:pt>
                <c:pt idx="838">
                  <c:v>184.26379383972827</c:v>
                </c:pt>
                <c:pt idx="839">
                  <c:v>184.26379383972827</c:v>
                </c:pt>
                <c:pt idx="840">
                  <c:v>184.26379383972827</c:v>
                </c:pt>
                <c:pt idx="841">
                  <c:v>184.26379383972827</c:v>
                </c:pt>
                <c:pt idx="842">
                  <c:v>184.26379383972827</c:v>
                </c:pt>
                <c:pt idx="843">
                  <c:v>184.26379383972827</c:v>
                </c:pt>
                <c:pt idx="844">
                  <c:v>184.26379383972827</c:v>
                </c:pt>
                <c:pt idx="845">
                  <c:v>184.26379383972827</c:v>
                </c:pt>
                <c:pt idx="846">
                  <c:v>184.26379383972827</c:v>
                </c:pt>
                <c:pt idx="847">
                  <c:v>184.26379383972827</c:v>
                </c:pt>
                <c:pt idx="848">
                  <c:v>184.26379383972827</c:v>
                </c:pt>
                <c:pt idx="849">
                  <c:v>184.26379383972827</c:v>
                </c:pt>
                <c:pt idx="850">
                  <c:v>184.26379383972827</c:v>
                </c:pt>
                <c:pt idx="851">
                  <c:v>184.26379383972827</c:v>
                </c:pt>
                <c:pt idx="852">
                  <c:v>184.26379383972827</c:v>
                </c:pt>
                <c:pt idx="853">
                  <c:v>184.26379383972827</c:v>
                </c:pt>
                <c:pt idx="854">
                  <c:v>184.26379383972827</c:v>
                </c:pt>
                <c:pt idx="855">
                  <c:v>184.26379383972827</c:v>
                </c:pt>
                <c:pt idx="856">
                  <c:v>184.26379383972827</c:v>
                </c:pt>
                <c:pt idx="857">
                  <c:v>184.26379383972827</c:v>
                </c:pt>
                <c:pt idx="858">
                  <c:v>184.26379383972827</c:v>
                </c:pt>
                <c:pt idx="859">
                  <c:v>184.26379383972827</c:v>
                </c:pt>
                <c:pt idx="860">
                  <c:v>184.26379383972827</c:v>
                </c:pt>
                <c:pt idx="861">
                  <c:v>184.26379383972827</c:v>
                </c:pt>
                <c:pt idx="862">
                  <c:v>184.26379383972827</c:v>
                </c:pt>
                <c:pt idx="863">
                  <c:v>184.26379383972827</c:v>
                </c:pt>
                <c:pt idx="864">
                  <c:v>184.26379383972827</c:v>
                </c:pt>
                <c:pt idx="865">
                  <c:v>184.26379383972827</c:v>
                </c:pt>
                <c:pt idx="866">
                  <c:v>184.26379383972827</c:v>
                </c:pt>
                <c:pt idx="867">
                  <c:v>184.26379383972827</c:v>
                </c:pt>
                <c:pt idx="868">
                  <c:v>184.26379383972827</c:v>
                </c:pt>
                <c:pt idx="869">
                  <c:v>184.26379383972827</c:v>
                </c:pt>
                <c:pt idx="870">
                  <c:v>184.26379383972827</c:v>
                </c:pt>
                <c:pt idx="871">
                  <c:v>184.26379383972827</c:v>
                </c:pt>
                <c:pt idx="872">
                  <c:v>184.26379383972827</c:v>
                </c:pt>
                <c:pt idx="873">
                  <c:v>184.26379383972827</c:v>
                </c:pt>
                <c:pt idx="874">
                  <c:v>184.26379383972827</c:v>
                </c:pt>
                <c:pt idx="875">
                  <c:v>184.26379383972827</c:v>
                </c:pt>
                <c:pt idx="876">
                  <c:v>184.26379383972827</c:v>
                </c:pt>
                <c:pt idx="877">
                  <c:v>184.26379383972827</c:v>
                </c:pt>
                <c:pt idx="878">
                  <c:v>184.26379383972827</c:v>
                </c:pt>
                <c:pt idx="879">
                  <c:v>184.26379383972827</c:v>
                </c:pt>
                <c:pt idx="880">
                  <c:v>184.26379383972827</c:v>
                </c:pt>
                <c:pt idx="881">
                  <c:v>184.26379383972827</c:v>
                </c:pt>
                <c:pt idx="882">
                  <c:v>184.26379383972827</c:v>
                </c:pt>
                <c:pt idx="883">
                  <c:v>184.26379383972827</c:v>
                </c:pt>
                <c:pt idx="884">
                  <c:v>184.26379383972827</c:v>
                </c:pt>
                <c:pt idx="885">
                  <c:v>184.26379383972827</c:v>
                </c:pt>
                <c:pt idx="886">
                  <c:v>184.26379383972827</c:v>
                </c:pt>
                <c:pt idx="887">
                  <c:v>184.26379383972827</c:v>
                </c:pt>
                <c:pt idx="888">
                  <c:v>184.26379383972827</c:v>
                </c:pt>
                <c:pt idx="889">
                  <c:v>184.26379383972827</c:v>
                </c:pt>
                <c:pt idx="890">
                  <c:v>184.26379383972827</c:v>
                </c:pt>
                <c:pt idx="891">
                  <c:v>184.26379383972827</c:v>
                </c:pt>
                <c:pt idx="892">
                  <c:v>184.26379383972827</c:v>
                </c:pt>
                <c:pt idx="893">
                  <c:v>184.26379383972827</c:v>
                </c:pt>
                <c:pt idx="894">
                  <c:v>184.26379383972827</c:v>
                </c:pt>
                <c:pt idx="895">
                  <c:v>184.26379383972827</c:v>
                </c:pt>
                <c:pt idx="896">
                  <c:v>184.26379383972827</c:v>
                </c:pt>
                <c:pt idx="897">
                  <c:v>184.26379383972827</c:v>
                </c:pt>
                <c:pt idx="898">
                  <c:v>184.26379383972827</c:v>
                </c:pt>
                <c:pt idx="899">
                  <c:v>184.26379383972827</c:v>
                </c:pt>
                <c:pt idx="900">
                  <c:v>184.26379383972827</c:v>
                </c:pt>
                <c:pt idx="901">
                  <c:v>184.26379383972827</c:v>
                </c:pt>
                <c:pt idx="902">
                  <c:v>184.26379383972827</c:v>
                </c:pt>
                <c:pt idx="903">
                  <c:v>184.26379383972827</c:v>
                </c:pt>
                <c:pt idx="904">
                  <c:v>184.26379383972827</c:v>
                </c:pt>
                <c:pt idx="905">
                  <c:v>184.26379383972827</c:v>
                </c:pt>
                <c:pt idx="906">
                  <c:v>184.26379383972827</c:v>
                </c:pt>
                <c:pt idx="907">
                  <c:v>184.26379383972827</c:v>
                </c:pt>
                <c:pt idx="908">
                  <c:v>184.26379383972827</c:v>
                </c:pt>
                <c:pt idx="909">
                  <c:v>184.26379383972827</c:v>
                </c:pt>
                <c:pt idx="910">
                  <c:v>184.26379383972827</c:v>
                </c:pt>
                <c:pt idx="911">
                  <c:v>184.26379383972827</c:v>
                </c:pt>
                <c:pt idx="912">
                  <c:v>184.26379383972827</c:v>
                </c:pt>
                <c:pt idx="913">
                  <c:v>184.26379383972827</c:v>
                </c:pt>
                <c:pt idx="914">
                  <c:v>184.26379383972827</c:v>
                </c:pt>
                <c:pt idx="915">
                  <c:v>184.26379383972827</c:v>
                </c:pt>
                <c:pt idx="916">
                  <c:v>184.26379383972827</c:v>
                </c:pt>
                <c:pt idx="917">
                  <c:v>184.26379383972827</c:v>
                </c:pt>
                <c:pt idx="918">
                  <c:v>184.26379383972827</c:v>
                </c:pt>
                <c:pt idx="919">
                  <c:v>184.26379383972827</c:v>
                </c:pt>
                <c:pt idx="920">
                  <c:v>184.26379383972827</c:v>
                </c:pt>
                <c:pt idx="921">
                  <c:v>184.26379383972827</c:v>
                </c:pt>
                <c:pt idx="922">
                  <c:v>184.26379383972827</c:v>
                </c:pt>
                <c:pt idx="923">
                  <c:v>184.26379383972827</c:v>
                </c:pt>
                <c:pt idx="924">
                  <c:v>184.26379383972827</c:v>
                </c:pt>
                <c:pt idx="925">
                  <c:v>184.26379383972827</c:v>
                </c:pt>
                <c:pt idx="926">
                  <c:v>184.26379383972827</c:v>
                </c:pt>
                <c:pt idx="927">
                  <c:v>184.26379383972827</c:v>
                </c:pt>
                <c:pt idx="928">
                  <c:v>184.26379383972827</c:v>
                </c:pt>
                <c:pt idx="929">
                  <c:v>184.26379383972827</c:v>
                </c:pt>
                <c:pt idx="930">
                  <c:v>184.26379383972827</c:v>
                </c:pt>
                <c:pt idx="931">
                  <c:v>184.26379383972827</c:v>
                </c:pt>
                <c:pt idx="932">
                  <c:v>184.26379383972827</c:v>
                </c:pt>
                <c:pt idx="933">
                  <c:v>184.26379383972827</c:v>
                </c:pt>
                <c:pt idx="934">
                  <c:v>184.26379383972827</c:v>
                </c:pt>
                <c:pt idx="935">
                  <c:v>184.26379383972827</c:v>
                </c:pt>
                <c:pt idx="936">
                  <c:v>184.26379383972827</c:v>
                </c:pt>
                <c:pt idx="937">
                  <c:v>184.26379383972827</c:v>
                </c:pt>
                <c:pt idx="938">
                  <c:v>184.26379383972827</c:v>
                </c:pt>
                <c:pt idx="939">
                  <c:v>184.26379383972827</c:v>
                </c:pt>
                <c:pt idx="940">
                  <c:v>184.26379383972827</c:v>
                </c:pt>
                <c:pt idx="941">
                  <c:v>184.26379383972827</c:v>
                </c:pt>
                <c:pt idx="942">
                  <c:v>184.26379383972827</c:v>
                </c:pt>
                <c:pt idx="943">
                  <c:v>184.26379383972827</c:v>
                </c:pt>
                <c:pt idx="944">
                  <c:v>184.26379383972827</c:v>
                </c:pt>
                <c:pt idx="945">
                  <c:v>184.26379383972827</c:v>
                </c:pt>
                <c:pt idx="946">
                  <c:v>184.26379383972827</c:v>
                </c:pt>
                <c:pt idx="947">
                  <c:v>184.26379383972827</c:v>
                </c:pt>
                <c:pt idx="948">
                  <c:v>184.26379383972827</c:v>
                </c:pt>
                <c:pt idx="949">
                  <c:v>184.26379383972827</c:v>
                </c:pt>
                <c:pt idx="950">
                  <c:v>184.26379383972827</c:v>
                </c:pt>
                <c:pt idx="951">
                  <c:v>184.26379383972827</c:v>
                </c:pt>
                <c:pt idx="952">
                  <c:v>184.26379383972827</c:v>
                </c:pt>
                <c:pt idx="953">
                  <c:v>184.26379383972827</c:v>
                </c:pt>
                <c:pt idx="954">
                  <c:v>184.26379383972827</c:v>
                </c:pt>
                <c:pt idx="955">
                  <c:v>184.26379383972827</c:v>
                </c:pt>
                <c:pt idx="956">
                  <c:v>184.26379383972827</c:v>
                </c:pt>
                <c:pt idx="957">
                  <c:v>184.26379383972827</c:v>
                </c:pt>
                <c:pt idx="958">
                  <c:v>184.26379383972827</c:v>
                </c:pt>
                <c:pt idx="959">
                  <c:v>184.26379383972827</c:v>
                </c:pt>
                <c:pt idx="960">
                  <c:v>184.26379383972827</c:v>
                </c:pt>
                <c:pt idx="961">
                  <c:v>184.26379383972827</c:v>
                </c:pt>
                <c:pt idx="962">
                  <c:v>184.26379383972827</c:v>
                </c:pt>
                <c:pt idx="963">
                  <c:v>184.26379383972827</c:v>
                </c:pt>
                <c:pt idx="964">
                  <c:v>184.26379383972827</c:v>
                </c:pt>
                <c:pt idx="965">
                  <c:v>184.26379383972827</c:v>
                </c:pt>
                <c:pt idx="966">
                  <c:v>184.26379383972827</c:v>
                </c:pt>
                <c:pt idx="967">
                  <c:v>184.26379383972827</c:v>
                </c:pt>
                <c:pt idx="968">
                  <c:v>184.26379383972827</c:v>
                </c:pt>
                <c:pt idx="969">
                  <c:v>184.26379383972827</c:v>
                </c:pt>
                <c:pt idx="970">
                  <c:v>184.26379383972827</c:v>
                </c:pt>
                <c:pt idx="971">
                  <c:v>184.26379383972827</c:v>
                </c:pt>
                <c:pt idx="972">
                  <c:v>184.26379383972827</c:v>
                </c:pt>
                <c:pt idx="973">
                  <c:v>184.26379383972827</c:v>
                </c:pt>
                <c:pt idx="974">
                  <c:v>184.26379383972827</c:v>
                </c:pt>
                <c:pt idx="975">
                  <c:v>184.26379383972827</c:v>
                </c:pt>
                <c:pt idx="976">
                  <c:v>184.26379383972827</c:v>
                </c:pt>
                <c:pt idx="977">
                  <c:v>184.26379383972827</c:v>
                </c:pt>
                <c:pt idx="978">
                  <c:v>184.26379383972827</c:v>
                </c:pt>
                <c:pt idx="979">
                  <c:v>184.26379383972827</c:v>
                </c:pt>
                <c:pt idx="980">
                  <c:v>184.26379383972827</c:v>
                </c:pt>
                <c:pt idx="981">
                  <c:v>184.26379383972827</c:v>
                </c:pt>
                <c:pt idx="982">
                  <c:v>184.26379383972827</c:v>
                </c:pt>
                <c:pt idx="983">
                  <c:v>184.26379383972827</c:v>
                </c:pt>
                <c:pt idx="984">
                  <c:v>184.26379383972827</c:v>
                </c:pt>
                <c:pt idx="985">
                  <c:v>184.26379383972827</c:v>
                </c:pt>
                <c:pt idx="986">
                  <c:v>184.26379383972827</c:v>
                </c:pt>
                <c:pt idx="987">
                  <c:v>184.26379383972827</c:v>
                </c:pt>
                <c:pt idx="988">
                  <c:v>184.26379383972827</c:v>
                </c:pt>
                <c:pt idx="989">
                  <c:v>184.26379383972827</c:v>
                </c:pt>
                <c:pt idx="990">
                  <c:v>184.26379383972827</c:v>
                </c:pt>
                <c:pt idx="991">
                  <c:v>184.26379383972827</c:v>
                </c:pt>
                <c:pt idx="992">
                  <c:v>184.26379383972827</c:v>
                </c:pt>
                <c:pt idx="993">
                  <c:v>184.26379383972827</c:v>
                </c:pt>
                <c:pt idx="994">
                  <c:v>184.26379383972827</c:v>
                </c:pt>
                <c:pt idx="995">
                  <c:v>184.26379383972827</c:v>
                </c:pt>
                <c:pt idx="996">
                  <c:v>184.26379383972827</c:v>
                </c:pt>
                <c:pt idx="997">
                  <c:v>184.26379383972827</c:v>
                </c:pt>
                <c:pt idx="998">
                  <c:v>184.26379383972827</c:v>
                </c:pt>
                <c:pt idx="999">
                  <c:v>184.26379383972827</c:v>
                </c:pt>
                <c:pt idx="1000">
                  <c:v>184.26379383972827</c:v>
                </c:pt>
              </c:numCache>
            </c:numRef>
          </c:xVal>
          <c:yVal>
            <c:numRef>
              <c:f>Calculs!$K$4:$K$1004</c:f>
              <c:numCache>
                <c:formatCode>0.00</c:formatCode>
                <c:ptCount val="1001"/>
                <c:pt idx="0">
                  <c:v>0</c:v>
                </c:pt>
                <c:pt idx="1">
                  <c:v>1.072892741762712E-3</c:v>
                </c:pt>
                <c:pt idx="2">
                  <c:v>7.2351927811420786E-3</c:v>
                </c:pt>
                <c:pt idx="3">
                  <c:v>2.3530778934193496E-2</c:v>
                </c:pt>
                <c:pt idx="4">
                  <c:v>5.0766950166213465E-2</c:v>
                </c:pt>
                <c:pt idx="5">
                  <c:v>8.635542859419712E-2</c:v>
                </c:pt>
                <c:pt idx="6">
                  <c:v>0.12818107940988069</c:v>
                </c:pt>
                <c:pt idx="7">
                  <c:v>0.17535088098540064</c:v>
                </c:pt>
                <c:pt idx="8">
                  <c:v>0.22789845747226903</c:v>
                </c:pt>
                <c:pt idx="9">
                  <c:v>0.28603749780814081</c:v>
                </c:pt>
                <c:pt idx="10">
                  <c:v>0.34998174114909841</c:v>
                </c:pt>
                <c:pt idx="11">
                  <c:v>0.41987674107719297</c:v>
                </c:pt>
                <c:pt idx="12">
                  <c:v>0.49579979276688169</c:v>
                </c:pt>
                <c:pt idx="13">
                  <c:v>0.57782808871137048</c:v>
                </c:pt>
                <c:pt idx="14">
                  <c:v>0.66603871299013173</c:v>
                </c:pt>
                <c:pt idx="15">
                  <c:v>0.7605086354537719</c:v>
                </c:pt>
                <c:pt idx="16">
                  <c:v>0.86131470582715164</c:v>
                </c:pt>
                <c:pt idx="17">
                  <c:v>0.96853364773170481</c:v>
                </c:pt>
                <c:pt idx="18">
                  <c:v>1.0822420526279484</c:v>
                </c:pt>
                <c:pt idx="19">
                  <c:v>1.2025163736792197</c:v>
                </c:pt>
                <c:pt idx="20">
                  <c:v>1.3294329195377239</c:v>
                </c:pt>
                <c:pt idx="21">
                  <c:v>1.4630678480540187</c:v>
                </c:pt>
                <c:pt idx="22">
                  <c:v>1.6034889803670815</c:v>
                </c:pt>
                <c:pt idx="23">
                  <c:v>1.7507366943596958</c:v>
                </c:pt>
                <c:pt idx="24">
                  <c:v>1.9048320799354088</c:v>
                </c:pt>
                <c:pt idx="25">
                  <c:v>2.0657960170354097</c:v>
                </c:pt>
                <c:pt idx="26">
                  <c:v>2.2336491735297295</c:v>
                </c:pt>
                <c:pt idx="27">
                  <c:v>2.4084120031271685</c:v>
                </c:pt>
                <c:pt idx="28">
                  <c:v>2.5901047433045332</c:v>
                </c:pt>
                <c:pt idx="29">
                  <c:v>2.7787326159599739</c:v>
                </c:pt>
                <c:pt idx="30">
                  <c:v>2.9743000181727588</c:v>
                </c:pt>
                <c:pt idx="31">
                  <c:v>3.1768253225665628</c:v>
                </c:pt>
                <c:pt idx="32">
                  <c:v>3.3863266944319115</c:v>
                </c:pt>
                <c:pt idx="33">
                  <c:v>3.6028220959421331</c:v>
                </c:pt>
                <c:pt idx="34">
                  <c:v>3.8263292829822326</c:v>
                </c:pt>
                <c:pt idx="35">
                  <c:v>4.0568636750422051</c:v>
                </c:pt>
                <c:pt idx="36">
                  <c:v>4.2944192020993182</c:v>
                </c:pt>
                <c:pt idx="37">
                  <c:v>4.5389704290437773</c:v>
                </c:pt>
                <c:pt idx="38">
                  <c:v>4.7904917052703091</c:v>
                </c:pt>
                <c:pt idx="39">
                  <c:v>5.0489571659514167</c:v>
                </c:pt>
                <c:pt idx="40">
                  <c:v>5.3143407334395389</c:v>
                </c:pt>
                <c:pt idx="41">
                  <c:v>5.5866161187868544</c:v>
                </c:pt>
                <c:pt idx="42">
                  <c:v>5.8657568233728172</c:v>
                </c:pt>
                <c:pt idx="43">
                  <c:v>6.1517361406306446</c:v>
                </c:pt>
                <c:pt idx="44">
                  <c:v>6.4445271578649379</c:v>
                </c:pt>
                <c:pt idx="45">
                  <c:v>6.744102758153466</c:v>
                </c:pt>
                <c:pt idx="46">
                  <c:v>7.0504356223268356</c:v>
                </c:pt>
                <c:pt idx="47">
                  <c:v>7.363498231020392</c:v>
                </c:pt>
                <c:pt idx="48">
                  <c:v>7.6832628667932452</c:v>
                </c:pt>
                <c:pt idx="49">
                  <c:v>8.0097016163097514</c:v>
                </c:pt>
                <c:pt idx="50">
                  <c:v>8.3427863725792104</c:v>
                </c:pt>
                <c:pt idx="51">
                  <c:v>8.6824888372498776</c:v>
                </c:pt>
                <c:pt idx="52">
                  <c:v>9.0287805229537099</c:v>
                </c:pt>
                <c:pt idx="53">
                  <c:v>9.3816327556985435</c:v>
                </c:pt>
                <c:pt idx="54">
                  <c:v>9.7410166773046196</c:v>
                </c:pt>
                <c:pt idx="55">
                  <c:v>10.106903247882626</c:v>
                </c:pt>
                <c:pt idx="56">
                  <c:v>10.479263248350573</c:v>
                </c:pt>
                <c:pt idx="57">
                  <c:v>10.858067282987053</c:v>
                </c:pt>
                <c:pt idx="58">
                  <c:v>11.243285782018482</c:v>
                </c:pt>
                <c:pt idx="59">
                  <c:v>11.634889004238197</c:v>
                </c:pt>
                <c:pt idx="60">
                  <c:v>12.032847039655268</c:v>
                </c:pt>
                <c:pt idx="61">
                  <c:v>12.437129812171102</c:v>
                </c:pt>
                <c:pt idx="62">
                  <c:v>12.847707082281946</c:v>
                </c:pt>
                <c:pt idx="63">
                  <c:v>13.264548449805515</c:v>
                </c:pt>
                <c:pt idx="64">
                  <c:v>13.68762335663007</c:v>
                </c:pt>
                <c:pt idx="65">
                  <c:v>14.116901089484308</c:v>
                </c:pt>
                <c:pt idx="66">
                  <c:v>14.552350782726517</c:v>
                </c:pt>
                <c:pt idx="67">
                  <c:v>14.993941421151517</c:v>
                </c:pt>
                <c:pt idx="68">
                  <c:v>15.441641842813945</c:v>
                </c:pt>
                <c:pt idx="69">
                  <c:v>15.895420741866532</c:v>
                </c:pt>
                <c:pt idx="70">
                  <c:v>16.355246671412008</c:v>
                </c:pt>
                <c:pt idx="71">
                  <c:v>16.821088046367397</c:v>
                </c:pt>
                <c:pt idx="72">
                  <c:v>17.292913146339416</c:v>
                </c:pt>
                <c:pt idx="73">
                  <c:v>17.770690118509833</c:v>
                </c:pt>
                <c:pt idx="74">
                  <c:v>18.254386980529581</c:v>
                </c:pt>
                <c:pt idx="75">
                  <c:v>18.74397162342051</c:v>
                </c:pt>
                <c:pt idx="76">
                  <c:v>19.239411814483692</c:v>
                </c:pt>
                <c:pt idx="77">
                  <c:v>19.740675200213207</c:v>
                </c:pt>
                <c:pt idx="78">
                  <c:v>20.247729309214396</c:v>
                </c:pt>
                <c:pt idx="79">
                  <c:v>20.760541555125531</c:v>
                </c:pt>
                <c:pt idx="80">
                  <c:v>21.279079239541964</c:v>
                </c:pt>
                <c:pt idx="81">
                  <c:v>21.803309554941777</c:v>
                </c:pt>
                <c:pt idx="82">
                  <c:v>22.333199587612018</c:v>
                </c:pt>
                <c:pt idx="83">
                  <c:v>22.868716320574592</c:v>
                </c:pt>
                <c:pt idx="84">
                  <c:v>23.409826636510946</c:v>
                </c:pt>
                <c:pt idx="85">
                  <c:v>23.956497320684655</c:v>
                </c:pt>
                <c:pt idx="86">
                  <c:v>24.508695063861097</c:v>
                </c:pt>
                <c:pt idx="87">
                  <c:v>25.066386465223367</c:v>
                </c:pt>
                <c:pt idx="88">
                  <c:v>25.629538035283634</c:v>
                </c:pt>
                <c:pt idx="89">
                  <c:v>26.198116198789158</c:v>
                </c:pt>
                <c:pt idx="90">
                  <c:v>26.772087297622189</c:v>
                </c:pt>
                <c:pt idx="91">
                  <c:v>27.351417593693007</c:v>
                </c:pt>
                <c:pt idx="92">
                  <c:v>27.936073271825379</c:v>
                </c:pt>
                <c:pt idx="93">
                  <c:v>28.526020442633673</c:v>
                </c:pt>
                <c:pt idx="94">
                  <c:v>29.121225145391008</c:v>
                </c:pt>
                <c:pt idx="95">
                  <c:v>29.721653350887667</c:v>
                </c:pt>
                <c:pt idx="96">
                  <c:v>30.327270964279183</c:v>
                </c:pt>
                <c:pt idx="97">
                  <c:v>30.938043827923391</c:v>
                </c:pt>
                <c:pt idx="98">
                  <c:v>31.553937724205856</c:v>
                </c:pt>
                <c:pt idx="99">
                  <c:v>32.17491837835302</c:v>
                </c:pt>
                <c:pt idx="100">
                  <c:v>32.800951461232479</c:v>
                </c:pt>
                <c:pt idx="101">
                  <c:v>33.432002592139817</c:v>
                </c:pt>
                <c:pt idx="102">
                  <c:v>34.068037341571383</c:v>
                </c:pt>
                <c:pt idx="103">
                  <c:v>34.709021233982483</c:v>
                </c:pt>
                <c:pt idx="104">
                  <c:v>35.354919750530435</c:v>
                </c:pt>
                <c:pt idx="105">
                  <c:v>36.005698331801931</c:v>
                </c:pt>
                <c:pt idx="106">
                  <c:v>36.66132238052424</c:v>
                </c:pt>
                <c:pt idx="107">
                  <c:v>37.321757264259674</c:v>
                </c:pt>
                <c:pt idx="108">
                  <c:v>37.986968318082909</c:v>
                </c:pt>
                <c:pt idx="109">
                  <c:v>38.656920847240627</c:v>
                </c:pt>
                <c:pt idx="110">
                  <c:v>39.331580129793032</c:v>
                </c:pt>
                <c:pt idx="111">
                  <c:v>40.010911419236784</c:v>
                </c:pt>
                <c:pt idx="112">
                  <c:v>40.694879947108959</c:v>
                </c:pt>
                <c:pt idx="113">
                  <c:v>41.38345092557153</c:v>
                </c:pt>
                <c:pt idx="114">
                  <c:v>42.076589549976063</c:v>
                </c:pt>
                <c:pt idx="115">
                  <c:v>42.774261001408121</c:v>
                </c:pt>
                <c:pt idx="116">
                  <c:v>43.476430449211072</c:v>
                </c:pt>
                <c:pt idx="117">
                  <c:v>44.183063053488922</c:v>
                </c:pt>
                <c:pt idx="118">
                  <c:v>44.894123967587774</c:v>
                </c:pt>
                <c:pt idx="119">
                  <c:v>45.609578340555593</c:v>
                </c:pt>
                <c:pt idx="120">
                  <c:v>46.329391319579969</c:v>
                </c:pt>
                <c:pt idx="121">
                  <c:v>47.053528052403493</c:v>
                </c:pt>
                <c:pt idx="122">
                  <c:v>47.781953689716495</c:v>
                </c:pt>
                <c:pt idx="123">
                  <c:v>48.51463338752685</c:v>
                </c:pt>
                <c:pt idx="124">
                  <c:v>49.251532309506494</c:v>
                </c:pt>
                <c:pt idx="125">
                  <c:v>49.992615629314471</c:v>
                </c:pt>
                <c:pt idx="126">
                  <c:v>50.737848532896201</c:v>
                </c:pt>
                <c:pt idx="127">
                  <c:v>51.487196220758705</c:v>
                </c:pt>
                <c:pt idx="128">
                  <c:v>52.240623910221601</c:v>
                </c:pt>
                <c:pt idx="129">
                  <c:v>52.998096837643573</c:v>
                </c:pt>
                <c:pt idx="130">
                  <c:v>53.75958026062419</c:v>
                </c:pt>
                <c:pt idx="131">
                  <c:v>54.525039460180786</c:v>
                </c:pt>
                <c:pt idx="132">
                  <c:v>55.294439742900238</c:v>
                </c:pt>
                <c:pt idx="133">
                  <c:v>56.067746443065488</c:v>
                </c:pt>
                <c:pt idx="134">
                  <c:v>56.844924924756583</c:v>
                </c:pt>
                <c:pt idx="135">
                  <c:v>57.625940583926138</c:v>
                </c:pt>
                <c:pt idx="136">
                  <c:v>58.410758850449</c:v>
                </c:pt>
                <c:pt idx="137">
                  <c:v>59.199345190146033</c:v>
                </c:pt>
                <c:pt idx="138">
                  <c:v>59.991665106781845</c:v>
                </c:pt>
                <c:pt idx="139">
                  <c:v>60.78768414403639</c:v>
                </c:pt>
                <c:pt idx="140">
                  <c:v>61.587367887450284</c:v>
                </c:pt>
                <c:pt idx="141">
                  <c:v>62.390681966343777</c:v>
                </c:pt>
                <c:pt idx="142">
                  <c:v>63.197592055709251</c:v>
                </c:pt>
                <c:pt idx="143">
                  <c:v>64.008063878077195</c:v>
                </c:pt>
                <c:pt idx="144">
                  <c:v>64.822063205355548</c:v>
                </c:pt>
                <c:pt idx="145">
                  <c:v>65.639555860642417</c:v>
                </c:pt>
                <c:pt idx="146">
                  <c:v>66.46050772001206</c:v>
                </c:pt>
                <c:pt idx="147">
                  <c:v>67.284884714274057</c:v>
                </c:pt>
                <c:pt idx="148">
                  <c:v>68.112652830705727</c:v>
                </c:pt>
                <c:pt idx="149">
                  <c:v>68.943778114757677</c:v>
                </c:pt>
                <c:pt idx="150">
                  <c:v>69.778226671732568</c:v>
                </c:pt>
                <c:pt idx="151">
                  <c:v>70.615964668436916</c:v>
                </c:pt>
                <c:pt idx="152">
                  <c:v>71.456958334806131</c:v>
                </c:pt>
                <c:pt idx="153">
                  <c:v>72.301173965502642</c:v>
                </c:pt>
                <c:pt idx="154">
                  <c:v>73.148577921487203</c:v>
                </c:pt>
                <c:pt idx="155">
                  <c:v>73.999136631563331</c:v>
                </c:pt>
                <c:pt idx="156">
                  <c:v>74.852816593895056</c:v>
                </c:pt>
                <c:pt idx="157">
                  <c:v>75.709584377497791</c:v>
                </c:pt>
                <c:pt idx="158">
                  <c:v>76.56942584895377</c:v>
                </c:pt>
                <c:pt idx="159">
                  <c:v>77.432350912947911</c:v>
                </c:pt>
                <c:pt idx="160">
                  <c:v>78.298374201905489</c:v>
                </c:pt>
                <c:pt idx="161">
                  <c:v>79.167510250941604</c:v>
                </c:pt>
                <c:pt idx="162">
                  <c:v>80.039773497604742</c:v>
                </c:pt>
                <c:pt idx="163">
                  <c:v>80.915178281623454</c:v>
                </c:pt>
                <c:pt idx="164">
                  <c:v>81.793710585891262</c:v>
                </c:pt>
                <c:pt idx="165">
                  <c:v>82.675285738968839</c:v>
                </c:pt>
                <c:pt idx="166">
                  <c:v>83.559776934887225</c:v>
                </c:pt>
                <c:pt idx="167">
                  <c:v>84.447028980639615</c:v>
                </c:pt>
                <c:pt idx="168">
                  <c:v>85.336743127732262</c:v>
                </c:pt>
                <c:pt idx="169">
                  <c:v>86.228506457019563</c:v>
                </c:pt>
                <c:pt idx="170">
                  <c:v>87.121907639794912</c:v>
                </c:pt>
                <c:pt idx="171">
                  <c:v>88.016536973746426</c:v>
                </c:pt>
                <c:pt idx="172">
                  <c:v>88.911986415933924</c:v>
                </c:pt>
                <c:pt idx="173">
                  <c:v>89.807849612823077</c:v>
                </c:pt>
                <c:pt idx="174">
                  <c:v>90.703721927414378</c:v>
                </c:pt>
                <c:pt idx="175">
                  <c:v>91.599200463506833</c:v>
                </c:pt>
                <c:pt idx="176">
                  <c:v>92.493884087137914</c:v>
                </c:pt>
                <c:pt idx="177">
                  <c:v>93.387373445243014</c:v>
                </c:pt>
                <c:pt idx="178">
                  <c:v>94.279270981578861</c:v>
                </c:pt>
                <c:pt idx="179">
                  <c:v>95.169180949957124</c:v>
                </c:pt>
                <c:pt idx="180">
                  <c:v>96.056814500661389</c:v>
                </c:pt>
                <c:pt idx="181">
                  <c:v>96.941989187631137</c:v>
                </c:pt>
                <c:pt idx="182">
                  <c:v>97.824523393133248</c:v>
                </c:pt>
                <c:pt idx="183">
                  <c:v>98.704236323425704</c:v>
                </c:pt>
                <c:pt idx="184">
                  <c:v>99.581015459762511</c:v>
                </c:pt>
                <c:pt idx="185">
                  <c:v>100.45484513987745</c:v>
                </c:pt>
                <c:pt idx="186">
                  <c:v>101.32573864070235</c:v>
                </c:pt>
                <c:pt idx="187">
                  <c:v>102.19370913345134</c:v>
                </c:pt>
                <c:pt idx="188">
                  <c:v>103.05876968472141</c:v>
                </c:pt>
                <c:pt idx="189">
                  <c:v>103.92093325757882</c:v>
                </c:pt>
                <c:pt idx="190">
                  <c:v>104.78021271263111</c:v>
                </c:pt>
                <c:pt idx="191">
                  <c:v>105.63662080908526</c:v>
                </c:pt>
                <c:pt idx="192">
                  <c:v>106.49017020579207</c:v>
                </c:pt>
                <c:pt idx="193">
                  <c:v>107.34087346227705</c:v>
                </c:pt>
                <c:pt idx="194">
                  <c:v>108.18874303975794</c:v>
                </c:pt>
                <c:pt idx="195">
                  <c:v>109.03379130214917</c:v>
                </c:pt>
                <c:pt idx="196">
                  <c:v>109.87603051705337</c:v>
                </c:pt>
                <c:pt idx="197">
                  <c:v>110.71547285674016</c:v>
                </c:pt>
                <c:pt idx="198">
                  <c:v>111.55213039911251</c:v>
                </c:pt>
                <c:pt idx="199">
                  <c:v>112.38601512866065</c:v>
                </c:pt>
                <c:pt idx="200">
                  <c:v>113.21713893740392</c:v>
                </c:pt>
                <c:pt idx="201">
                  <c:v>121.37743989300272</c:v>
                </c:pt>
                <c:pt idx="202">
                  <c:v>129.26915840943906</c:v>
                </c:pt>
                <c:pt idx="203">
                  <c:v>136.90335100801678</c:v>
                </c:pt>
                <c:pt idx="204">
                  <c:v>144.29026049480095</c:v>
                </c:pt>
                <c:pt idx="205">
                  <c:v>151.43939243205682</c:v>
                </c:pt>
                <c:pt idx="206">
                  <c:v>158.35958270172321</c:v>
                </c:pt>
                <c:pt idx="207">
                  <c:v>165.05905738090735</c:v>
                </c:pt>
                <c:pt idx="208">
                  <c:v>171.54548595799542</c:v>
                </c:pt>
                <c:pt idx="209">
                  <c:v>177.82602876024026</c:v>
                </c:pt>
                <c:pt idx="210">
                  <c:v>183.90737933308407</c:v>
                </c:pt>
                <c:pt idx="211">
                  <c:v>189.79580240284557</c:v>
                </c:pt>
                <c:pt idx="212">
                  <c:v>195.49716796366587</c:v>
                </c:pt>
                <c:pt idx="213">
                  <c:v>201.01698195350619</c:v>
                </c:pt>
                <c:pt idx="214">
                  <c:v>206.36041391991728</c:v>
                </c:pt>
                <c:pt idx="215">
                  <c:v>211.53232202215091</c:v>
                </c:pt>
                <c:pt idx="216">
                  <c:v>216.53727567025916</c:v>
                </c:pt>
                <c:pt idx="217">
                  <c:v>221.37957606274551</c:v>
                </c:pt>
                <c:pt idx="218">
                  <c:v>226.06327485096458</c:v>
                </c:pt>
                <c:pt idx="219">
                  <c:v>230.59219112989055</c:v>
                </c:pt>
                <c:pt idx="220">
                  <c:v>234.96992693032703</c:v>
                </c:pt>
                <c:pt idx="221">
                  <c:v>239.19988136648496</c:v>
                </c:pt>
                <c:pt idx="222">
                  <c:v>243.28526357459015</c:v>
                </c:pt>
                <c:pt idx="223">
                  <c:v>247.22910456236411</c:v>
                </c:pt>
                <c:pt idx="224">
                  <c:v>251.03426807549025</c:v>
                </c:pt>
                <c:pt idx="225">
                  <c:v>254.70346057523042</c:v>
                </c:pt>
                <c:pt idx="226">
                  <c:v>258.23924041094114</c:v>
                </c:pt>
                <c:pt idx="227">
                  <c:v>261.64402626213899</c:v>
                </c:pt>
                <c:pt idx="228">
                  <c:v>264.92010491680662</c:v>
                </c:pt>
                <c:pt idx="229">
                  <c:v>268.06963844565797</c:v>
                </c:pt>
                <c:pt idx="230">
                  <c:v>271.09467082597052</c:v>
                </c:pt>
                <c:pt idx="231">
                  <c:v>273.99713406323673</c:v>
                </c:pt>
                <c:pt idx="232">
                  <c:v>276.77885385419501</c:v>
                </c:pt>
                <c:pt idx="233">
                  <c:v>279.4415548307017</c:v>
                </c:pt>
                <c:pt idx="234">
                  <c:v>281.98686542033994</c:v>
                </c:pt>
                <c:pt idx="235">
                  <c:v>284.41632235657846</c:v>
                </c:pt>
                <c:pt idx="236">
                  <c:v>286.73137486866523</c:v>
                </c:pt>
                <c:pt idx="237">
                  <c:v>288.93338857923601</c:v>
                </c:pt>
                <c:pt idx="238">
                  <c:v>291.02364913583546</c:v>
                </c:pt>
                <c:pt idx="239">
                  <c:v>293.00336560118114</c:v>
                </c:pt>
                <c:pt idx="240">
                  <c:v>294.87367362607557</c:v>
                </c:pt>
                <c:pt idx="241">
                  <c:v>296.63563842841364</c:v>
                </c:pt>
                <c:pt idx="242">
                  <c:v>298.29025760179991</c:v>
                </c:pt>
                <c:pt idx="243">
                  <c:v>299.83846377795135</c:v>
                </c:pt>
                <c:pt idx="244">
                  <c:v>301.28112716841173</c:v>
                </c:pt>
                <c:pt idx="245">
                  <c:v>302.61905801325429</c:v>
                </c:pt>
                <c:pt idx="246">
                  <c:v>303.85300896752813</c:v>
                </c:pt>
                <c:pt idx="247">
                  <c:v>304.98367746033074</c:v>
                </c:pt>
                <c:pt idx="248">
                  <c:v>306.01170806664669</c:v>
                </c:pt>
                <c:pt idx="249">
                  <c:v>306.93769493846571</c:v>
                </c:pt>
                <c:pt idx="250">
                  <c:v>307.76218434896589</c:v>
                </c:pt>
                <c:pt idx="251">
                  <c:v>308.48567741115079</c:v>
                </c:pt>
                <c:pt idx="252">
                  <c:v>309.10863303915647</c:v>
                </c:pt>
                <c:pt idx="253">
                  <c:v>309.6314712246342</c:v>
                </c:pt>
                <c:pt idx="254">
                  <c:v>310.05457669944644</c:v>
                </c:pt>
                <c:pt idx="255">
                  <c:v>310.37830304596787</c:v>
                </c:pt>
                <c:pt idx="256">
                  <c:v>310.60297729410752</c:v>
                </c:pt>
                <c:pt idx="257">
                  <c:v>310.72890500764521</c:v>
                </c:pt>
                <c:pt idx="258">
                  <c:v>310.75637581267</c:v>
                </c:pt>
                <c:pt idx="259">
                  <c:v>310.68566926365179</c:v>
                </c:pt>
                <c:pt idx="260">
                  <c:v>310.5170608885864</c:v>
                </c:pt>
                <c:pt idx="261">
                  <c:v>310.25082821658748</c:v>
                </c:pt>
                <c:pt idx="262">
                  <c:v>309.88725657968848</c:v>
                </c:pt>
                <c:pt idx="263">
                  <c:v>309.42664449891976</c:v>
                </c:pt>
                <c:pt idx="264">
                  <c:v>308.86930850777571</c:v>
                </c:pt>
                <c:pt idx="265">
                  <c:v>308.21558732254641</c:v>
                </c:pt>
                <c:pt idx="266">
                  <c:v>307.4658453257897</c:v>
                </c:pt>
                <c:pt idx="267">
                  <c:v>306.6204753765939</c:v>
                </c:pt>
                <c:pt idx="268">
                  <c:v>305.67990099441533</c:v>
                </c:pt>
                <c:pt idx="269">
                  <c:v>304.64457798197571</c:v>
                </c:pt>
                <c:pt idx="270">
                  <c:v>303.51499555962681</c:v>
                </c:pt>
                <c:pt idx="271">
                  <c:v>302.29167708237981</c:v>
                </c:pt>
                <c:pt idx="272">
                  <c:v>300.97518040485863</c:v>
                </c:pt>
                <c:pt idx="273">
                  <c:v>299.56609795135751</c:v>
                </c:pt>
                <c:pt idx="274">
                  <c:v>298.0650565396615</c:v>
                </c:pt>
                <c:pt idx="275">
                  <c:v>296.47271699929297</c:v>
                </c:pt>
                <c:pt idx="276">
                  <c:v>294.78977361782506</c:v>
                </c:pt>
                <c:pt idx="277">
                  <c:v>293.01695344299378</c:v>
                </c:pt>
                <c:pt idx="278">
                  <c:v>291.15501546349572</c:v>
                </c:pt>
                <c:pt idx="279">
                  <c:v>289.20474968746134</c:v>
                </c:pt>
                <c:pt idx="280">
                  <c:v>287.16697613448918</c:v>
                </c:pt>
                <c:pt idx="281">
                  <c:v>285.04254375467031</c:v>
                </c:pt>
                <c:pt idx="282">
                  <c:v>282.83232928609323</c:v>
                </c:pt>
                <c:pt idx="283">
                  <c:v>280.53723606078285</c:v>
                </c:pt>
                <c:pt idx="284">
                  <c:v>278.1581927678082</c:v>
                </c:pt>
                <c:pt idx="285">
                  <c:v>275.69615218131446</c:v>
                </c:pt>
                <c:pt idx="286">
                  <c:v>273.15208986044325</c:v>
                </c:pt>
                <c:pt idx="287">
                  <c:v>270.52700282745371</c:v>
                </c:pt>
                <c:pt idx="288">
                  <c:v>267.82190822981352</c:v>
                </c:pt>
                <c:pt idx="289">
                  <c:v>265.03784199156678</c:v>
                </c:pt>
                <c:pt idx="290">
                  <c:v>262.17585745888522</c:v>
                </c:pt>
                <c:pt idx="291">
                  <c:v>259.23702404435397</c:v>
                </c:pt>
                <c:pt idx="292">
                  <c:v>256.22242587422426</c:v>
                </c:pt>
                <c:pt idx="293">
                  <c:v>253.13316044257104</c:v>
                </c:pt>
                <c:pt idx="294">
                  <c:v>249.9703372760207</c:v>
                </c:pt>
                <c:pt idx="295">
                  <c:v>246.73507661245498</c:v>
                </c:pt>
                <c:pt idx="296">
                  <c:v>243.42850809685083</c:v>
                </c:pt>
                <c:pt idx="297">
                  <c:v>240.0517694971787</c:v>
                </c:pt>
                <c:pt idx="298">
                  <c:v>236.60600544305149</c:v>
                </c:pt>
                <c:pt idx="299">
                  <c:v>233.09236618959417</c:v>
                </c:pt>
                <c:pt idx="300">
                  <c:v>229.51200640878608</c:v>
                </c:pt>
                <c:pt idx="301">
                  <c:v>225.86608401031683</c:v>
                </c:pt>
                <c:pt idx="302">
                  <c:v>222.15575899379058</c:v>
                </c:pt>
                <c:pt idx="303">
                  <c:v>218.38219233391257</c:v>
                </c:pt>
                <c:pt idx="304">
                  <c:v>214.54654490009733</c:v>
                </c:pt>
                <c:pt idx="305">
                  <c:v>210.64997641174872</c:v>
                </c:pt>
                <c:pt idx="306">
                  <c:v>206.69364443027945</c:v>
                </c:pt>
                <c:pt idx="307">
                  <c:v>202.67870338876145</c:v>
                </c:pt>
                <c:pt idx="308">
                  <c:v>198.60630365992955</c:v>
                </c:pt>
                <c:pt idx="309">
                  <c:v>194.47759066309794</c:v>
                </c:pt>
                <c:pt idx="310">
                  <c:v>190.29370401039509</c:v>
                </c:pt>
                <c:pt idx="311">
                  <c:v>186.05577669257505</c:v>
                </c:pt>
                <c:pt idx="312">
                  <c:v>181.76493430452365</c:v>
                </c:pt>
                <c:pt idx="313">
                  <c:v>177.42229431044723</c:v>
                </c:pt>
                <c:pt idx="314">
                  <c:v>173.0289653486075</c:v>
                </c:pt>
                <c:pt idx="315">
                  <c:v>168.58604657535133</c:v>
                </c:pt>
                <c:pt idx="316">
                  <c:v>164.09462704807689</c:v>
                </c:pt>
                <c:pt idx="317">
                  <c:v>159.55578514667843</c:v>
                </c:pt>
                <c:pt idx="318">
                  <c:v>154.97058803292109</c:v>
                </c:pt>
                <c:pt idx="319">
                  <c:v>150.3400911471133</c:v>
                </c:pt>
                <c:pt idx="320">
                  <c:v>145.66533774136951</c:v>
                </c:pt>
                <c:pt idx="321">
                  <c:v>140.94735844868768</c:v>
                </c:pt>
                <c:pt idx="322">
                  <c:v>136.1871708870049</c:v>
                </c:pt>
                <c:pt idx="323">
                  <c:v>131.38577929734174</c:v>
                </c:pt>
                <c:pt idx="324">
                  <c:v>126.54417421509872</c:v>
                </c:pt>
                <c:pt idx="325">
                  <c:v>121.66333217352781</c:v>
                </c:pt>
                <c:pt idx="326">
                  <c:v>116.74421543836885</c:v>
                </c:pt>
                <c:pt idx="327">
                  <c:v>111.7877717726121</c:v>
                </c:pt>
                <c:pt idx="328">
                  <c:v>106.79493423032601</c:v>
                </c:pt>
                <c:pt idx="329">
                  <c:v>101.7666209784726</c:v>
                </c:pt>
                <c:pt idx="330">
                  <c:v>96.703735145620769</c:v>
                </c:pt>
                <c:pt idx="331">
                  <c:v>91.607164696460373</c:v>
                </c:pt>
                <c:pt idx="332">
                  <c:v>86.477782331017437</c:v>
                </c:pt>
                <c:pt idx="333">
                  <c:v>81.316445407471775</c:v>
                </c:pt>
                <c:pt idx="334">
                  <c:v>76.123995887483105</c:v>
                </c:pt>
                <c:pt idx="335">
                  <c:v>70.901260302940429</c:v>
                </c:pt>
                <c:pt idx="336">
                  <c:v>65.649049743060388</c:v>
                </c:pt>
                <c:pt idx="337">
                  <c:v>60.368159860774938</c:v>
                </c:pt>
                <c:pt idx="338">
                  <c:v>55.059370897365326</c:v>
                </c:pt>
                <c:pt idx="339">
                  <c:v>49.723447724318461</c:v>
                </c:pt>
                <c:pt idx="340">
                  <c:v>44.361139901402865</c:v>
                </c:pt>
                <c:pt idx="341">
                  <c:v>38.973181749984256</c:v>
                </c:pt>
                <c:pt idx="342">
                  <c:v>33.56029244062524</c:v>
                </c:pt>
                <c:pt idx="343">
                  <c:v>28.123176094039209</c:v>
                </c:pt>
                <c:pt idx="344">
                  <c:v>22.662521894495509</c:v>
                </c:pt>
                <c:pt idx="345">
                  <c:v>17.179004214800511</c:v>
                </c:pt>
                <c:pt idx="346">
                  <c:v>11.673282752007784</c:v>
                </c:pt>
                <c:pt idx="347">
                  <c:v>6.146002673039499</c:v>
                </c:pt>
                <c:pt idx="348">
                  <c:v>0.59779476943062004</c:v>
                </c:pt>
                <c:pt idx="349">
                  <c:v>-4.9707243795628928</c:v>
                </c:pt>
                <c:pt idx="350">
                  <c:v>-4.9763029116613193</c:v>
                </c:pt>
                <c:pt idx="351">
                  <c:v>-4.9818814631703825</c:v>
                </c:pt>
                <c:pt idx="352">
                  <c:v>-4.9874600340895032</c:v>
                </c:pt>
                <c:pt idx="353">
                  <c:v>-4.9930386244180998</c:v>
                </c:pt>
                <c:pt idx="354">
                  <c:v>-4.998617234155593</c:v>
                </c:pt>
                <c:pt idx="355">
                  <c:v>-5.0041958633014021</c:v>
                </c:pt>
                <c:pt idx="356">
                  <c:v>-5.0097745118549462</c:v>
                </c:pt>
                <c:pt idx="357">
                  <c:v>-5.0153531798156452</c:v>
                </c:pt>
                <c:pt idx="358">
                  <c:v>-5.0209318671829193</c:v>
                </c:pt>
                <c:pt idx="359">
                  <c:v>-5.0265105739561875</c:v>
                </c:pt>
                <c:pt idx="360">
                  <c:v>-5.0320893001348699</c:v>
                </c:pt>
                <c:pt idx="361">
                  <c:v>-5.0376680457183864</c:v>
                </c:pt>
                <c:pt idx="362">
                  <c:v>-5.0432468107061572</c:v>
                </c:pt>
                <c:pt idx="363">
                  <c:v>-5.0488255950976013</c:v>
                </c:pt>
                <c:pt idx="364">
                  <c:v>-5.0544043988921388</c:v>
                </c:pt>
                <c:pt idx="365">
                  <c:v>-5.0599832220891887</c:v>
                </c:pt>
                <c:pt idx="366">
                  <c:v>-5.0655620646881721</c:v>
                </c:pt>
                <c:pt idx="367">
                  <c:v>-5.0711409266885079</c:v>
                </c:pt>
                <c:pt idx="368">
                  <c:v>-5.0767198080896163</c:v>
                </c:pt>
                <c:pt idx="369">
                  <c:v>-5.0822987088909173</c:v>
                </c:pt>
                <c:pt idx="370">
                  <c:v>-5.0878776290918299</c:v>
                </c:pt>
                <c:pt idx="371">
                  <c:v>-5.0934565686917752</c:v>
                </c:pt>
                <c:pt idx="372">
                  <c:v>-5.0990355276901722</c:v>
                </c:pt>
                <c:pt idx="373">
                  <c:v>-5.104614506086441</c:v>
                </c:pt>
                <c:pt idx="374">
                  <c:v>-5.1101935038800015</c:v>
                </c:pt>
                <c:pt idx="375">
                  <c:v>-5.1157725210702738</c:v>
                </c:pt>
                <c:pt idx="376">
                  <c:v>-5.1213515576566779</c:v>
                </c:pt>
                <c:pt idx="377">
                  <c:v>-5.1269306136386339</c:v>
                </c:pt>
                <c:pt idx="378">
                  <c:v>-5.1325096890155617</c:v>
                </c:pt>
                <c:pt idx="379">
                  <c:v>-5.1380887837868805</c:v>
                </c:pt>
                <c:pt idx="380">
                  <c:v>-5.1436678979520112</c:v>
                </c:pt>
                <c:pt idx="381">
                  <c:v>-5.1492470315103738</c:v>
                </c:pt>
                <c:pt idx="382">
                  <c:v>-5.1548261844613874</c:v>
                </c:pt>
                <c:pt idx="383">
                  <c:v>-5.160405356804473</c:v>
                </c:pt>
                <c:pt idx="384">
                  <c:v>-5.1659845485390505</c:v>
                </c:pt>
                <c:pt idx="385">
                  <c:v>-5.1715637596645392</c:v>
                </c:pt>
                <c:pt idx="386">
                  <c:v>-5.1771429901803598</c:v>
                </c:pt>
                <c:pt idx="387">
                  <c:v>-5.1827222400859325</c:v>
                </c:pt>
                <c:pt idx="388">
                  <c:v>-5.1883015093806772</c:v>
                </c:pt>
                <c:pt idx="389">
                  <c:v>-5.193880798064014</c:v>
                </c:pt>
                <c:pt idx="390">
                  <c:v>-5.1994601061353629</c:v>
                </c:pt>
                <c:pt idx="391">
                  <c:v>-5.2050394335941448</c:v>
                </c:pt>
                <c:pt idx="392">
                  <c:v>-5.2106187804397788</c:v>
                </c:pt>
                <c:pt idx="393">
                  <c:v>-5.2161981466716858</c:v>
                </c:pt>
                <c:pt idx="394">
                  <c:v>-5.2217775322892859</c:v>
                </c:pt>
                <c:pt idx="395">
                  <c:v>-5.227356937291999</c:v>
                </c:pt>
                <c:pt idx="396">
                  <c:v>-5.2329363616792453</c:v>
                </c:pt>
                <c:pt idx="397">
                  <c:v>-5.2385158054504446</c:v>
                </c:pt>
                <c:pt idx="398">
                  <c:v>-5.244095268605018</c:v>
                </c:pt>
                <c:pt idx="399">
                  <c:v>-5.2496747511423854</c:v>
                </c:pt>
                <c:pt idx="400">
                  <c:v>-5.2552542530619668</c:v>
                </c:pt>
                <c:pt idx="401">
                  <c:v>-5.2608337743631832</c:v>
                </c:pt>
                <c:pt idx="402">
                  <c:v>-5.2664133150454546</c:v>
                </c:pt>
                <c:pt idx="403">
                  <c:v>-5.271992875108201</c:v>
                </c:pt>
                <c:pt idx="404">
                  <c:v>-5.2775724545508425</c:v>
                </c:pt>
                <c:pt idx="405">
                  <c:v>-5.2831520533727998</c:v>
                </c:pt>
                <c:pt idx="406">
                  <c:v>-5.2887316715734931</c:v>
                </c:pt>
                <c:pt idx="407">
                  <c:v>-5.2943113091523433</c:v>
                </c:pt>
                <c:pt idx="408">
                  <c:v>-5.2998909661087703</c:v>
                </c:pt>
                <c:pt idx="409">
                  <c:v>-5.3054706424421942</c:v>
                </c:pt>
                <c:pt idx="410">
                  <c:v>-5.311050338152036</c:v>
                </c:pt>
                <c:pt idx="411">
                  <c:v>-5.3166300532377155</c:v>
                </c:pt>
                <c:pt idx="412">
                  <c:v>-5.3222097876986538</c:v>
                </c:pt>
                <c:pt idx="413">
                  <c:v>-5.3277895415342709</c:v>
                </c:pt>
                <c:pt idx="414">
                  <c:v>-5.3333693147439876</c:v>
                </c:pt>
                <c:pt idx="415">
                  <c:v>-5.3389491073272239</c:v>
                </c:pt>
                <c:pt idx="416">
                  <c:v>-5.3445289192834</c:v>
                </c:pt>
                <c:pt idx="417">
                  <c:v>-5.3501087506119376</c:v>
                </c:pt>
                <c:pt idx="418">
                  <c:v>-5.3556886013122558</c:v>
                </c:pt>
                <c:pt idx="419">
                  <c:v>-5.3612684713837764</c:v>
                </c:pt>
                <c:pt idx="420">
                  <c:v>-5.3668483608259194</c:v>
                </c:pt>
                <c:pt idx="421">
                  <c:v>-5.3724282696381049</c:v>
                </c:pt>
                <c:pt idx="422">
                  <c:v>-5.3780081978197538</c:v>
                </c:pt>
                <c:pt idx="423">
                  <c:v>-5.383588145370287</c:v>
                </c:pt>
                <c:pt idx="424">
                  <c:v>-5.3891681122891244</c:v>
                </c:pt>
                <c:pt idx="425">
                  <c:v>-5.394748098575687</c:v>
                </c:pt>
                <c:pt idx="426">
                  <c:v>-5.4003281042293958</c:v>
                </c:pt>
                <c:pt idx="427">
                  <c:v>-5.4059081292496707</c:v>
                </c:pt>
                <c:pt idx="428">
                  <c:v>-5.4114881736359326</c:v>
                </c:pt>
                <c:pt idx="429">
                  <c:v>-5.4170682373876025</c:v>
                </c:pt>
                <c:pt idx="430">
                  <c:v>-5.4226483205041003</c:v>
                </c:pt>
                <c:pt idx="431">
                  <c:v>-5.4282284229848479</c:v>
                </c:pt>
                <c:pt idx="432">
                  <c:v>-5.4338085448292643</c:v>
                </c:pt>
                <c:pt idx="433">
                  <c:v>-5.4393886860367715</c:v>
                </c:pt>
                <c:pt idx="434">
                  <c:v>-5.4449688466067903</c:v>
                </c:pt>
                <c:pt idx="435">
                  <c:v>-5.4505490265387406</c:v>
                </c:pt>
                <c:pt idx="436">
                  <c:v>-5.4561292258320435</c:v>
                </c:pt>
                <c:pt idx="437">
                  <c:v>-5.4617094444861198</c:v>
                </c:pt>
                <c:pt idx="438">
                  <c:v>-5.4672896825003905</c:v>
                </c:pt>
                <c:pt idx="439">
                  <c:v>-5.4728699398742764</c:v>
                </c:pt>
                <c:pt idx="440">
                  <c:v>-5.4784502166071976</c:v>
                </c:pt>
                <c:pt idx="441">
                  <c:v>-5.4840305126985758</c:v>
                </c:pt>
                <c:pt idx="442">
                  <c:v>-5.4896108281478311</c:v>
                </c:pt>
                <c:pt idx="443">
                  <c:v>-5.4951911629543844</c:v>
                </c:pt>
                <c:pt idx="444">
                  <c:v>-5.5007715171176566</c:v>
                </c:pt>
                <c:pt idx="445">
                  <c:v>-5.5063518906370694</c:v>
                </c:pt>
                <c:pt idx="446">
                  <c:v>-5.511932283512043</c:v>
                </c:pt>
                <c:pt idx="447">
                  <c:v>-5.5175126957419982</c:v>
                </c:pt>
                <c:pt idx="448">
                  <c:v>-5.5230931273263559</c:v>
                </c:pt>
                <c:pt idx="449">
                  <c:v>-5.5286735782645371</c:v>
                </c:pt>
                <c:pt idx="450">
                  <c:v>-5.5342540485559626</c:v>
                </c:pt>
                <c:pt idx="451">
                  <c:v>-5.5398345382000533</c:v>
                </c:pt>
                <c:pt idx="452">
                  <c:v>-5.5454150471962311</c:v>
                </c:pt>
                <c:pt idx="453">
                  <c:v>-5.550995575543916</c:v>
                </c:pt>
                <c:pt idx="454">
                  <c:v>-5.5565761232425288</c:v>
                </c:pt>
                <c:pt idx="455">
                  <c:v>-5.5621566902914914</c:v>
                </c:pt>
                <c:pt idx="456">
                  <c:v>-5.5677372766902247</c:v>
                </c:pt>
                <c:pt idx="457">
                  <c:v>-5.5733178824381486</c:v>
                </c:pt>
                <c:pt idx="458">
                  <c:v>-5.5788985075346851</c:v>
                </c:pt>
                <c:pt idx="459">
                  <c:v>-5.5844791519792549</c:v>
                </c:pt>
                <c:pt idx="460">
                  <c:v>-5.59005981577128</c:v>
                </c:pt>
                <c:pt idx="461">
                  <c:v>-5.5956404989101802</c:v>
                </c:pt>
                <c:pt idx="462">
                  <c:v>-5.6012212013953775</c:v>
                </c:pt>
                <c:pt idx="463">
                  <c:v>-5.6068019232262927</c:v>
                </c:pt>
                <c:pt idx="464">
                  <c:v>-5.6123826644023467</c:v>
                </c:pt>
                <c:pt idx="465">
                  <c:v>-5.6179634249229604</c:v>
                </c:pt>
                <c:pt idx="466">
                  <c:v>-5.6235442047875557</c:v>
                </c:pt>
                <c:pt idx="467">
                  <c:v>-5.6291250039955534</c:v>
                </c:pt>
                <c:pt idx="468">
                  <c:v>-5.6347058225463744</c:v>
                </c:pt>
                <c:pt idx="469">
                  <c:v>-5.6402866604394397</c:v>
                </c:pt>
                <c:pt idx="470">
                  <c:v>-5.6458675176741711</c:v>
                </c:pt>
                <c:pt idx="471">
                  <c:v>-5.6514483942499902</c:v>
                </c:pt>
                <c:pt idx="472">
                  <c:v>-5.6570292901663173</c:v>
                </c:pt>
                <c:pt idx="473">
                  <c:v>-5.662610205422574</c:v>
                </c:pt>
                <c:pt idx="474">
                  <c:v>-5.6681911400181813</c:v>
                </c:pt>
                <c:pt idx="475">
                  <c:v>-5.6737720939525609</c:v>
                </c:pt>
                <c:pt idx="476">
                  <c:v>-5.6793530672251338</c:v>
                </c:pt>
                <c:pt idx="477">
                  <c:v>-5.6849340598353217</c:v>
                </c:pt>
                <c:pt idx="478">
                  <c:v>-5.6905150717825457</c:v>
                </c:pt>
                <c:pt idx="479">
                  <c:v>-5.6960961030662274</c:v>
                </c:pt>
                <c:pt idx="480">
                  <c:v>-5.7016771536857878</c:v>
                </c:pt>
                <c:pt idx="481">
                  <c:v>-5.7072582236406477</c:v>
                </c:pt>
                <c:pt idx="482">
                  <c:v>-5.7128393129302291</c:v>
                </c:pt>
                <c:pt idx="483">
                  <c:v>-5.7184204215539536</c:v>
                </c:pt>
                <c:pt idx="484">
                  <c:v>-5.7240015495112422</c:v>
                </c:pt>
                <c:pt idx="485">
                  <c:v>-5.7295826968015158</c:v>
                </c:pt>
                <c:pt idx="486">
                  <c:v>-5.7351638634241962</c:v>
                </c:pt>
                <c:pt idx="487">
                  <c:v>-5.7407450493787051</c:v>
                </c:pt>
                <c:pt idx="488">
                  <c:v>-5.7463262546644645</c:v>
                </c:pt>
                <c:pt idx="489">
                  <c:v>-5.7519074792808951</c:v>
                </c:pt>
                <c:pt idx="490">
                  <c:v>-5.7574887232274179</c:v>
                </c:pt>
                <c:pt idx="491">
                  <c:v>-5.7630699865034556</c:v>
                </c:pt>
                <c:pt idx="492">
                  <c:v>-5.7686512691084291</c:v>
                </c:pt>
                <c:pt idx="493">
                  <c:v>-5.7742325710417592</c:v>
                </c:pt>
                <c:pt idx="494">
                  <c:v>-5.7798138923028679</c:v>
                </c:pt>
                <c:pt idx="495">
                  <c:v>-5.7853952328911777</c:v>
                </c:pt>
                <c:pt idx="496">
                  <c:v>-5.7909765928061088</c:v>
                </c:pt>
                <c:pt idx="497">
                  <c:v>-5.7965579720470837</c:v>
                </c:pt>
                <c:pt idx="498">
                  <c:v>-5.8021393706135234</c:v>
                </c:pt>
                <c:pt idx="499">
                  <c:v>-5.8077207885048496</c:v>
                </c:pt>
                <c:pt idx="500">
                  <c:v>-5.8133022257204843</c:v>
                </c:pt>
                <c:pt idx="501">
                  <c:v>-5.8188836822598482</c:v>
                </c:pt>
                <c:pt idx="502">
                  <c:v>-5.8244651581223641</c:v>
                </c:pt>
                <c:pt idx="503">
                  <c:v>-5.8300466533074529</c:v>
                </c:pt>
                <c:pt idx="504">
                  <c:v>-5.8356281678145363</c:v>
                </c:pt>
                <c:pt idx="505">
                  <c:v>-5.8412097016430362</c:v>
                </c:pt>
                <c:pt idx="506">
                  <c:v>-5.8467912547923744</c:v>
                </c:pt>
                <c:pt idx="507">
                  <c:v>-5.8523728272619717</c:v>
                </c:pt>
                <c:pt idx="508">
                  <c:v>-5.8579544190512509</c:v>
                </c:pt>
                <c:pt idx="509">
                  <c:v>-5.8635360301596329</c:v>
                </c:pt>
                <c:pt idx="510">
                  <c:v>-5.8691176605865403</c:v>
                </c:pt>
                <c:pt idx="511">
                  <c:v>-5.874699310331394</c:v>
                </c:pt>
                <c:pt idx="512">
                  <c:v>-5.8802809793936168</c:v>
                </c:pt>
                <c:pt idx="513">
                  <c:v>-5.8858626677726296</c:v>
                </c:pt>
                <c:pt idx="514">
                  <c:v>-5.891444375467854</c:v>
                </c:pt>
                <c:pt idx="515">
                  <c:v>-5.897026102478713</c:v>
                </c:pt>
                <c:pt idx="516">
                  <c:v>-5.9026078488046272</c:v>
                </c:pt>
                <c:pt idx="517">
                  <c:v>-5.9081896144450186</c:v>
                </c:pt>
                <c:pt idx="518">
                  <c:v>-5.9137713993993097</c:v>
                </c:pt>
                <c:pt idx="519">
                  <c:v>-5.9193532036669216</c:v>
                </c:pt>
                <c:pt idx="520">
                  <c:v>-5.9249350272472769</c:v>
                </c:pt>
                <c:pt idx="521">
                  <c:v>-5.9305168701397974</c:v>
                </c:pt>
                <c:pt idx="522">
                  <c:v>-5.9360987323439041</c:v>
                </c:pt>
                <c:pt idx="523">
                  <c:v>-5.9416806138590195</c:v>
                </c:pt>
                <c:pt idx="524">
                  <c:v>-5.9472625146845655</c:v>
                </c:pt>
                <c:pt idx="525">
                  <c:v>-5.9528444348199647</c:v>
                </c:pt>
                <c:pt idx="526">
                  <c:v>-5.9584263742646382</c:v>
                </c:pt>
                <c:pt idx="527">
                  <c:v>-5.9640083330180085</c:v>
                </c:pt>
                <c:pt idx="528">
                  <c:v>-5.9695903110794966</c:v>
                </c:pt>
                <c:pt idx="529">
                  <c:v>-5.9751723084485251</c:v>
                </c:pt>
                <c:pt idx="530">
                  <c:v>-5.9807543251245168</c:v>
                </c:pt>
                <c:pt idx="531">
                  <c:v>-5.9863363611068925</c:v>
                </c:pt>
                <c:pt idx="532">
                  <c:v>-5.9919184163950749</c:v>
                </c:pt>
                <c:pt idx="533">
                  <c:v>-5.9975004909884859</c:v>
                </c:pt>
                <c:pt idx="534">
                  <c:v>-6.0030825848865472</c:v>
                </c:pt>
                <c:pt idx="535">
                  <c:v>-6.0086646980886815</c:v>
                </c:pt>
                <c:pt idx="536">
                  <c:v>-6.0142468305943106</c:v>
                </c:pt>
                <c:pt idx="537">
                  <c:v>-6.0198289824028564</c:v>
                </c:pt>
                <c:pt idx="538">
                  <c:v>-6.0254111535137413</c:v>
                </c:pt>
                <c:pt idx="539">
                  <c:v>-6.0309933439263874</c:v>
                </c:pt>
                <c:pt idx="540">
                  <c:v>-6.0365755536402164</c:v>
                </c:pt>
                <c:pt idx="541">
                  <c:v>-6.0421577826546509</c:v>
                </c:pt>
                <c:pt idx="542">
                  <c:v>-6.0477400309691127</c:v>
                </c:pt>
                <c:pt idx="543">
                  <c:v>-6.0533222985830246</c:v>
                </c:pt>
                <c:pt idx="544">
                  <c:v>-6.0589045854958083</c:v>
                </c:pt>
                <c:pt idx="545">
                  <c:v>-6.0644868917068866</c:v>
                </c:pt>
                <c:pt idx="546">
                  <c:v>-6.0700692172156812</c:v>
                </c:pt>
                <c:pt idx="547">
                  <c:v>-6.0756515620216138</c:v>
                </c:pt>
                <c:pt idx="548">
                  <c:v>-6.0812339261241073</c:v>
                </c:pt>
                <c:pt idx="549">
                  <c:v>-6.0868163095225842</c:v>
                </c:pt>
                <c:pt idx="550">
                  <c:v>-6.0923987122164664</c:v>
                </c:pt>
                <c:pt idx="551">
                  <c:v>-6.0979811342051766</c:v>
                </c:pt>
                <c:pt idx="552">
                  <c:v>-6.1035635754881366</c:v>
                </c:pt>
                <c:pt idx="553">
                  <c:v>-6.1091460360647689</c:v>
                </c:pt>
                <c:pt idx="554">
                  <c:v>-6.1147285159344955</c:v>
                </c:pt>
                <c:pt idx="555">
                  <c:v>-6.120311015096739</c:v>
                </c:pt>
                <c:pt idx="556">
                  <c:v>-6.1258935335509221</c:v>
                </c:pt>
                <c:pt idx="557">
                  <c:v>-6.1314760712964667</c:v>
                </c:pt>
                <c:pt idx="558">
                  <c:v>-6.1370586283327953</c:v>
                </c:pt>
                <c:pt idx="559">
                  <c:v>-6.1426412046593306</c:v>
                </c:pt>
                <c:pt idx="560">
                  <c:v>-6.1482238002754945</c:v>
                </c:pt>
                <c:pt idx="561">
                  <c:v>-6.1538064151807097</c:v>
                </c:pt>
                <c:pt idx="562">
                  <c:v>-6.1593890493743988</c:v>
                </c:pt>
                <c:pt idx="563">
                  <c:v>-6.1649717028559836</c:v>
                </c:pt>
                <c:pt idx="564">
                  <c:v>-6.1705543756248868</c:v>
                </c:pt>
                <c:pt idx="565">
                  <c:v>-6.1761370676805312</c:v>
                </c:pt>
                <c:pt idx="566">
                  <c:v>-6.1817197790223393</c:v>
                </c:pt>
                <c:pt idx="567">
                  <c:v>-6.1873025096497338</c:v>
                </c:pt>
                <c:pt idx="568">
                  <c:v>-6.1928852595621366</c:v>
                </c:pt>
                <c:pt idx="569">
                  <c:v>-6.1984680287589704</c:v>
                </c:pt>
                <c:pt idx="570">
                  <c:v>-6.2040508172396578</c:v>
                </c:pt>
                <c:pt idx="571">
                  <c:v>-6.2096336250036215</c:v>
                </c:pt>
                <c:pt idx="572">
                  <c:v>-6.2152164520502842</c:v>
                </c:pt>
                <c:pt idx="573">
                  <c:v>-6.2207992983790676</c:v>
                </c:pt>
                <c:pt idx="574">
                  <c:v>-6.2263821639893955</c:v>
                </c:pt>
                <c:pt idx="575">
                  <c:v>-6.2319650488806895</c:v>
                </c:pt>
                <c:pt idx="576">
                  <c:v>-6.2375479530523723</c:v>
                </c:pt>
                <c:pt idx="577">
                  <c:v>-6.2431308765038676</c:v>
                </c:pt>
                <c:pt idx="578">
                  <c:v>-6.248713819234597</c:v>
                </c:pt>
                <c:pt idx="579">
                  <c:v>-6.2542967812439834</c:v>
                </c:pt>
                <c:pt idx="580">
                  <c:v>-6.2598797625314493</c:v>
                </c:pt>
                <c:pt idx="581">
                  <c:v>-6.2654627630964175</c:v>
                </c:pt>
                <c:pt idx="582">
                  <c:v>-6.2710457829383115</c:v>
                </c:pt>
                <c:pt idx="583">
                  <c:v>-6.2766288220565531</c:v>
                </c:pt>
                <c:pt idx="584">
                  <c:v>-6.2822118804505651</c:v>
                </c:pt>
                <c:pt idx="585">
                  <c:v>-6.287794958119771</c:v>
                </c:pt>
                <c:pt idx="586">
                  <c:v>-6.2933780550635925</c:v>
                </c:pt>
                <c:pt idx="587">
                  <c:v>-6.2989611712814533</c:v>
                </c:pt>
                <c:pt idx="588">
                  <c:v>-6.3045443067727751</c:v>
                </c:pt>
                <c:pt idx="589">
                  <c:v>-6.3101274615369816</c:v>
                </c:pt>
                <c:pt idx="590">
                  <c:v>-6.3157106355734953</c:v>
                </c:pt>
                <c:pt idx="591">
                  <c:v>-6.3212938288817391</c:v>
                </c:pt>
                <c:pt idx="592">
                  <c:v>-6.3268770414611355</c:v>
                </c:pt>
                <c:pt idx="593">
                  <c:v>-6.3324602733111073</c:v>
                </c:pt>
                <c:pt idx="594">
                  <c:v>-6.338043524431078</c:v>
                </c:pt>
                <c:pt idx="595">
                  <c:v>-6.3436267948204703</c:v>
                </c:pt>
                <c:pt idx="596">
                  <c:v>-6.3492100844787069</c:v>
                </c:pt>
                <c:pt idx="597">
                  <c:v>-6.3547933934052105</c:v>
                </c:pt>
                <c:pt idx="598">
                  <c:v>-6.3603767215994047</c:v>
                </c:pt>
                <c:pt idx="599">
                  <c:v>-6.3659600690607121</c:v>
                </c:pt>
                <c:pt idx="600">
                  <c:v>-6.3715434357885554</c:v>
                </c:pt>
                <c:pt idx="601">
                  <c:v>-6.3771268217823573</c:v>
                </c:pt>
                <c:pt idx="602">
                  <c:v>-6.3827102270415415</c:v>
                </c:pt>
                <c:pt idx="603">
                  <c:v>-6.3882936515655304</c:v>
                </c:pt>
                <c:pt idx="604">
                  <c:v>-6.3938770953537469</c:v>
                </c:pt>
                <c:pt idx="605">
                  <c:v>-6.3994605584056146</c:v>
                </c:pt>
                <c:pt idx="606">
                  <c:v>-6.405044040720556</c:v>
                </c:pt>
                <c:pt idx="607">
                  <c:v>-6.4106275422979948</c:v>
                </c:pt>
                <c:pt idx="608">
                  <c:v>-6.4162110631373537</c:v>
                </c:pt>
                <c:pt idx="609">
                  <c:v>-6.4217946032380553</c:v>
                </c:pt>
                <c:pt idx="610">
                  <c:v>-6.4273781625995232</c:v>
                </c:pt>
                <c:pt idx="611">
                  <c:v>-6.4329617412211801</c:v>
                </c:pt>
                <c:pt idx="612">
                  <c:v>-6.4385453391024496</c:v>
                </c:pt>
                <c:pt idx="613">
                  <c:v>-6.4441289562427544</c:v>
                </c:pt>
                <c:pt idx="614">
                  <c:v>-6.449712592641518</c:v>
                </c:pt>
                <c:pt idx="615">
                  <c:v>-6.4552962482981631</c:v>
                </c:pt>
                <c:pt idx="616">
                  <c:v>-6.4608799232121132</c:v>
                </c:pt>
                <c:pt idx="617">
                  <c:v>-6.4664636173827912</c:v>
                </c:pt>
                <c:pt idx="618">
                  <c:v>-6.4720473308096205</c:v>
                </c:pt>
                <c:pt idx="619">
                  <c:v>-6.4776310634920247</c:v>
                </c:pt>
                <c:pt idx="620">
                  <c:v>-6.4832148154294265</c:v>
                </c:pt>
                <c:pt idx="621">
                  <c:v>-6.4887985866212485</c:v>
                </c:pt>
                <c:pt idx="622">
                  <c:v>-6.4943823770669153</c:v>
                </c:pt>
                <c:pt idx="623">
                  <c:v>-6.4999661867658487</c:v>
                </c:pt>
                <c:pt idx="624">
                  <c:v>-6.505550015717473</c:v>
                </c:pt>
                <c:pt idx="625">
                  <c:v>-6.5111338639212111</c:v>
                </c:pt>
                <c:pt idx="626">
                  <c:v>-6.5167177313764864</c:v>
                </c:pt>
                <c:pt idx="627">
                  <c:v>-6.5223016180827225</c:v>
                </c:pt>
                <c:pt idx="628">
                  <c:v>-6.5278855240393421</c:v>
                </c:pt>
                <c:pt idx="629">
                  <c:v>-6.5334694492457688</c:v>
                </c:pt>
                <c:pt idx="630">
                  <c:v>-6.5390533937014261</c:v>
                </c:pt>
                <c:pt idx="631">
                  <c:v>-6.5446373574057368</c:v>
                </c:pt>
                <c:pt idx="632">
                  <c:v>-6.5502213403581253</c:v>
                </c:pt>
                <c:pt idx="633">
                  <c:v>-6.5558053425580143</c:v>
                </c:pt>
                <c:pt idx="634">
                  <c:v>-6.5613893640048273</c:v>
                </c:pt>
                <c:pt idx="635">
                  <c:v>-6.5669734046979871</c:v>
                </c:pt>
                <c:pt idx="636">
                  <c:v>-6.572557464636918</c:v>
                </c:pt>
                <c:pt idx="637">
                  <c:v>-6.5781415438210429</c:v>
                </c:pt>
                <c:pt idx="638">
                  <c:v>-6.5837256422497861</c:v>
                </c:pt>
                <c:pt idx="639">
                  <c:v>-6.5893097599225703</c:v>
                </c:pt>
                <c:pt idx="640">
                  <c:v>-6.5948938968388191</c:v>
                </c:pt>
                <c:pt idx="641">
                  <c:v>-6.6004780529979561</c:v>
                </c:pt>
                <c:pt idx="642">
                  <c:v>-6.6060622283994039</c:v>
                </c:pt>
                <c:pt idx="643">
                  <c:v>-6.6116464230425871</c:v>
                </c:pt>
                <c:pt idx="644">
                  <c:v>-6.6172306369269291</c:v>
                </c:pt>
                <c:pt idx="645">
                  <c:v>-6.6228148700518537</c:v>
                </c:pt>
                <c:pt idx="646">
                  <c:v>-6.6283991224167833</c:v>
                </c:pt>
                <c:pt idx="647">
                  <c:v>-6.6339833940211426</c:v>
                </c:pt>
                <c:pt idx="648">
                  <c:v>-6.639567684864355</c:v>
                </c:pt>
                <c:pt idx="649">
                  <c:v>-6.6451519949458433</c:v>
                </c:pt>
                <c:pt idx="650">
                  <c:v>-6.6507363242650319</c:v>
                </c:pt>
                <c:pt idx="651">
                  <c:v>-6.6563206728213444</c:v>
                </c:pt>
                <c:pt idx="652">
                  <c:v>-6.6619050406142044</c:v>
                </c:pt>
                <c:pt idx="653">
                  <c:v>-6.6674894276430354</c:v>
                </c:pt>
                <c:pt idx="654">
                  <c:v>-6.6730738339072611</c:v>
                </c:pt>
                <c:pt idx="655">
                  <c:v>-6.6786582594063049</c:v>
                </c:pt>
                <c:pt idx="656">
                  <c:v>-6.6842427041395904</c:v>
                </c:pt>
                <c:pt idx="657">
                  <c:v>-6.6898271681065422</c:v>
                </c:pt>
                <c:pt idx="658">
                  <c:v>-6.6954116513065829</c:v>
                </c:pt>
                <c:pt idx="659">
                  <c:v>-6.7009961537391369</c:v>
                </c:pt>
                <c:pt idx="660">
                  <c:v>-6.7065806754036279</c:v>
                </c:pt>
                <c:pt idx="661">
                  <c:v>-6.7121652162994794</c:v>
                </c:pt>
                <c:pt idx="662">
                  <c:v>-6.7177497764261158</c:v>
                </c:pt>
                <c:pt idx="663">
                  <c:v>-6.7233343557829599</c:v>
                </c:pt>
                <c:pt idx="664">
                  <c:v>-6.7289189543694361</c:v>
                </c:pt>
                <c:pt idx="665">
                  <c:v>-6.7345035721849689</c:v>
                </c:pt>
                <c:pt idx="666">
                  <c:v>-6.7400882092289809</c:v>
                </c:pt>
                <c:pt idx="667">
                  <c:v>-6.7456728655008966</c:v>
                </c:pt>
                <c:pt idx="668">
                  <c:v>-6.7512575410001396</c:v>
                </c:pt>
                <c:pt idx="669">
                  <c:v>-6.7568422357261335</c:v>
                </c:pt>
                <c:pt idx="670">
                  <c:v>-6.7624269496783027</c:v>
                </c:pt>
                <c:pt idx="671">
                  <c:v>-6.7680116828560708</c:v>
                </c:pt>
                <c:pt idx="672">
                  <c:v>-6.7735964352588622</c:v>
                </c:pt>
                <c:pt idx="673">
                  <c:v>-6.7791812068860997</c:v>
                </c:pt>
                <c:pt idx="674">
                  <c:v>-6.7847659977372086</c:v>
                </c:pt>
                <c:pt idx="675">
                  <c:v>-6.7903508078116115</c:v>
                </c:pt>
                <c:pt idx="676">
                  <c:v>-6.7959356371087329</c:v>
                </c:pt>
                <c:pt idx="677">
                  <c:v>-6.8015204856279974</c:v>
                </c:pt>
                <c:pt idx="678">
                  <c:v>-6.8071053533688284</c:v>
                </c:pt>
                <c:pt idx="679">
                  <c:v>-6.8126902403306504</c:v>
                </c:pt>
                <c:pt idx="680">
                  <c:v>-6.818275146512887</c:v>
                </c:pt>
                <c:pt idx="681">
                  <c:v>-6.8238600719149618</c:v>
                </c:pt>
                <c:pt idx="682">
                  <c:v>-6.8294450165362992</c:v>
                </c:pt>
                <c:pt idx="683">
                  <c:v>-6.8350299803763237</c:v>
                </c:pt>
                <c:pt idx="684">
                  <c:v>-6.8406149634344589</c:v>
                </c:pt>
                <c:pt idx="685">
                  <c:v>-6.8461999657101282</c:v>
                </c:pt>
                <c:pt idx="686">
                  <c:v>-6.8517849872027572</c:v>
                </c:pt>
                <c:pt idx="687">
                  <c:v>-6.8573700279117693</c:v>
                </c:pt>
                <c:pt idx="688">
                  <c:v>-6.8629550878365881</c:v>
                </c:pt>
                <c:pt idx="689">
                  <c:v>-6.8685401669766382</c:v>
                </c:pt>
                <c:pt idx="690">
                  <c:v>-6.8741252653313438</c:v>
                </c:pt>
                <c:pt idx="691">
                  <c:v>-6.8797103829001287</c:v>
                </c:pt>
                <c:pt idx="692">
                  <c:v>-6.8852955196824173</c:v>
                </c:pt>
                <c:pt idx="693">
                  <c:v>-6.890880675677634</c:v>
                </c:pt>
                <c:pt idx="694">
                  <c:v>-6.8964658508852033</c:v>
                </c:pt>
                <c:pt idx="695">
                  <c:v>-6.9020510453045487</c:v>
                </c:pt>
                <c:pt idx="696">
                  <c:v>-6.9076362589350948</c:v>
                </c:pt>
                <c:pt idx="697">
                  <c:v>-6.9132214917762651</c:v>
                </c:pt>
                <c:pt idx="698">
                  <c:v>-6.918806743827485</c:v>
                </c:pt>
                <c:pt idx="699">
                  <c:v>-6.9243920150881779</c:v>
                </c:pt>
                <c:pt idx="700">
                  <c:v>-6.9299773055577685</c:v>
                </c:pt>
                <c:pt idx="701">
                  <c:v>-6.9355626152356811</c:v>
                </c:pt>
                <c:pt idx="702">
                  <c:v>-6.9411479441213402</c:v>
                </c:pt>
                <c:pt idx="703">
                  <c:v>-6.9467332922141694</c:v>
                </c:pt>
                <c:pt idx="704">
                  <c:v>-6.9523186595135931</c:v>
                </c:pt>
                <c:pt idx="705">
                  <c:v>-6.9579040460190367</c:v>
                </c:pt>
                <c:pt idx="706">
                  <c:v>-6.9634894517299237</c:v>
                </c:pt>
                <c:pt idx="707">
                  <c:v>-6.9690748766456787</c:v>
                </c:pt>
                <c:pt idx="708">
                  <c:v>-6.9746603207657261</c:v>
                </c:pt>
                <c:pt idx="709">
                  <c:v>-6.9802457840894894</c:v>
                </c:pt>
                <c:pt idx="710">
                  <c:v>-6.985831266616394</c:v>
                </c:pt>
                <c:pt idx="711">
                  <c:v>-6.9914167683458643</c:v>
                </c:pt>
                <c:pt idx="712">
                  <c:v>-6.9970022892773249</c:v>
                </c:pt>
                <c:pt idx="713">
                  <c:v>-7.0025878294101993</c:v>
                </c:pt>
                <c:pt idx="714">
                  <c:v>-7.0081733887439128</c:v>
                </c:pt>
                <c:pt idx="715">
                  <c:v>-7.0137589672778899</c:v>
                </c:pt>
                <c:pt idx="716">
                  <c:v>-7.0193445650115542</c:v>
                </c:pt>
                <c:pt idx="717">
                  <c:v>-7.0249301819443311</c:v>
                </c:pt>
                <c:pt idx="718">
                  <c:v>-7.0305158180756449</c:v>
                </c:pt>
                <c:pt idx="719">
                  <c:v>-7.0361014734049201</c:v>
                </c:pt>
                <c:pt idx="720">
                  <c:v>-7.0416871479315812</c:v>
                </c:pt>
                <c:pt idx="721">
                  <c:v>-7.0472728416550527</c:v>
                </c:pt>
                <c:pt idx="722">
                  <c:v>-7.05285855457476</c:v>
                </c:pt>
                <c:pt idx="723">
                  <c:v>-7.0584442866901265</c:v>
                </c:pt>
                <c:pt idx="724">
                  <c:v>-7.0640300380005776</c:v>
                </c:pt>
                <c:pt idx="725">
                  <c:v>-7.0696158085055369</c:v>
                </c:pt>
                <c:pt idx="726">
                  <c:v>-7.0752015982044298</c:v>
                </c:pt>
                <c:pt idx="727">
                  <c:v>-7.0807874070966808</c:v>
                </c:pt>
                <c:pt idx="728">
                  <c:v>-7.086373235181715</c:v>
                </c:pt>
                <c:pt idx="729">
                  <c:v>-7.0919590824589562</c:v>
                </c:pt>
                <c:pt idx="730">
                  <c:v>-7.0975449489278297</c:v>
                </c:pt>
                <c:pt idx="731">
                  <c:v>-7.10313083458776</c:v>
                </c:pt>
                <c:pt idx="732">
                  <c:v>-7.1087167394381723</c:v>
                </c:pt>
                <c:pt idx="733">
                  <c:v>-7.1143026634784903</c:v>
                </c:pt>
                <c:pt idx="734">
                  <c:v>-7.1198886067081393</c:v>
                </c:pt>
                <c:pt idx="735">
                  <c:v>-7.1254745691265438</c:v>
                </c:pt>
                <c:pt idx="736">
                  <c:v>-7.1310605507331291</c:v>
                </c:pt>
                <c:pt idx="737">
                  <c:v>-7.1366465515273196</c:v>
                </c:pt>
                <c:pt idx="738">
                  <c:v>-7.14223257150854</c:v>
                </c:pt>
                <c:pt idx="739">
                  <c:v>-7.1478186106762154</c:v>
                </c:pt>
                <c:pt idx="740">
                  <c:v>-7.1534046690297703</c:v>
                </c:pt>
                <c:pt idx="741">
                  <c:v>-7.1589907465686302</c:v>
                </c:pt>
                <c:pt idx="742">
                  <c:v>-7.1645768432922186</c:v>
                </c:pt>
                <c:pt idx="743">
                  <c:v>-7.1701629591999616</c:v>
                </c:pt>
                <c:pt idx="744">
                  <c:v>-7.1757490942912838</c:v>
                </c:pt>
                <c:pt idx="745">
                  <c:v>-7.1813352485656097</c:v>
                </c:pt>
                <c:pt idx="746">
                  <c:v>-7.1869214220223645</c:v>
                </c:pt>
                <c:pt idx="747">
                  <c:v>-7.1925076146609728</c:v>
                </c:pt>
                <c:pt idx="748">
                  <c:v>-7.1980938264808598</c:v>
                </c:pt>
                <c:pt idx="749">
                  <c:v>-7.2036800574814501</c:v>
                </c:pt>
                <c:pt idx="750">
                  <c:v>-7.209266307662169</c:v>
                </c:pt>
                <c:pt idx="751">
                  <c:v>-7.214852577022441</c:v>
                </c:pt>
                <c:pt idx="752">
                  <c:v>-7.2204388655616913</c:v>
                </c:pt>
                <c:pt idx="753">
                  <c:v>-7.2260251732793455</c:v>
                </c:pt>
                <c:pt idx="754">
                  <c:v>-7.2316115001748278</c:v>
                </c:pt>
                <c:pt idx="755">
                  <c:v>-7.2371978462475637</c:v>
                </c:pt>
                <c:pt idx="756">
                  <c:v>-7.2427842114969776</c:v>
                </c:pt>
                <c:pt idx="757">
                  <c:v>-7.2483705959224958</c:v>
                </c:pt>
                <c:pt idx="758">
                  <c:v>-7.2539569995235418</c:v>
                </c:pt>
                <c:pt idx="759">
                  <c:v>-7.2595434222995419</c:v>
                </c:pt>
                <c:pt idx="760">
                  <c:v>-7.2651298642499205</c:v>
                </c:pt>
                <c:pt idx="761">
                  <c:v>-7.270716325374103</c:v>
                </c:pt>
                <c:pt idx="762">
                  <c:v>-7.2763028056715138</c:v>
                </c:pt>
                <c:pt idx="763">
                  <c:v>-7.2818893051415792</c:v>
                </c:pt>
                <c:pt idx="764">
                  <c:v>-7.2874758237837236</c:v>
                </c:pt>
                <c:pt idx="765">
                  <c:v>-7.2930623615973724</c:v>
                </c:pt>
                <c:pt idx="766">
                  <c:v>-7.2986489185819501</c:v>
                </c:pt>
                <c:pt idx="767">
                  <c:v>-7.3042354947368828</c:v>
                </c:pt>
                <c:pt idx="768">
                  <c:v>-7.3098220900615951</c:v>
                </c:pt>
                <c:pt idx="769">
                  <c:v>-7.3154087045555123</c:v>
                </c:pt>
                <c:pt idx="770">
                  <c:v>-7.3209953382180597</c:v>
                </c:pt>
                <c:pt idx="771">
                  <c:v>-7.3265819910486627</c:v>
                </c:pt>
                <c:pt idx="772">
                  <c:v>-7.3321686630467457</c:v>
                </c:pt>
                <c:pt idx="773">
                  <c:v>-7.3377553542117351</c:v>
                </c:pt>
                <c:pt idx="774">
                  <c:v>-7.3433420645430552</c:v>
                </c:pt>
                <c:pt idx="775">
                  <c:v>-7.3489287940401322</c:v>
                </c:pt>
                <c:pt idx="776">
                  <c:v>-7.3545155427023907</c:v>
                </c:pt>
                <c:pt idx="777">
                  <c:v>-7.360102310529256</c:v>
                </c:pt>
                <c:pt idx="778">
                  <c:v>-7.3656890975201543</c:v>
                </c:pt>
                <c:pt idx="779">
                  <c:v>-7.3712759036745101</c:v>
                </c:pt>
                <c:pt idx="780">
                  <c:v>-7.3768627289917488</c:v>
                </c:pt>
                <c:pt idx="781">
                  <c:v>-7.3824495734712956</c:v>
                </c:pt>
                <c:pt idx="782">
                  <c:v>-7.3880364371125768</c:v>
                </c:pt>
                <c:pt idx="783">
                  <c:v>-7.393623319915017</c:v>
                </c:pt>
                <c:pt idx="784">
                  <c:v>-7.3992102218780413</c:v>
                </c:pt>
                <c:pt idx="785">
                  <c:v>-7.4047971430010762</c:v>
                </c:pt>
                <c:pt idx="786">
                  <c:v>-7.4103840832835459</c:v>
                </c:pt>
                <c:pt idx="787">
                  <c:v>-7.4159710427248768</c:v>
                </c:pt>
                <c:pt idx="788">
                  <c:v>-7.4215580213244943</c:v>
                </c:pt>
                <c:pt idx="789">
                  <c:v>-7.4271450190818227</c:v>
                </c:pt>
                <c:pt idx="790">
                  <c:v>-7.4327320359962883</c:v>
                </c:pt>
                <c:pt idx="791">
                  <c:v>-7.4383190720673174</c:v>
                </c:pt>
                <c:pt idx="792">
                  <c:v>-7.4439061272943343</c:v>
                </c:pt>
                <c:pt idx="793">
                  <c:v>-7.4494932016767645</c:v>
                </c:pt>
                <c:pt idx="794">
                  <c:v>-7.4550802952140343</c:v>
                </c:pt>
                <c:pt idx="795">
                  <c:v>-7.4606674079055688</c:v>
                </c:pt>
                <c:pt idx="796">
                  <c:v>-7.4662545397507936</c:v>
                </c:pt>
                <c:pt idx="797">
                  <c:v>-7.4718416907491347</c:v>
                </c:pt>
                <c:pt idx="798">
                  <c:v>-7.4774288609000177</c:v>
                </c:pt>
                <c:pt idx="799">
                  <c:v>-7.4830160502028678</c:v>
                </c:pt>
                <c:pt idx="800">
                  <c:v>-7.4886032586571103</c:v>
                </c:pt>
                <c:pt idx="801">
                  <c:v>-7.4941904862621707</c:v>
                </c:pt>
                <c:pt idx="802">
                  <c:v>-7.4997777330174751</c:v>
                </c:pt>
                <c:pt idx="803">
                  <c:v>-7.5053649989224498</c:v>
                </c:pt>
                <c:pt idx="804">
                  <c:v>-7.5109522839765193</c:v>
                </c:pt>
                <c:pt idx="805">
                  <c:v>-7.5165395881791097</c:v>
                </c:pt>
                <c:pt idx="806">
                  <c:v>-7.5221269115296474</c:v>
                </c:pt>
                <c:pt idx="807">
                  <c:v>-7.5277142540275568</c:v>
                </c:pt>
                <c:pt idx="808">
                  <c:v>-7.533301615672265</c:v>
                </c:pt>
                <c:pt idx="809">
                  <c:v>-7.5388889964631964</c:v>
                </c:pt>
                <c:pt idx="810">
                  <c:v>-7.5444763963997774</c:v>
                </c:pt>
                <c:pt idx="811">
                  <c:v>-7.5500638154814341</c:v>
                </c:pt>
                <c:pt idx="812">
                  <c:v>-7.5556512537075919</c:v>
                </c:pt>
                <c:pt idx="813">
                  <c:v>-7.5612387110776762</c:v>
                </c:pt>
                <c:pt idx="814">
                  <c:v>-7.5668261875911131</c:v>
                </c:pt>
                <c:pt idx="815">
                  <c:v>-7.572413683247329</c:v>
                </c:pt>
                <c:pt idx="816">
                  <c:v>-7.5780011980457491</c:v>
                </c:pt>
                <c:pt idx="817">
                  <c:v>-7.5835887319857997</c:v>
                </c:pt>
                <c:pt idx="818">
                  <c:v>-7.5891762850669062</c:v>
                </c:pt>
                <c:pt idx="819">
                  <c:v>-7.5947638572884948</c:v>
                </c:pt>
                <c:pt idx="820">
                  <c:v>-7.6003514486499908</c:v>
                </c:pt>
                <c:pt idx="821">
                  <c:v>-7.6059390591508205</c:v>
                </c:pt>
                <c:pt idx="822">
                  <c:v>-7.6115266887904101</c:v>
                </c:pt>
                <c:pt idx="823">
                  <c:v>-7.6171143375681849</c:v>
                </c:pt>
                <c:pt idx="824">
                  <c:v>-7.6227020054835712</c:v>
                </c:pt>
                <c:pt idx="825">
                  <c:v>-7.6282896925359944</c:v>
                </c:pt>
                <c:pt idx="826">
                  <c:v>-7.6338773987248816</c:v>
                </c:pt>
                <c:pt idx="827">
                  <c:v>-7.6394651240496581</c:v>
                </c:pt>
                <c:pt idx="828">
                  <c:v>-7.6450528685097492</c:v>
                </c:pt>
                <c:pt idx="829">
                  <c:v>-7.6506406321045821</c:v>
                </c:pt>
                <c:pt idx="830">
                  <c:v>-7.6562284148335822</c:v>
                </c:pt>
                <c:pt idx="831">
                  <c:v>-7.6618162166961756</c:v>
                </c:pt>
                <c:pt idx="832">
                  <c:v>-7.6674040376917887</c:v>
                </c:pt>
                <c:pt idx="833">
                  <c:v>-7.6729918778198467</c:v>
                </c:pt>
                <c:pt idx="834">
                  <c:v>-7.6785797370797759</c:v>
                </c:pt>
                <c:pt idx="835">
                  <c:v>-7.6841676154710035</c:v>
                </c:pt>
                <c:pt idx="836">
                  <c:v>-7.6897555129929547</c:v>
                </c:pt>
                <c:pt idx="837">
                  <c:v>-7.6953434296450549</c:v>
                </c:pt>
                <c:pt idx="838">
                  <c:v>-7.7009313654267313</c:v>
                </c:pt>
                <c:pt idx="839">
                  <c:v>-7.7065193203374101</c:v>
                </c:pt>
                <c:pt idx="840">
                  <c:v>-7.7121072943765165</c:v>
                </c:pt>
                <c:pt idx="841">
                  <c:v>-7.7176952875434779</c:v>
                </c:pt>
                <c:pt idx="842">
                  <c:v>-7.7232832998377194</c:v>
                </c:pt>
                <c:pt idx="843">
                  <c:v>-7.7288713312586674</c:v>
                </c:pt>
                <c:pt idx="844">
                  <c:v>-7.7344593818057481</c:v>
                </c:pt>
                <c:pt idx="845">
                  <c:v>-7.7400474514783877</c:v>
                </c:pt>
                <c:pt idx="846">
                  <c:v>-7.7456355402760133</c:v>
                </c:pt>
                <c:pt idx="847">
                  <c:v>-7.7512236481980503</c:v>
                </c:pt>
                <c:pt idx="848">
                  <c:v>-7.756811775243925</c:v>
                </c:pt>
                <c:pt idx="849">
                  <c:v>-7.7623999214130635</c:v>
                </c:pt>
                <c:pt idx="850">
                  <c:v>-7.767988086704892</c:v>
                </c:pt>
                <c:pt idx="851">
                  <c:v>-7.7735762711188379</c:v>
                </c:pt>
                <c:pt idx="852">
                  <c:v>-7.7791644746543263</c:v>
                </c:pt>
                <c:pt idx="853">
                  <c:v>-7.7847526973107843</c:v>
                </c:pt>
                <c:pt idx="854">
                  <c:v>-7.7903409390876375</c:v>
                </c:pt>
                <c:pt idx="855">
                  <c:v>-7.7959291999843128</c:v>
                </c:pt>
                <c:pt idx="856">
                  <c:v>-7.8015174800002365</c:v>
                </c:pt>
                <c:pt idx="857">
                  <c:v>-7.8071057791348348</c:v>
                </c:pt>
                <c:pt idx="858">
                  <c:v>-7.8126940973875341</c:v>
                </c:pt>
                <c:pt idx="859">
                  <c:v>-7.8182824347577604</c:v>
                </c:pt>
                <c:pt idx="860">
                  <c:v>-7.823870791244941</c:v>
                </c:pt>
                <c:pt idx="861">
                  <c:v>-7.8294591668485021</c:v>
                </c:pt>
                <c:pt idx="862">
                  <c:v>-7.8350475615678699</c:v>
                </c:pt>
                <c:pt idx="863">
                  <c:v>-7.8406359754024706</c:v>
                </c:pt>
                <c:pt idx="864">
                  <c:v>-7.8462244083517314</c:v>
                </c:pt>
                <c:pt idx="865">
                  <c:v>-7.8518128604150776</c:v>
                </c:pt>
                <c:pt idx="866">
                  <c:v>-7.8574013315919364</c:v>
                </c:pt>
                <c:pt idx="867">
                  <c:v>-7.8629898218817349</c:v>
                </c:pt>
                <c:pt idx="868">
                  <c:v>-7.8685783312838984</c:v>
                </c:pt>
                <c:pt idx="869">
                  <c:v>-7.874166859797854</c:v>
                </c:pt>
                <c:pt idx="870">
                  <c:v>-7.8797554074230289</c:v>
                </c:pt>
                <c:pt idx="871">
                  <c:v>-7.8853439741588485</c:v>
                </c:pt>
                <c:pt idx="872">
                  <c:v>-7.8909325600047406</c:v>
                </c:pt>
                <c:pt idx="873">
                  <c:v>-7.8965211649601308</c:v>
                </c:pt>
                <c:pt idx="874">
                  <c:v>-7.9021097890244461</c:v>
                </c:pt>
                <c:pt idx="875">
                  <c:v>-7.9076984321971127</c:v>
                </c:pt>
                <c:pt idx="876">
                  <c:v>-7.9132870944775577</c:v>
                </c:pt>
                <c:pt idx="877">
                  <c:v>-7.9188757758652075</c:v>
                </c:pt>
                <c:pt idx="878">
                  <c:v>-7.9244644763594891</c:v>
                </c:pt>
                <c:pt idx="879">
                  <c:v>-7.9300531959598288</c:v>
                </c:pt>
                <c:pt idx="880">
                  <c:v>-7.9356419346656537</c:v>
                </c:pt>
                <c:pt idx="881">
                  <c:v>-7.94123069247639</c:v>
                </c:pt>
                <c:pt idx="882">
                  <c:v>-7.9468194693914649</c:v>
                </c:pt>
                <c:pt idx="883">
                  <c:v>-7.9524082654103045</c:v>
                </c:pt>
                <c:pt idx="884">
                  <c:v>-7.9579970805323361</c:v>
                </c:pt>
                <c:pt idx="885">
                  <c:v>-7.9635859147569859</c:v>
                </c:pt>
                <c:pt idx="886">
                  <c:v>-7.9691747680836809</c:v>
                </c:pt>
                <c:pt idx="887">
                  <c:v>-7.9747636405118483</c:v>
                </c:pt>
                <c:pt idx="888">
                  <c:v>-7.9803525320409143</c:v>
                </c:pt>
                <c:pt idx="889">
                  <c:v>-7.9859414426703053</c:v>
                </c:pt>
                <c:pt idx="890">
                  <c:v>-7.9915303723994491</c:v>
                </c:pt>
                <c:pt idx="891">
                  <c:v>-7.997119321227772</c:v>
                </c:pt>
                <c:pt idx="892">
                  <c:v>-8.0027082891547003</c:v>
                </c:pt>
                <c:pt idx="893">
                  <c:v>-8.0082972761796629</c:v>
                </c:pt>
                <c:pt idx="894">
                  <c:v>-8.0138862823020851</c:v>
                </c:pt>
                <c:pt idx="895">
                  <c:v>-8.0194753075213931</c:v>
                </c:pt>
                <c:pt idx="896">
                  <c:v>-8.0250643518370151</c:v>
                </c:pt>
                <c:pt idx="897">
                  <c:v>-8.0306534152483771</c:v>
                </c:pt>
                <c:pt idx="898">
                  <c:v>-8.0362424977549072</c:v>
                </c:pt>
                <c:pt idx="899">
                  <c:v>-8.0418315993560316</c:v>
                </c:pt>
                <c:pt idx="900">
                  <c:v>-8.0474207200511767</c:v>
                </c:pt>
                <c:pt idx="901">
                  <c:v>-8.0530098598397704</c:v>
                </c:pt>
                <c:pt idx="902">
                  <c:v>-8.0585990187212388</c:v>
                </c:pt>
                <c:pt idx="903">
                  <c:v>-8.0641881966950102</c:v>
                </c:pt>
                <c:pt idx="904">
                  <c:v>-8.0697773937605106</c:v>
                </c:pt>
                <c:pt idx="905">
                  <c:v>-8.0753666099171664</c:v>
                </c:pt>
                <c:pt idx="906">
                  <c:v>-8.0809558451644055</c:v>
                </c:pt>
                <c:pt idx="907">
                  <c:v>-8.0865450995016559</c:v>
                </c:pt>
                <c:pt idx="908">
                  <c:v>-8.0921343729283421</c:v>
                </c:pt>
                <c:pt idx="909">
                  <c:v>-8.097723665443894</c:v>
                </c:pt>
                <c:pt idx="910">
                  <c:v>-8.1033129770477377</c:v>
                </c:pt>
                <c:pt idx="911">
                  <c:v>-8.1089023077392994</c:v>
                </c:pt>
                <c:pt idx="912">
                  <c:v>-8.1144916575180073</c:v>
                </c:pt>
                <c:pt idx="913">
                  <c:v>-8.1200810263832874</c:v>
                </c:pt>
                <c:pt idx="914">
                  <c:v>-8.1256704143345679</c:v>
                </c:pt>
                <c:pt idx="915">
                  <c:v>-8.131259821371275</c:v>
                </c:pt>
                <c:pt idx="916">
                  <c:v>-8.1368492474928367</c:v>
                </c:pt>
                <c:pt idx="917">
                  <c:v>-8.1424386926986791</c:v>
                </c:pt>
                <c:pt idx="918">
                  <c:v>-8.1480281569882305</c:v>
                </c:pt>
                <c:pt idx="919">
                  <c:v>-8.1536176403609169</c:v>
                </c:pt>
                <c:pt idx="920">
                  <c:v>-8.1592071428161663</c:v>
                </c:pt>
                <c:pt idx="921">
                  <c:v>-8.1647966643534051</c:v>
                </c:pt>
                <c:pt idx="922">
                  <c:v>-8.1703862049720613</c:v>
                </c:pt>
                <c:pt idx="923">
                  <c:v>-8.1759757646715627</c:v>
                </c:pt>
                <c:pt idx="924">
                  <c:v>-8.1815653434513358</c:v>
                </c:pt>
                <c:pt idx="925">
                  <c:v>-8.1871549413108085</c:v>
                </c:pt>
                <c:pt idx="926">
                  <c:v>-8.1927445582494069</c:v>
                </c:pt>
                <c:pt idx="927">
                  <c:v>-8.1983341942665593</c:v>
                </c:pt>
                <c:pt idx="928">
                  <c:v>-8.2039238493616935</c:v>
                </c:pt>
                <c:pt idx="929">
                  <c:v>-8.2095135235342358</c:v>
                </c:pt>
                <c:pt idx="930">
                  <c:v>-8.2151032167836142</c:v>
                </c:pt>
                <c:pt idx="931">
                  <c:v>-8.220692929109255</c:v>
                </c:pt>
                <c:pt idx="932">
                  <c:v>-8.2262826605105879</c:v>
                </c:pt>
                <c:pt idx="933">
                  <c:v>-8.2318724109870374</c:v>
                </c:pt>
                <c:pt idx="934">
                  <c:v>-8.2374621805380333</c:v>
                </c:pt>
                <c:pt idx="935">
                  <c:v>-8.2430519691630018</c:v>
                </c:pt>
                <c:pt idx="936">
                  <c:v>-8.2486417768613691</c:v>
                </c:pt>
                <c:pt idx="937">
                  <c:v>-8.2542316036325651</c:v>
                </c:pt>
                <c:pt idx="938">
                  <c:v>-8.259821449476016</c:v>
                </c:pt>
                <c:pt idx="939">
                  <c:v>-8.2654113143911498</c:v>
                </c:pt>
                <c:pt idx="940">
                  <c:v>-8.2710011983773928</c:v>
                </c:pt>
                <c:pt idx="941">
                  <c:v>-8.2765911014341729</c:v>
                </c:pt>
                <c:pt idx="942">
                  <c:v>-8.2821810235609181</c:v>
                </c:pt>
                <c:pt idx="943">
                  <c:v>-8.2877709647570565</c:v>
                </c:pt>
                <c:pt idx="944">
                  <c:v>-8.2933609250220144</c:v>
                </c:pt>
                <c:pt idx="945">
                  <c:v>-8.2989509043552196</c:v>
                </c:pt>
                <c:pt idx="946">
                  <c:v>-8.3045409027561004</c:v>
                </c:pt>
                <c:pt idx="947">
                  <c:v>-8.3101309202240845</c:v>
                </c:pt>
                <c:pt idx="948">
                  <c:v>-8.3157209567585983</c:v>
                </c:pt>
                <c:pt idx="949">
                  <c:v>-8.3213110123590699</c:v>
                </c:pt>
                <c:pt idx="950">
                  <c:v>-8.3269010870249272</c:v>
                </c:pt>
                <c:pt idx="951">
                  <c:v>-8.3324911807555981</c:v>
                </c:pt>
                <c:pt idx="952">
                  <c:v>-8.3380812935505091</c:v>
                </c:pt>
                <c:pt idx="953">
                  <c:v>-8.343671425409088</c:v>
                </c:pt>
                <c:pt idx="954">
                  <c:v>-8.3492615763307629</c:v>
                </c:pt>
                <c:pt idx="955">
                  <c:v>-8.3548517463149619</c:v>
                </c:pt>
                <c:pt idx="956">
                  <c:v>-8.3604419353611128</c:v>
                </c:pt>
                <c:pt idx="957">
                  <c:v>-8.366032143468642</c:v>
                </c:pt>
                <c:pt idx="958">
                  <c:v>-8.3716223706369792</c:v>
                </c:pt>
                <c:pt idx="959">
                  <c:v>-8.3772126168655507</c:v>
                </c:pt>
                <c:pt idx="960">
                  <c:v>-8.3828028821537846</c:v>
                </c:pt>
                <c:pt idx="961">
                  <c:v>-8.3883931665011087</c:v>
                </c:pt>
                <c:pt idx="962">
                  <c:v>-8.3939834699069493</c:v>
                </c:pt>
                <c:pt idx="963">
                  <c:v>-8.3995737923707363</c:v>
                </c:pt>
                <c:pt idx="964">
                  <c:v>-8.4051641338918959</c:v>
                </c:pt>
                <c:pt idx="965">
                  <c:v>-8.4107544944698578</c:v>
                </c:pt>
                <c:pt idx="966">
                  <c:v>-8.4163448741040483</c:v>
                </c:pt>
                <c:pt idx="967">
                  <c:v>-8.4219352727938954</c:v>
                </c:pt>
                <c:pt idx="968">
                  <c:v>-8.4275256905388272</c:v>
                </c:pt>
                <c:pt idx="969">
                  <c:v>-8.4331161273382715</c:v>
                </c:pt>
                <c:pt idx="970">
                  <c:v>-8.4387065831916566</c:v>
                </c:pt>
                <c:pt idx="971">
                  <c:v>-8.4442970580984102</c:v>
                </c:pt>
                <c:pt idx="972">
                  <c:v>-8.4498875520579606</c:v>
                </c:pt>
                <c:pt idx="973">
                  <c:v>-8.4554780650697356</c:v>
                </c:pt>
                <c:pt idx="974">
                  <c:v>-8.4610685971331616</c:v>
                </c:pt>
                <c:pt idx="975">
                  <c:v>-8.4666591482476683</c:v>
                </c:pt>
                <c:pt idx="976">
                  <c:v>-8.4722497184126819</c:v>
                </c:pt>
                <c:pt idx="977">
                  <c:v>-8.4778403076276323</c:v>
                </c:pt>
                <c:pt idx="978">
                  <c:v>-8.4834309158919474</c:v>
                </c:pt>
                <c:pt idx="979">
                  <c:v>-8.4890215432050535</c:v>
                </c:pt>
                <c:pt idx="980">
                  <c:v>-8.4946121895663804</c:v>
                </c:pt>
                <c:pt idx="981">
                  <c:v>-8.5002028549753543</c:v>
                </c:pt>
                <c:pt idx="982">
                  <c:v>-8.505793539431405</c:v>
                </c:pt>
                <c:pt idx="983">
                  <c:v>-8.5113842429339588</c:v>
                </c:pt>
                <c:pt idx="984">
                  <c:v>-8.5169749654824454</c:v>
                </c:pt>
                <c:pt idx="985">
                  <c:v>-8.5225657070762928</c:v>
                </c:pt>
                <c:pt idx="986">
                  <c:v>-8.5281564677149273</c:v>
                </c:pt>
                <c:pt idx="987">
                  <c:v>-8.5337472473977787</c:v>
                </c:pt>
                <c:pt idx="988">
                  <c:v>-8.5393380461242749</c:v>
                </c:pt>
                <c:pt idx="989">
                  <c:v>-8.5449288638938441</c:v>
                </c:pt>
                <c:pt idx="990">
                  <c:v>-8.5505197007059142</c:v>
                </c:pt>
                <c:pt idx="991">
                  <c:v>-8.5561105565599131</c:v>
                </c:pt>
                <c:pt idx="992">
                  <c:v>-8.5617014314552691</c:v>
                </c:pt>
                <c:pt idx="993">
                  <c:v>-8.5672923253914099</c:v>
                </c:pt>
                <c:pt idx="994">
                  <c:v>-8.5728832383677638</c:v>
                </c:pt>
                <c:pt idx="995">
                  <c:v>-8.5784741703837604</c:v>
                </c:pt>
                <c:pt idx="996">
                  <c:v>-8.5840651214388259</c:v>
                </c:pt>
                <c:pt idx="997">
                  <c:v>-8.5896560915323903</c:v>
                </c:pt>
                <c:pt idx="998">
                  <c:v>-8.5952470806638814</c:v>
                </c:pt>
                <c:pt idx="999">
                  <c:v>-8.6008380888327274</c:v>
                </c:pt>
                <c:pt idx="1000">
                  <c:v>-8.6064291160383561</c:v>
                </c:pt>
              </c:numCache>
            </c:numRef>
          </c:yVal>
          <c:smooth val="1"/>
        </c:ser>
        <c:ser>
          <c:idx val="4"/>
          <c:order val="3"/>
          <c:tx>
            <c:strRef>
              <c:f>Trajecto!$B$109</c:f>
              <c:strCache>
                <c:ptCount val="1"/>
              </c:strCache>
            </c:strRef>
          </c:tx>
          <c:spPr>
            <a:ln w="25400">
              <a:solidFill>
                <a:srgbClr val="FF6600"/>
              </a:solidFill>
              <a:prstDash val="solid"/>
            </a:ln>
          </c:spPr>
          <c:marker>
            <c:symbol val="none"/>
          </c:marker>
          <c:dLbls>
            <c:dLbl>
              <c:idx val="1"/>
              <c:layout/>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SerName val="1"/>
            </c:dLbl>
            <c:delete val="1"/>
          </c:dLbls>
          <c:xVal>
            <c:numRef>
              <c:f>Trajecto!$B$140:$B$146</c:f>
              <c:numCache>
                <c:formatCode>0</c:formatCode>
                <c:ptCount val="7"/>
                <c:pt idx="0">
                  <c:v>0</c:v>
                </c:pt>
                <c:pt idx="1">
                  <c:v>0</c:v>
                </c:pt>
                <c:pt idx="2">
                  <c:v>0</c:v>
                </c:pt>
                <c:pt idx="3">
                  <c:v>0</c:v>
                </c:pt>
                <c:pt idx="4">
                  <c:v>0</c:v>
                </c:pt>
                <c:pt idx="5">
                  <c:v>0</c:v>
                </c:pt>
                <c:pt idx="6">
                  <c:v>0</c:v>
                </c:pt>
              </c:numCache>
            </c:numRef>
          </c:xVal>
          <c:yVal>
            <c:numRef>
              <c:f>Trajecto!$C$138:$C$144</c:f>
              <c:numCache>
                <c:formatCode>0</c:formatCode>
                <c:ptCount val="7"/>
                <c:pt idx="0">
                  <c:v>0</c:v>
                </c:pt>
                <c:pt idx="1">
                  <c:v>0</c:v>
                </c:pt>
                <c:pt idx="2">
                  <c:v>0</c:v>
                </c:pt>
                <c:pt idx="3">
                  <c:v>0</c:v>
                </c:pt>
                <c:pt idx="4">
                  <c:v>0</c:v>
                </c:pt>
                <c:pt idx="5">
                  <c:v>0</c:v>
                </c:pt>
                <c:pt idx="6">
                  <c:v>0</c:v>
                </c:pt>
              </c:numCache>
            </c:numRef>
          </c:yVal>
        </c:ser>
        <c:ser>
          <c:idx val="5"/>
          <c:order val="4"/>
          <c:tx>
            <c:strRef>
              <c:f>Trajecto!$B$106</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1.8916427990636037E-4</c:v>
                </c:pt>
                <c:pt idx="2">
                  <c:v>1.2756673035231121E-3</c:v>
                </c:pt>
                <c:pt idx="3">
                  <c:v>4.1488299937873117E-3</c:v>
                </c:pt>
                <c:pt idx="4">
                  <c:v>8.9509927712054897E-3</c:v>
                </c:pt>
                <c:pt idx="5">
                  <c:v>1.5225798570290921E-2</c:v>
                </c:pt>
                <c:pt idx="6">
                  <c:v>2.2600313430176384E-2</c:v>
                </c:pt>
                <c:pt idx="7">
                  <c:v>3.0917082561292893E-2</c:v>
                </c:pt>
                <c:pt idx="8">
                  <c:v>4.0182034457298926E-2</c:v>
                </c:pt>
                <c:pt idx="9">
                  <c:v>5.0432846069798878E-2</c:v>
                </c:pt>
                <c:pt idx="10">
                  <c:v>6.1707203202745843E-2</c:v>
                </c:pt>
                <c:pt idx="11">
                  <c:v>7.403076939093535E-2</c:v>
                </c:pt>
                <c:pt idx="12">
                  <c:v>8.7417173058277647E-2</c:v>
                </c:pt>
                <c:pt idx="13">
                  <c:v>0.10188002452223384</c:v>
                </c:pt>
                <c:pt idx="14">
                  <c:v>0.11743291498301273</c:v>
                </c:pt>
                <c:pt idx="15">
                  <c:v>0.13408941549819403</c:v>
                </c:pt>
                <c:pt idx="16">
                  <c:v>0.15186307594293727</c:v>
                </c:pt>
                <c:pt idx="17">
                  <c:v>0.17076742395594327</c:v>
                </c:pt>
                <c:pt idx="18">
                  <c:v>0.19081596387134311</c:v>
                </c:pt>
                <c:pt idx="19">
                  <c:v>0.2120221756366972</c:v>
                </c:pt>
                <c:pt idx="20">
                  <c:v>0.2343995137172955</c:v>
                </c:pt>
                <c:pt idx="21">
                  <c:v>0.25796140598695783</c:v>
                </c:pt>
                <c:pt idx="22">
                  <c:v>0.28271981041394179</c:v>
                </c:pt>
                <c:pt idx="23">
                  <c:v>0.30868184625478579</c:v>
                </c:pt>
                <c:pt idx="24">
                  <c:v>0.33585123196734168</c:v>
                </c:pt>
                <c:pt idx="25">
                  <c:v>0.36423164898708932</c:v>
                </c:pt>
                <c:pt idx="26">
                  <c:v>0.39382674135529661</c:v>
                </c:pt>
                <c:pt idx="27">
                  <c:v>0.42464011535048191</c:v>
                </c:pt>
                <c:pt idx="28">
                  <c:v>0.45667533912328107</c:v>
                </c:pt>
                <c:pt idx="29">
                  <c:v>0.49001986196934783</c:v>
                </c:pt>
                <c:pt idx="30">
                  <c:v>0.52476451384243916</c:v>
                </c:pt>
                <c:pt idx="31">
                  <c:v>0.56091953944658268</c:v>
                </c:pt>
                <c:pt idx="32">
                  <c:v>0.59849501471401745</c:v>
                </c:pt>
                <c:pt idx="33">
                  <c:v>0.63750081389718116</c:v>
                </c:pt>
                <c:pt idx="34">
                  <c:v>0.6779466184297529</c:v>
                </c:pt>
                <c:pt idx="35">
                  <c:v>0.71984153923936633</c:v>
                </c:pt>
                <c:pt idx="36">
                  <c:v>0.76319063356361083</c:v>
                </c:pt>
                <c:pt idx="37">
                  <c:v>0.80799526646663145</c:v>
                </c:pt>
                <c:pt idx="38">
                  <c:v>0.85425657849729808</c:v>
                </c:pt>
                <c:pt idx="39">
                  <c:v>0.90197549502482166</c:v>
                </c:pt>
                <c:pt idx="40">
                  <c:v>0.95115273485464458</c:v>
                </c:pt>
                <c:pt idx="41">
                  <c:v>1.0017888182024648</c:v>
                </c:pt>
                <c:pt idx="42">
                  <c:v>1.0538840740940199</c:v>
                </c:pt>
                <c:pt idx="43">
                  <c:v>1.1074386472495978</c:v>
                </c:pt>
                <c:pt idx="44">
                  <c:v>1.1624525045048855</c:v>
                </c:pt>
                <c:pt idx="45">
                  <c:v>1.218925440813476</c:v>
                </c:pt>
                <c:pt idx="46">
                  <c:v>1.276857084870977</c:v>
                </c:pt>
                <c:pt idx="47">
                  <c:v>1.3362469043960217</c:v>
                </c:pt>
                <c:pt idx="48">
                  <c:v>1.397094211099478</c:v>
                </c:pt>
                <c:pt idx="49">
                  <c:v>1.4593981653696819</c:v>
                </c:pt>
                <c:pt idx="50">
                  <c:v>1.5231577806984975</c:v>
                </c:pt>
                <c:pt idx="51">
                  <c:v>1.5883719278703685</c:v>
                </c:pt>
                <c:pt idx="52">
                  <c:v>1.6550393389342208</c:v>
                </c:pt>
                <c:pt idx="53">
                  <c:v>1.7231586109760444</c:v>
                </c:pt>
                <c:pt idx="54">
                  <c:v>1.7927282097082002</c:v>
                </c:pt>
                <c:pt idx="55">
                  <c:v>1.863746472889922</c:v>
                </c:pt>
                <c:pt idx="56">
                  <c:v>1.936211613592085</c:v>
                </c:pt>
                <c:pt idx="57">
                  <c:v>2.010121723318079</c:v>
                </c:pt>
                <c:pt idx="58">
                  <c:v>2.085474774991519</c:v>
                </c:pt>
                <c:pt idx="59">
                  <c:v>2.1622686258205439</c:v>
                </c:pt>
                <c:pt idx="60">
                  <c:v>2.2405010200475828</c:v>
                </c:pt>
                <c:pt idx="61">
                  <c:v>2.320169591592673</c:v>
                </c:pt>
                <c:pt idx="62">
                  <c:v>2.4012718665977157</c:v>
                </c:pt>
                <c:pt idx="63">
                  <c:v>2.4838052658784213</c:v>
                </c:pt>
                <c:pt idx="64">
                  <c:v>2.5677671072901225</c:v>
                </c:pt>
                <c:pt idx="65">
                  <c:v>2.6531546080131188</c:v>
                </c:pt>
                <c:pt idx="66">
                  <c:v>2.7399648867627548</c:v>
                </c:pt>
                <c:pt idx="67">
                  <c:v>2.8281949659290087</c:v>
                </c:pt>
                <c:pt idx="68">
                  <c:v>2.9178417736499842</c:v>
                </c:pt>
                <c:pt idx="69">
                  <c:v>3.0089021458233582</c:v>
                </c:pt>
                <c:pt idx="70">
                  <c:v>3.1013728280595165</c:v>
                </c:pt>
                <c:pt idx="71">
                  <c:v>3.1952504775798189</c:v>
                </c:pt>
                <c:pt idx="72">
                  <c:v>3.290531665063182</c:v>
                </c:pt>
                <c:pt idx="73">
                  <c:v>3.3872128764439187</c:v>
                </c:pt>
                <c:pt idx="74">
                  <c:v>3.4852905146635607</c:v>
                </c:pt>
                <c:pt idx="75">
                  <c:v>3.5847609013791861</c:v>
                </c:pt>
                <c:pt idx="76">
                  <c:v>3.6856202786305925</c:v>
                </c:pt>
                <c:pt idx="77">
                  <c:v>3.7878648104684833</c:v>
                </c:pt>
                <c:pt idx="78">
                  <c:v>3.891490584545688</c:v>
                </c:pt>
                <c:pt idx="79">
                  <c:v>3.9964936136732798</c:v>
                </c:pt>
                <c:pt idx="80">
                  <c:v>4.1028698373433405</c:v>
                </c:pt>
                <c:pt idx="81">
                  <c:v>4.2106151232199842</c:v>
                </c:pt>
                <c:pt idx="82">
                  <c:v>4.3197252686001564</c:v>
                </c:pt>
                <c:pt idx="83">
                  <c:v>4.4301960018455997</c:v>
                </c:pt>
                <c:pt idx="84">
                  <c:v>4.5420229837873105</c:v>
                </c:pt>
                <c:pt idx="85">
                  <c:v>4.6552018091036924</c:v>
                </c:pt>
                <c:pt idx="86">
                  <c:v>4.7697280076735558</c:v>
                </c:pt>
                <c:pt idx="87">
                  <c:v>4.8855970459050191</c:v>
                </c:pt>
                <c:pt idx="88">
                  <c:v>5.002804328041309</c:v>
                </c:pt>
                <c:pt idx="89">
                  <c:v>5.1213451974443824</c:v>
                </c:pt>
                <c:pt idx="90">
                  <c:v>5.2412149378572392</c:v>
                </c:pt>
                <c:pt idx="91">
                  <c:v>5.3624087746457381</c:v>
                </c:pt>
                <c:pt idx="92">
                  <c:v>5.4849218760206666</c:v>
                </c:pt>
                <c:pt idx="93">
                  <c:v>5.6087493542407785</c:v>
                </c:pt>
                <c:pt idx="94">
                  <c:v>5.7338862667974668</c:v>
                </c:pt>
                <c:pt idx="95">
                  <c:v>5.8603276175816834</c:v>
                </c:pt>
                <c:pt idx="96">
                  <c:v>5.9880683580336962</c:v>
                </c:pt>
                <c:pt idx="97">
                  <c:v>6.1171033882762229</c:v>
                </c:pt>
                <c:pt idx="98">
                  <c:v>6.2474275582314593</c:v>
                </c:pt>
                <c:pt idx="99">
                  <c:v>6.379035668722473</c:v>
                </c:pt>
                <c:pt idx="100">
                  <c:v>6.5119224725594211</c:v>
                </c:pt>
                <c:pt idx="101">
                  <c:v>6.6460826756110016</c:v>
                </c:pt>
                <c:pt idx="102">
                  <c:v>6.7815109378615475</c:v>
                </c:pt>
                <c:pt idx="103">
                  <c:v>6.9182018744541232</c:v>
                </c:pt>
                <c:pt idx="104">
                  <c:v>7.0561500567199769</c:v>
                </c:pt>
                <c:pt idx="105">
                  <c:v>7.1953500131946777</c:v>
                </c:pt>
                <c:pt idx="106">
                  <c:v>7.3357962306212414</c:v>
                </c:pt>
                <c:pt idx="107">
                  <c:v>7.4774831549405318</c:v>
                </c:pt>
                <c:pt idx="108">
                  <c:v>7.6204051922692164</c:v>
                </c:pt>
                <c:pt idx="109">
                  <c:v>7.7645567098655253</c:v>
                </c:pt>
                <c:pt idx="110">
                  <c:v>7.9099320370830544</c:v>
                </c:pt>
                <c:pt idx="111">
                  <c:v>8.0565254663128414</c:v>
                </c:pt>
                <c:pt idx="112">
                  <c:v>8.2043312539139208</c:v>
                </c:pt>
                <c:pt idx="113">
                  <c:v>8.35334362113257</c:v>
                </c:pt>
                <c:pt idx="114">
                  <c:v>8.5035567550104147</c:v>
                </c:pt>
                <c:pt idx="115">
                  <c:v>8.6549648092815996</c:v>
                </c:pt>
                <c:pt idx="116">
                  <c:v>8.8075619052591616</c:v>
                </c:pt>
                <c:pt idx="117">
                  <c:v>8.9613421327107847</c:v>
                </c:pt>
                <c:pt idx="118">
                  <c:v>9.1162995507240776</c:v>
                </c:pt>
                <c:pt idx="119">
                  <c:v>9.2724281885615145</c:v>
                </c:pt>
                <c:pt idx="120">
                  <c:v>9.429722046505173</c:v>
                </c:pt>
                <c:pt idx="121">
                  <c:v>9.5881750966913994</c:v>
                </c:pt>
                <c:pt idx="122">
                  <c:v>9.747781283935506</c:v>
                </c:pt>
                <c:pt idx="123">
                  <c:v>9.9085345265466387</c:v>
                </c:pt>
                <c:pt idx="124">
                  <c:v>10.070428717132888</c:v>
                </c:pt>
                <c:pt idx="125">
                  <c:v>10.233457723396777</c:v>
                </c:pt>
                <c:pt idx="126">
                  <c:v>10.397615388921205</c:v>
                </c:pt>
                <c:pt idx="127">
                  <c:v>10.562895533945937</c:v>
                </c:pt>
                <c:pt idx="128">
                  <c:v>10.729291956134743</c:v>
                </c:pt>
                <c:pt idx="129">
                  <c:v>10.89679843133324</c:v>
                </c:pt>
                <c:pt idx="130">
                  <c:v>11.065408714317552</c:v>
                </c:pt>
                <c:pt idx="131">
                  <c:v>11.235116539533841</c:v>
                </c:pt>
                <c:pt idx="132">
                  <c:v>11.405915621828779</c:v>
                </c:pt>
                <c:pt idx="133">
                  <c:v>11.577799657171045</c:v>
                </c:pt>
                <c:pt idx="134">
                  <c:v>11.750762323363912</c:v>
                </c:pt>
                <c:pt idx="135">
                  <c:v>11.924797280748969</c:v>
                </c:pt>
                <c:pt idx="136">
                  <c:v>12.099898172901067</c:v>
                </c:pt>
                <c:pt idx="137">
                  <c:v>12.276058627314532</c:v>
                </c:pt>
                <c:pt idx="138">
                  <c:v>12.453272256080698</c:v>
                </c:pt>
                <c:pt idx="139">
                  <c:v>12.631532656556836</c:v>
                </c:pt>
                <c:pt idx="140">
                  <c:v>12.810833412026509</c:v>
                </c:pt>
                <c:pt idx="141">
                  <c:v>12.991168092351435</c:v>
                </c:pt>
                <c:pt idx="142">
                  <c:v>13.17253025461487</c:v>
                </c:pt>
                <c:pt idx="143">
                  <c:v>13.354913443756599</c:v>
                </c:pt>
                <c:pt idx="144">
                  <c:v>13.538311193199565</c:v>
                </c:pt>
                <c:pt idx="145">
                  <c:v>13.722717025468183</c:v>
                </c:pt>
                <c:pt idx="146">
                  <c:v>13.908124452798393</c:v>
                </c:pt>
                <c:pt idx="147">
                  <c:v>14.094526977739497</c:v>
                </c:pt>
                <c:pt idx="148">
                  <c:v>14.281918093747812</c:v>
                </c:pt>
                <c:pt idx="149">
                  <c:v>14.47029128577222</c:v>
                </c:pt>
                <c:pt idx="150">
                  <c:v>14.659640030831607</c:v>
                </c:pt>
                <c:pt idx="151">
                  <c:v>14.849957798584285</c:v>
                </c:pt>
                <c:pt idx="152">
                  <c:v>15.041238051889406</c:v>
                </c:pt>
                <c:pt idx="153">
                  <c:v>15.233474247360435</c:v>
                </c:pt>
                <c:pt idx="154">
                  <c:v>15.4266598359107</c:v>
                </c:pt>
                <c:pt idx="155">
                  <c:v>15.620788263291086</c:v>
                </c:pt>
                <c:pt idx="156">
                  <c:v>15.815852970619909</c:v>
                </c:pt>
                <c:pt idx="157">
                  <c:v>16.011847394905004</c:v>
                </c:pt>
                <c:pt idx="158">
                  <c:v>16.208769370039004</c:v>
                </c:pt>
                <c:pt idx="159">
                  <c:v>16.406622223276813</c:v>
                </c:pt>
                <c:pt idx="160">
                  <c:v>16.60541036780484</c:v>
                </c:pt>
                <c:pt idx="161">
                  <c:v>16.805138199486386</c:v>
                </c:pt>
                <c:pt idx="162">
                  <c:v>17.005810096697026</c:v>
                </c:pt>
                <c:pt idx="163">
                  <c:v>17.207430420161071</c:v>
                </c:pt>
                <c:pt idx="164">
                  <c:v>17.409997000692528</c:v>
                </c:pt>
                <c:pt idx="165">
                  <c:v>17.613491366487391</c:v>
                </c:pt>
                <c:pt idx="166">
                  <c:v>17.817885279376018</c:v>
                </c:pt>
                <c:pt idx="167">
                  <c:v>18.023143870461968</c:v>
                </c:pt>
                <c:pt idx="168">
                  <c:v>18.229198968158421</c:v>
                </c:pt>
                <c:pt idx="169">
                  <c:v>18.435955820107527</c:v>
                </c:pt>
                <c:pt idx="170">
                  <c:v>18.643319831234052</c:v>
                </c:pt>
                <c:pt idx="171">
                  <c:v>18.851196573944996</c:v>
                </c:pt>
                <c:pt idx="172">
                  <c:v>19.059491797475449</c:v>
                </c:pt>
                <c:pt idx="173">
                  <c:v>19.268111436390097</c:v>
                </c:pt>
                <c:pt idx="174">
                  <c:v>19.476961618249536</c:v>
                </c:pt>
                <c:pt idx="175">
                  <c:v>19.685948670450411</c:v>
                </c:pt>
                <c:pt idx="176">
                  <c:v>19.894979126248135</c:v>
                </c:pt>
                <c:pt idx="177">
                  <c:v>20.103959729970697</c:v>
                </c:pt>
                <c:pt idx="178">
                  <c:v>20.312797441431798</c:v>
                </c:pt>
                <c:pt idx="179">
                  <c:v>20.521399439551193</c:v>
                </c:pt>
                <c:pt idx="180">
                  <c:v>20.729697769403767</c:v>
                </c:pt>
                <c:pt idx="181">
                  <c:v>20.937649281294213</c:v>
                </c:pt>
                <c:pt idx="182">
                  <c:v>21.145210923918821</c:v>
                </c:pt>
                <c:pt idx="183">
                  <c:v>21.352339743332013</c:v>
                </c:pt>
                <c:pt idx="184">
                  <c:v>21.559008773139247</c:v>
                </c:pt>
                <c:pt idx="185">
                  <c:v>21.765213810894931</c:v>
                </c:pt>
                <c:pt idx="186">
                  <c:v>21.970957468768678</c:v>
                </c:pt>
                <c:pt idx="187">
                  <c:v>22.176242338670335</c:v>
                </c:pt>
                <c:pt idx="188">
                  <c:v>22.381070992462714</c:v>
                </c:pt>
                <c:pt idx="189">
                  <c:v>22.58544598217156</c:v>
                </c:pt>
                <c:pt idx="190">
                  <c:v>22.789369840192755</c:v>
                </c:pt>
                <c:pt idx="191">
                  <c:v>22.992845079496856</c:v>
                </c:pt>
                <c:pt idx="192">
                  <c:v>23.195874193830964</c:v>
                </c:pt>
                <c:pt idx="193">
                  <c:v>23.398459657917975</c:v>
                </c:pt>
                <c:pt idx="194">
                  <c:v>23.600603927653282</c:v>
                </c:pt>
                <c:pt idx="195">
                  <c:v>23.802309440298924</c:v>
                </c:pt>
                <c:pt idx="196">
                  <c:v>24.003578614675263</c:v>
                </c:pt>
                <c:pt idx="197">
                  <c:v>24.204413851350186</c:v>
                </c:pt>
                <c:pt idx="198">
                  <c:v>24.404817532825898</c:v>
                </c:pt>
                <c:pt idx="199">
                  <c:v>24.604792023723355</c:v>
                </c:pt>
                <c:pt idx="200">
                  <c:v>24.804339670964325</c:v>
                </c:pt>
                <c:pt idx="201">
                  <c:v>26.776520074860517</c:v>
                </c:pt>
                <c:pt idx="202">
                  <c:v>28.70750253090317</c:v>
                </c:pt>
                <c:pt idx="203">
                  <c:v>30.599479998642352</c:v>
                </c:pt>
                <c:pt idx="204">
                  <c:v>32.45448946705325</c:v>
                </c:pt>
                <c:pt idx="205">
                  <c:v>34.274426793668603</c:v>
                </c:pt>
                <c:pt idx="206">
                  <c:v>36.06105981795362</c:v>
                </c:pt>
                <c:pt idx="207">
                  <c:v>37.816039985374118</c:v>
                </c:pt>
                <c:pt idx="208">
                  <c:v>39.540912681499243</c:v>
                </c:pt>
                <c:pt idx="209">
                  <c:v>41.237126444896191</c:v>
                </c:pt>
                <c:pt idx="210">
                  <c:v>42.906041202249114</c:v>
                </c:pt>
                <c:pt idx="211">
                  <c:v>44.548935648068529</c:v>
                </c:pt>
                <c:pt idx="212">
                  <c:v>46.167013873759146</c:v>
                </c:pt>
                <c:pt idx="213">
                  <c:v>47.761411336051395</c:v>
                </c:pt>
                <c:pt idx="214">
                  <c:v>49.333200242369024</c:v>
                </c:pt>
                <c:pt idx="215">
                  <c:v>50.883394420194001</c:v>
                </c:pt>
                <c:pt idx="216">
                  <c:v>52.412953728570962</c:v>
                </c:pt>
                <c:pt idx="217">
                  <c:v>53.922788062297812</c:v>
                </c:pt>
                <c:pt idx="218">
                  <c:v>55.413760992858101</c:v>
                </c:pt>
                <c:pt idx="219">
                  <c:v>56.886693084584245</c:v>
                </c:pt>
                <c:pt idx="220">
                  <c:v>58.34236491975085</c:v>
                </c:pt>
                <c:pt idx="221">
                  <c:v>59.781519862161026</c:v>
                </c:pt>
                <c:pt idx="222">
                  <c:v>61.204866585204599</c:v>
                </c:pt>
                <c:pt idx="223">
                  <c:v>62.613081387249558</c:v>
                </c:pt>
                <c:pt idx="224">
                  <c:v>64.006810314506211</c:v>
                </c:pt>
                <c:pt idx="225">
                  <c:v>65.386671109116563</c:v>
                </c:pt>
                <c:pt idx="226">
                  <c:v>66.753254998118749</c:v>
                </c:pt>
                <c:pt idx="227">
                  <c:v>68.107128337073604</c:v>
                </c:pt>
                <c:pt idx="228">
                  <c:v>69.448834120480768</c:v>
                </c:pt>
                <c:pt idx="229">
                  <c:v>70.778893369621713</c:v>
                </c:pt>
                <c:pt idx="230">
                  <c:v>72.097806407118071</c:v>
                </c:pt>
                <c:pt idx="231">
                  <c:v>73.406054026259966</c:v>
                </c:pt>
                <c:pt idx="232">
                  <c:v>74.704098562017478</c:v>
                </c:pt>
                <c:pt idx="233">
                  <c:v>75.992384869576583</c:v>
                </c:pt>
                <c:pt idx="234">
                  <c:v>77.271341215219408</c:v>
                </c:pt>
                <c:pt idx="235">
                  <c:v>78.541380083377192</c:v>
                </c:pt>
                <c:pt idx="236">
                  <c:v>79.80289890270403</c:v>
                </c:pt>
                <c:pt idx="237">
                  <c:v>81.056280693031397</c:v>
                </c:pt>
                <c:pt idx="238">
                  <c:v>82.301894634049049</c:v>
                </c:pt>
                <c:pt idx="239">
                  <c:v>83.540096555499503</c:v>
                </c:pt>
                <c:pt idx="240">
                  <c:v>84.771229347554325</c:v>
                </c:pt>
                <c:pt idx="241">
                  <c:v>85.995623288849174</c:v>
                </c:pt>
                <c:pt idx="242">
                  <c:v>87.213596288383485</c:v>
                </c:pt>
                <c:pt idx="243">
                  <c:v>88.425454036147997</c:v>
                </c:pt>
                <c:pt idx="244">
                  <c:v>89.631490055953591</c:v>
                </c:pt>
                <c:pt idx="245">
                  <c:v>90.831985652558672</c:v>
                </c:pt>
                <c:pt idx="246">
                  <c:v>92.027209743940574</c:v>
                </c:pt>
                <c:pt idx="247">
                  <c:v>93.217418568617362</c:v>
                </c:pt>
                <c:pt idx="248">
                  <c:v>94.402855257597821</c:v>
                </c:pt>
                <c:pt idx="249">
                  <c:v>95.583749261264671</c:v>
                </c:pt>
                <c:pt idx="250">
                  <c:v>96.760315623901803</c:v>
                </c:pt>
                <c:pt idx="251">
                  <c:v>97.932754103464418</c:v>
                </c:pt>
                <c:pt idx="252">
                  <c:v>99.101248142485204</c:v>
                </c:pt>
                <c:pt idx="253">
                  <c:v>100.26596370856331</c:v>
                </c:pt>
                <c:pt idx="254">
                  <c:v>101.42704804010771</c:v>
                </c:pt>
                <c:pt idx="255">
                  <c:v>102.58462835429003</c:v>
                </c:pt>
                <c:pt idx="256">
                  <c:v>103.7388105971925</c:v>
                </c:pt>
                <c:pt idx="257">
                  <c:v>104.88967833646588</c:v>
                </c:pt>
                <c:pt idx="258">
                  <c:v>106.03729190819698</c:v>
                </c:pt>
                <c:pt idx="259">
                  <c:v>107.18168792570603</c:v>
                </c:pt>
                <c:pt idx="260">
                  <c:v>108.32287923480831</c:v>
                </c:pt>
                <c:pt idx="261">
                  <c:v>109.46085535914546</c:v>
                </c:pt>
                <c:pt idx="262">
                  <c:v>110.59558342813838</c:v>
                </c:pt>
                <c:pt idx="263">
                  <c:v>111.72700953050439</c:v>
                </c:pt>
                <c:pt idx="264">
                  <c:v>112.85506039918789</c:v>
                </c:pt>
                <c:pt idx="265">
                  <c:v>113.97964531536839</c:v>
                </c:pt>
                <c:pt idx="266">
                  <c:v>115.10065812003444</c:v>
                </c:pt>
                <c:pt idx="267">
                  <c:v>116.21797923665061</c:v>
                </c:pt>
                <c:pt idx="268">
                  <c:v>117.33147763092768</c:v>
                </c:pt>
                <c:pt idx="269">
                  <c:v>118.44101265754189</c:v>
                </c:pt>
                <c:pt idx="270">
                  <c:v>119.54643576478527</c:v>
                </c:pt>
                <c:pt idx="271">
                  <c:v>120.64759204468143</c:v>
                </c:pt>
                <c:pt idx="272">
                  <c:v>121.74432162779367</c:v>
                </c:pt>
                <c:pt idx="273">
                  <c:v>122.83646092941038</c:v>
                </c:pt>
                <c:pt idx="274">
                  <c:v>123.92384375798002</c:v>
                </c:pt>
                <c:pt idx="275">
                  <c:v>125.00630229854707</c:v>
                </c:pt>
                <c:pt idx="276">
                  <c:v>126.08366798431443</c:v>
                </c:pt>
                <c:pt idx="277">
                  <c:v>127.15577226893032</c:v>
                </c:pt>
                <c:pt idx="278">
                  <c:v>128.22244731108768</c:v>
                </c:pt>
                <c:pt idx="279">
                  <c:v>129.28352658180739</c:v>
                </c:pt>
                <c:pt idx="280">
                  <c:v>130.33884540352054</c:v>
                </c:pt>
                <c:pt idx="281">
                  <c:v>131.38824142886537</c:v>
                </c:pt>
                <c:pt idx="282">
                  <c:v>132.43155506602241</c:v>
                </c:pt>
                <c:pt idx="283">
                  <c:v>133.46862985644279</c:v>
                </c:pt>
                <c:pt idx="284">
                  <c:v>134.49931280998663</c:v>
                </c:pt>
                <c:pt idx="285">
                  <c:v>135.52345470176974</c:v>
                </c:pt>
                <c:pt idx="286">
                  <c:v>136.54091033440909</c:v>
                </c:pt>
                <c:pt idx="287">
                  <c:v>137.55153876884617</c:v>
                </c:pt>
                <c:pt idx="288">
                  <c:v>138.55520352649859</c:v>
                </c:pt>
                <c:pt idx="289">
                  <c:v>139.55177276513393</c:v>
                </c:pt>
                <c:pt idx="290">
                  <c:v>140.54111943056174</c:v>
                </c:pt>
                <c:pt idx="291">
                  <c:v>141.52312138599305</c:v>
                </c:pt>
                <c:pt idx="292">
                  <c:v>142.49766152071109</c:v>
                </c:pt>
                <c:pt idx="293">
                  <c:v>143.464627839526</c:v>
                </c:pt>
                <c:pt idx="294">
                  <c:v>144.42391353434422</c:v>
                </c:pt>
                <c:pt idx="295">
                  <c:v>145.3754170390647</c:v>
                </c:pt>
                <c:pt idx="296">
                  <c:v>146.31904206891397</c:v>
                </c:pt>
                <c:pt idx="297">
                  <c:v>147.25469764524959</c:v>
                </c:pt>
                <c:pt idx="298">
                  <c:v>148.18229810678966</c:v>
                </c:pt>
                <c:pt idx="299">
                  <c:v>149.10176310816644</c:v>
                </c:pt>
                <c:pt idx="300">
                  <c:v>150.01301760665015</c:v>
                </c:pt>
                <c:pt idx="301">
                  <c:v>150.91599183784427</c:v>
                </c:pt>
                <c:pt idx="302">
                  <c:v>151.81062128111338</c:v>
                </c:pt>
                <c:pt idx="303">
                  <c:v>152.69684661547072</c:v>
                </c:pt>
                <c:pt idx="304">
                  <c:v>153.57461366661974</c:v>
                </c:pt>
                <c:pt idx="305">
                  <c:v>154.44387334581586</c:v>
                </c:pt>
                <c:pt idx="306">
                  <c:v>155.30458158118719</c:v>
                </c:pt>
                <c:pt idx="307">
                  <c:v>156.15669924212838</c:v>
                </c:pt>
                <c:pt idx="308">
                  <c:v>157.00019205735737</c:v>
                </c:pt>
                <c:pt idx="309">
                  <c:v>157.83503052720221</c:v>
                </c:pt>
                <c:pt idx="310">
                  <c:v>158.66118983066278</c:v>
                </c:pt>
                <c:pt idx="311">
                  <c:v>159.4786497277706</c:v>
                </c:pt>
                <c:pt idx="312">
                  <c:v>160.2873944577486</c:v>
                </c:pt>
                <c:pt idx="313">
                  <c:v>161.08741263345215</c:v>
                </c:pt>
                <c:pt idx="314">
                  <c:v>161.87869713255137</c:v>
                </c:pt>
                <c:pt idx="315">
                  <c:v>162.66124498589517</c:v>
                </c:pt>
                <c:pt idx="316">
                  <c:v>163.43505726347632</c:v>
                </c:pt>
                <c:pt idx="317">
                  <c:v>164.20013895839756</c:v>
                </c:pt>
                <c:pt idx="318">
                  <c:v>164.95649886921836</c:v>
                </c:pt>
                <c:pt idx="319">
                  <c:v>165.70414948104272</c:v>
                </c:pt>
                <c:pt idx="320">
                  <c:v>166.44310684568873</c:v>
                </c:pt>
                <c:pt idx="321">
                  <c:v>167.17339046126179</c:v>
                </c:pt>
                <c:pt idx="322">
                  <c:v>167.89502315143412</c:v>
                </c:pt>
                <c:pt idx="323">
                  <c:v>168.60803094471507</c:v>
                </c:pt>
                <c:pt idx="324">
                  <c:v>169.3124429539786</c:v>
                </c:pt>
                <c:pt idx="325">
                  <c:v>170.00829125649628</c:v>
                </c:pt>
                <c:pt idx="326">
                  <c:v>170.69561077470709</c:v>
                </c:pt>
                <c:pt idx="327">
                  <c:v>171.37443915793844</c:v>
                </c:pt>
                <c:pt idx="328">
                  <c:v>172.04481666527622</c:v>
                </c:pt>
                <c:pt idx="329">
                  <c:v>172.70678604976618</c:v>
                </c:pt>
                <c:pt idx="330">
                  <c:v>173.36039244411319</c:v>
                </c:pt>
                <c:pt idx="331">
                  <c:v>174.00568324803046</c:v>
                </c:pt>
                <c:pt idx="332">
                  <c:v>174.64270801737644</c:v>
                </c:pt>
                <c:pt idx="333">
                  <c:v>175.27151835520317</c:v>
                </c:pt>
                <c:pt idx="334">
                  <c:v>175.89216780482744</c:v>
                </c:pt>
                <c:pt idx="335">
                  <c:v>176.50471174502263</c:v>
                </c:pt>
                <c:pt idx="336">
                  <c:v>177.10920728741817</c:v>
                </c:pt>
                <c:pt idx="337">
                  <c:v>177.70571317618146</c:v>
                </c:pt>
                <c:pt idx="338">
                  <c:v>178.29428969004672</c:v>
                </c:pt>
                <c:pt idx="339">
                  <c:v>178.87499854674505</c:v>
                </c:pt>
                <c:pt idx="340">
                  <c:v>179.44790280988005</c:v>
                </c:pt>
                <c:pt idx="341">
                  <c:v>180.01306679828494</c:v>
                </c:pt>
                <c:pt idx="342">
                  <c:v>180.57055599788782</c:v>
                </c:pt>
                <c:pt idx="343">
                  <c:v>181.1204369761046</c:v>
                </c:pt>
                <c:pt idx="344">
                  <c:v>181.66277729877103</c:v>
                </c:pt>
                <c:pt idx="345">
                  <c:v>182.19764544961885</c:v>
                </c:pt>
                <c:pt idx="346">
                  <c:v>182.72511075229431</c:v>
                </c:pt>
                <c:pt idx="347">
                  <c:v>183.24524329491177</c:v>
                </c:pt>
                <c:pt idx="348">
                  <c:v>183.7581138571293</c:v>
                </c:pt>
                <c:pt idx="349">
                  <c:v>184.26379383972827</c:v>
                </c:pt>
                <c:pt idx="350">
                  <c:v>184.26379383972827</c:v>
                </c:pt>
                <c:pt idx="351">
                  <c:v>184.26379383972827</c:v>
                </c:pt>
                <c:pt idx="352">
                  <c:v>184.26379383972827</c:v>
                </c:pt>
                <c:pt idx="353">
                  <c:v>184.26379383972827</c:v>
                </c:pt>
                <c:pt idx="354">
                  <c:v>184.26379383972827</c:v>
                </c:pt>
                <c:pt idx="355">
                  <c:v>184.26379383972827</c:v>
                </c:pt>
                <c:pt idx="356">
                  <c:v>184.26379383972827</c:v>
                </c:pt>
                <c:pt idx="357">
                  <c:v>184.26379383972827</c:v>
                </c:pt>
                <c:pt idx="358">
                  <c:v>184.26379383972827</c:v>
                </c:pt>
                <c:pt idx="359">
                  <c:v>184.26379383972827</c:v>
                </c:pt>
                <c:pt idx="360">
                  <c:v>184.26379383972827</c:v>
                </c:pt>
                <c:pt idx="361">
                  <c:v>184.26379383972827</c:v>
                </c:pt>
                <c:pt idx="362">
                  <c:v>184.26379383972827</c:v>
                </c:pt>
                <c:pt idx="363">
                  <c:v>184.26379383972827</c:v>
                </c:pt>
                <c:pt idx="364">
                  <c:v>184.26379383972827</c:v>
                </c:pt>
                <c:pt idx="365">
                  <c:v>184.26379383972827</c:v>
                </c:pt>
                <c:pt idx="366">
                  <c:v>184.26379383972827</c:v>
                </c:pt>
                <c:pt idx="367">
                  <c:v>184.26379383972827</c:v>
                </c:pt>
                <c:pt idx="368">
                  <c:v>184.26379383972827</c:v>
                </c:pt>
                <c:pt idx="369">
                  <c:v>184.26379383972827</c:v>
                </c:pt>
                <c:pt idx="370">
                  <c:v>184.26379383972827</c:v>
                </c:pt>
                <c:pt idx="371">
                  <c:v>184.26379383972827</c:v>
                </c:pt>
                <c:pt idx="372">
                  <c:v>184.26379383972827</c:v>
                </c:pt>
                <c:pt idx="373">
                  <c:v>184.26379383972827</c:v>
                </c:pt>
                <c:pt idx="374">
                  <c:v>184.26379383972827</c:v>
                </c:pt>
                <c:pt idx="375">
                  <c:v>184.26379383972827</c:v>
                </c:pt>
                <c:pt idx="376">
                  <c:v>184.26379383972827</c:v>
                </c:pt>
                <c:pt idx="377">
                  <c:v>184.26379383972827</c:v>
                </c:pt>
                <c:pt idx="378">
                  <c:v>184.26379383972827</c:v>
                </c:pt>
                <c:pt idx="379">
                  <c:v>184.26379383972827</c:v>
                </c:pt>
                <c:pt idx="380">
                  <c:v>184.26379383972827</c:v>
                </c:pt>
                <c:pt idx="381">
                  <c:v>184.26379383972827</c:v>
                </c:pt>
                <c:pt idx="382">
                  <c:v>184.26379383972827</c:v>
                </c:pt>
                <c:pt idx="383">
                  <c:v>184.26379383972827</c:v>
                </c:pt>
                <c:pt idx="384">
                  <c:v>184.26379383972827</c:v>
                </c:pt>
                <c:pt idx="385">
                  <c:v>184.26379383972827</c:v>
                </c:pt>
                <c:pt idx="386">
                  <c:v>184.26379383972827</c:v>
                </c:pt>
                <c:pt idx="387">
                  <c:v>184.26379383972827</c:v>
                </c:pt>
                <c:pt idx="388">
                  <c:v>184.26379383972827</c:v>
                </c:pt>
                <c:pt idx="389">
                  <c:v>184.26379383972827</c:v>
                </c:pt>
                <c:pt idx="390">
                  <c:v>184.26379383972827</c:v>
                </c:pt>
                <c:pt idx="391">
                  <c:v>184.26379383972827</c:v>
                </c:pt>
                <c:pt idx="392">
                  <c:v>184.26379383972827</c:v>
                </c:pt>
                <c:pt idx="393">
                  <c:v>184.26379383972827</c:v>
                </c:pt>
                <c:pt idx="394">
                  <c:v>184.26379383972827</c:v>
                </c:pt>
                <c:pt idx="395">
                  <c:v>184.26379383972827</c:v>
                </c:pt>
                <c:pt idx="396">
                  <c:v>184.26379383972827</c:v>
                </c:pt>
                <c:pt idx="397">
                  <c:v>184.26379383972827</c:v>
                </c:pt>
                <c:pt idx="398">
                  <c:v>184.26379383972827</c:v>
                </c:pt>
                <c:pt idx="399">
                  <c:v>184.26379383972827</c:v>
                </c:pt>
                <c:pt idx="400">
                  <c:v>184.26379383972827</c:v>
                </c:pt>
                <c:pt idx="401">
                  <c:v>184.26379383972827</c:v>
                </c:pt>
                <c:pt idx="402">
                  <c:v>184.26379383972827</c:v>
                </c:pt>
                <c:pt idx="403">
                  <c:v>184.26379383972827</c:v>
                </c:pt>
                <c:pt idx="404">
                  <c:v>184.26379383972827</c:v>
                </c:pt>
                <c:pt idx="405">
                  <c:v>184.26379383972827</c:v>
                </c:pt>
                <c:pt idx="406">
                  <c:v>184.26379383972827</c:v>
                </c:pt>
                <c:pt idx="407">
                  <c:v>184.26379383972827</c:v>
                </c:pt>
                <c:pt idx="408">
                  <c:v>184.26379383972827</c:v>
                </c:pt>
                <c:pt idx="409">
                  <c:v>184.26379383972827</c:v>
                </c:pt>
                <c:pt idx="410">
                  <c:v>184.26379383972827</c:v>
                </c:pt>
                <c:pt idx="411">
                  <c:v>184.26379383972827</c:v>
                </c:pt>
                <c:pt idx="412">
                  <c:v>184.26379383972827</c:v>
                </c:pt>
                <c:pt idx="413">
                  <c:v>184.26379383972827</c:v>
                </c:pt>
                <c:pt idx="414">
                  <c:v>184.26379383972827</c:v>
                </c:pt>
                <c:pt idx="415">
                  <c:v>184.26379383972827</c:v>
                </c:pt>
                <c:pt idx="416">
                  <c:v>184.26379383972827</c:v>
                </c:pt>
                <c:pt idx="417">
                  <c:v>184.26379383972827</c:v>
                </c:pt>
                <c:pt idx="418">
                  <c:v>184.26379383972827</c:v>
                </c:pt>
                <c:pt idx="419">
                  <c:v>184.26379383972827</c:v>
                </c:pt>
                <c:pt idx="420">
                  <c:v>184.26379383972827</c:v>
                </c:pt>
                <c:pt idx="421">
                  <c:v>184.26379383972827</c:v>
                </c:pt>
                <c:pt idx="422">
                  <c:v>184.26379383972827</c:v>
                </c:pt>
                <c:pt idx="423">
                  <c:v>184.26379383972827</c:v>
                </c:pt>
                <c:pt idx="424">
                  <c:v>184.26379383972827</c:v>
                </c:pt>
                <c:pt idx="425">
                  <c:v>184.26379383972827</c:v>
                </c:pt>
                <c:pt idx="426">
                  <c:v>184.26379383972827</c:v>
                </c:pt>
                <c:pt idx="427">
                  <c:v>184.26379383972827</c:v>
                </c:pt>
                <c:pt idx="428">
                  <c:v>184.26379383972827</c:v>
                </c:pt>
                <c:pt idx="429">
                  <c:v>184.26379383972827</c:v>
                </c:pt>
                <c:pt idx="430">
                  <c:v>184.26379383972827</c:v>
                </c:pt>
                <c:pt idx="431">
                  <c:v>184.26379383972827</c:v>
                </c:pt>
                <c:pt idx="432">
                  <c:v>184.26379383972827</c:v>
                </c:pt>
                <c:pt idx="433">
                  <c:v>184.26379383972827</c:v>
                </c:pt>
                <c:pt idx="434">
                  <c:v>184.26379383972827</c:v>
                </c:pt>
                <c:pt idx="435">
                  <c:v>184.26379383972827</c:v>
                </c:pt>
                <c:pt idx="436">
                  <c:v>184.26379383972827</c:v>
                </c:pt>
                <c:pt idx="437">
                  <c:v>184.26379383972827</c:v>
                </c:pt>
                <c:pt idx="438">
                  <c:v>184.26379383972827</c:v>
                </c:pt>
                <c:pt idx="439">
                  <c:v>184.26379383972827</c:v>
                </c:pt>
                <c:pt idx="440">
                  <c:v>184.26379383972827</c:v>
                </c:pt>
                <c:pt idx="441">
                  <c:v>184.26379383972827</c:v>
                </c:pt>
                <c:pt idx="442">
                  <c:v>184.26379383972827</c:v>
                </c:pt>
                <c:pt idx="443">
                  <c:v>184.26379383972827</c:v>
                </c:pt>
                <c:pt idx="444">
                  <c:v>184.26379383972827</c:v>
                </c:pt>
                <c:pt idx="445">
                  <c:v>184.26379383972827</c:v>
                </c:pt>
                <c:pt idx="446">
                  <c:v>184.26379383972827</c:v>
                </c:pt>
                <c:pt idx="447">
                  <c:v>184.26379383972827</c:v>
                </c:pt>
                <c:pt idx="448">
                  <c:v>184.26379383972827</c:v>
                </c:pt>
                <c:pt idx="449">
                  <c:v>184.26379383972827</c:v>
                </c:pt>
                <c:pt idx="450">
                  <c:v>184.26379383972827</c:v>
                </c:pt>
                <c:pt idx="451">
                  <c:v>184.26379383972827</c:v>
                </c:pt>
                <c:pt idx="452">
                  <c:v>184.26379383972827</c:v>
                </c:pt>
                <c:pt idx="453">
                  <c:v>184.26379383972827</c:v>
                </c:pt>
                <c:pt idx="454">
                  <c:v>184.26379383972827</c:v>
                </c:pt>
                <c:pt idx="455">
                  <c:v>184.26379383972827</c:v>
                </c:pt>
                <c:pt idx="456">
                  <c:v>184.26379383972827</c:v>
                </c:pt>
                <c:pt idx="457">
                  <c:v>184.26379383972827</c:v>
                </c:pt>
                <c:pt idx="458">
                  <c:v>184.26379383972827</c:v>
                </c:pt>
                <c:pt idx="459">
                  <c:v>184.26379383972827</c:v>
                </c:pt>
                <c:pt idx="460">
                  <c:v>184.26379383972827</c:v>
                </c:pt>
                <c:pt idx="461">
                  <c:v>184.26379383972827</c:v>
                </c:pt>
                <c:pt idx="462">
                  <c:v>184.26379383972827</c:v>
                </c:pt>
                <c:pt idx="463">
                  <c:v>184.26379383972827</c:v>
                </c:pt>
                <c:pt idx="464">
                  <c:v>184.26379383972827</c:v>
                </c:pt>
                <c:pt idx="465">
                  <c:v>184.26379383972827</c:v>
                </c:pt>
                <c:pt idx="466">
                  <c:v>184.26379383972827</c:v>
                </c:pt>
                <c:pt idx="467">
                  <c:v>184.26379383972827</c:v>
                </c:pt>
                <c:pt idx="468">
                  <c:v>184.26379383972827</c:v>
                </c:pt>
                <c:pt idx="469">
                  <c:v>184.26379383972827</c:v>
                </c:pt>
                <c:pt idx="470">
                  <c:v>184.26379383972827</c:v>
                </c:pt>
                <c:pt idx="471">
                  <c:v>184.26379383972827</c:v>
                </c:pt>
                <c:pt idx="472">
                  <c:v>184.26379383972827</c:v>
                </c:pt>
                <c:pt idx="473">
                  <c:v>184.26379383972827</c:v>
                </c:pt>
                <c:pt idx="474">
                  <c:v>184.26379383972827</c:v>
                </c:pt>
                <c:pt idx="475">
                  <c:v>184.26379383972827</c:v>
                </c:pt>
                <c:pt idx="476">
                  <c:v>184.26379383972827</c:v>
                </c:pt>
                <c:pt idx="477">
                  <c:v>184.26379383972827</c:v>
                </c:pt>
                <c:pt idx="478">
                  <c:v>184.26379383972827</c:v>
                </c:pt>
                <c:pt idx="479">
                  <c:v>184.26379383972827</c:v>
                </c:pt>
                <c:pt idx="480">
                  <c:v>184.26379383972827</c:v>
                </c:pt>
                <c:pt idx="481">
                  <c:v>184.26379383972827</c:v>
                </c:pt>
                <c:pt idx="482">
                  <c:v>184.26379383972827</c:v>
                </c:pt>
                <c:pt idx="483">
                  <c:v>184.26379383972827</c:v>
                </c:pt>
                <c:pt idx="484">
                  <c:v>184.26379383972827</c:v>
                </c:pt>
                <c:pt idx="485">
                  <c:v>184.26379383972827</c:v>
                </c:pt>
                <c:pt idx="486">
                  <c:v>184.26379383972827</c:v>
                </c:pt>
                <c:pt idx="487">
                  <c:v>184.26379383972827</c:v>
                </c:pt>
                <c:pt idx="488">
                  <c:v>184.26379383972827</c:v>
                </c:pt>
                <c:pt idx="489">
                  <c:v>184.26379383972827</c:v>
                </c:pt>
                <c:pt idx="490">
                  <c:v>184.26379383972827</c:v>
                </c:pt>
                <c:pt idx="491">
                  <c:v>184.26379383972827</c:v>
                </c:pt>
                <c:pt idx="492">
                  <c:v>184.26379383972827</c:v>
                </c:pt>
                <c:pt idx="493">
                  <c:v>184.26379383972827</c:v>
                </c:pt>
                <c:pt idx="494">
                  <c:v>184.26379383972827</c:v>
                </c:pt>
                <c:pt idx="495">
                  <c:v>184.26379383972827</c:v>
                </c:pt>
                <c:pt idx="496">
                  <c:v>184.26379383972827</c:v>
                </c:pt>
                <c:pt idx="497">
                  <c:v>184.26379383972827</c:v>
                </c:pt>
                <c:pt idx="498">
                  <c:v>184.26379383972827</c:v>
                </c:pt>
                <c:pt idx="499">
                  <c:v>184.26379383972827</c:v>
                </c:pt>
                <c:pt idx="500">
                  <c:v>184.26379383972827</c:v>
                </c:pt>
                <c:pt idx="501">
                  <c:v>184.26379383972827</c:v>
                </c:pt>
                <c:pt idx="502">
                  <c:v>184.26379383972827</c:v>
                </c:pt>
                <c:pt idx="503">
                  <c:v>184.26379383972827</c:v>
                </c:pt>
                <c:pt idx="504">
                  <c:v>184.26379383972827</c:v>
                </c:pt>
                <c:pt idx="505">
                  <c:v>184.26379383972827</c:v>
                </c:pt>
                <c:pt idx="506">
                  <c:v>184.26379383972827</c:v>
                </c:pt>
                <c:pt idx="507">
                  <c:v>184.26379383972827</c:v>
                </c:pt>
                <c:pt idx="508">
                  <c:v>184.26379383972827</c:v>
                </c:pt>
                <c:pt idx="509">
                  <c:v>184.26379383972827</c:v>
                </c:pt>
                <c:pt idx="510">
                  <c:v>184.26379383972827</c:v>
                </c:pt>
                <c:pt idx="511">
                  <c:v>184.26379383972827</c:v>
                </c:pt>
                <c:pt idx="512">
                  <c:v>184.26379383972827</c:v>
                </c:pt>
                <c:pt idx="513">
                  <c:v>184.26379383972827</c:v>
                </c:pt>
                <c:pt idx="514">
                  <c:v>184.26379383972827</c:v>
                </c:pt>
                <c:pt idx="515">
                  <c:v>184.26379383972827</c:v>
                </c:pt>
                <c:pt idx="516">
                  <c:v>184.26379383972827</c:v>
                </c:pt>
                <c:pt idx="517">
                  <c:v>184.26379383972827</c:v>
                </c:pt>
                <c:pt idx="518">
                  <c:v>184.26379383972827</c:v>
                </c:pt>
                <c:pt idx="519">
                  <c:v>184.26379383972827</c:v>
                </c:pt>
                <c:pt idx="520">
                  <c:v>184.26379383972827</c:v>
                </c:pt>
                <c:pt idx="521">
                  <c:v>184.26379383972827</c:v>
                </c:pt>
                <c:pt idx="522">
                  <c:v>184.26379383972827</c:v>
                </c:pt>
                <c:pt idx="523">
                  <c:v>184.26379383972827</c:v>
                </c:pt>
                <c:pt idx="524">
                  <c:v>184.26379383972827</c:v>
                </c:pt>
                <c:pt idx="525">
                  <c:v>184.26379383972827</c:v>
                </c:pt>
                <c:pt idx="526">
                  <c:v>184.26379383972827</c:v>
                </c:pt>
                <c:pt idx="527">
                  <c:v>184.26379383972827</c:v>
                </c:pt>
                <c:pt idx="528">
                  <c:v>184.26379383972827</c:v>
                </c:pt>
                <c:pt idx="529">
                  <c:v>184.26379383972827</c:v>
                </c:pt>
                <c:pt idx="530">
                  <c:v>184.26379383972827</c:v>
                </c:pt>
                <c:pt idx="531">
                  <c:v>184.26379383972827</c:v>
                </c:pt>
                <c:pt idx="532">
                  <c:v>184.26379383972827</c:v>
                </c:pt>
                <c:pt idx="533">
                  <c:v>184.26379383972827</c:v>
                </c:pt>
                <c:pt idx="534">
                  <c:v>184.26379383972827</c:v>
                </c:pt>
                <c:pt idx="535">
                  <c:v>184.26379383972827</c:v>
                </c:pt>
                <c:pt idx="536">
                  <c:v>184.26379383972827</c:v>
                </c:pt>
                <c:pt idx="537">
                  <c:v>184.26379383972827</c:v>
                </c:pt>
                <c:pt idx="538">
                  <c:v>184.26379383972827</c:v>
                </c:pt>
                <c:pt idx="539">
                  <c:v>184.26379383972827</c:v>
                </c:pt>
                <c:pt idx="540">
                  <c:v>184.26379383972827</c:v>
                </c:pt>
                <c:pt idx="541">
                  <c:v>184.26379383972827</c:v>
                </c:pt>
                <c:pt idx="542">
                  <c:v>184.26379383972827</c:v>
                </c:pt>
                <c:pt idx="543">
                  <c:v>184.26379383972827</c:v>
                </c:pt>
                <c:pt idx="544">
                  <c:v>184.26379383972827</c:v>
                </c:pt>
                <c:pt idx="545">
                  <c:v>184.26379383972827</c:v>
                </c:pt>
                <c:pt idx="546">
                  <c:v>184.26379383972827</c:v>
                </c:pt>
                <c:pt idx="547">
                  <c:v>184.26379383972827</c:v>
                </c:pt>
                <c:pt idx="548">
                  <c:v>184.26379383972827</c:v>
                </c:pt>
                <c:pt idx="549">
                  <c:v>184.26379383972827</c:v>
                </c:pt>
                <c:pt idx="550">
                  <c:v>184.26379383972827</c:v>
                </c:pt>
                <c:pt idx="551">
                  <c:v>184.26379383972827</c:v>
                </c:pt>
                <c:pt idx="552">
                  <c:v>184.26379383972827</c:v>
                </c:pt>
                <c:pt idx="553">
                  <c:v>184.26379383972827</c:v>
                </c:pt>
                <c:pt idx="554">
                  <c:v>184.26379383972827</c:v>
                </c:pt>
                <c:pt idx="555">
                  <c:v>184.26379383972827</c:v>
                </c:pt>
                <c:pt idx="556">
                  <c:v>184.26379383972827</c:v>
                </c:pt>
                <c:pt idx="557">
                  <c:v>184.26379383972827</c:v>
                </c:pt>
                <c:pt idx="558">
                  <c:v>184.26379383972827</c:v>
                </c:pt>
                <c:pt idx="559">
                  <c:v>184.26379383972827</c:v>
                </c:pt>
                <c:pt idx="560">
                  <c:v>184.26379383972827</c:v>
                </c:pt>
                <c:pt idx="561">
                  <c:v>184.26379383972827</c:v>
                </c:pt>
                <c:pt idx="562">
                  <c:v>184.26379383972827</c:v>
                </c:pt>
                <c:pt idx="563">
                  <c:v>184.26379383972827</c:v>
                </c:pt>
                <c:pt idx="564">
                  <c:v>184.26379383972827</c:v>
                </c:pt>
                <c:pt idx="565">
                  <c:v>184.26379383972827</c:v>
                </c:pt>
                <c:pt idx="566">
                  <c:v>184.26379383972827</c:v>
                </c:pt>
                <c:pt idx="567">
                  <c:v>184.26379383972827</c:v>
                </c:pt>
                <c:pt idx="568">
                  <c:v>184.26379383972827</c:v>
                </c:pt>
                <c:pt idx="569">
                  <c:v>184.26379383972827</c:v>
                </c:pt>
                <c:pt idx="570">
                  <c:v>184.26379383972827</c:v>
                </c:pt>
                <c:pt idx="571">
                  <c:v>184.26379383972827</c:v>
                </c:pt>
                <c:pt idx="572">
                  <c:v>184.26379383972827</c:v>
                </c:pt>
                <c:pt idx="573">
                  <c:v>184.26379383972827</c:v>
                </c:pt>
                <c:pt idx="574">
                  <c:v>184.26379383972827</c:v>
                </c:pt>
                <c:pt idx="575">
                  <c:v>184.26379383972827</c:v>
                </c:pt>
                <c:pt idx="576">
                  <c:v>184.26379383972827</c:v>
                </c:pt>
                <c:pt idx="577">
                  <c:v>184.26379383972827</c:v>
                </c:pt>
                <c:pt idx="578">
                  <c:v>184.26379383972827</c:v>
                </c:pt>
                <c:pt idx="579">
                  <c:v>184.26379383972827</c:v>
                </c:pt>
                <c:pt idx="580">
                  <c:v>184.26379383972827</c:v>
                </c:pt>
                <c:pt idx="581">
                  <c:v>184.26379383972827</c:v>
                </c:pt>
                <c:pt idx="582">
                  <c:v>184.26379383972827</c:v>
                </c:pt>
                <c:pt idx="583">
                  <c:v>184.26379383972827</c:v>
                </c:pt>
                <c:pt idx="584">
                  <c:v>184.26379383972827</c:v>
                </c:pt>
                <c:pt idx="585">
                  <c:v>184.26379383972827</c:v>
                </c:pt>
                <c:pt idx="586">
                  <c:v>184.26379383972827</c:v>
                </c:pt>
                <c:pt idx="587">
                  <c:v>184.26379383972827</c:v>
                </c:pt>
                <c:pt idx="588">
                  <c:v>184.26379383972827</c:v>
                </c:pt>
                <c:pt idx="589">
                  <c:v>184.26379383972827</c:v>
                </c:pt>
                <c:pt idx="590">
                  <c:v>184.26379383972827</c:v>
                </c:pt>
                <c:pt idx="591">
                  <c:v>184.26379383972827</c:v>
                </c:pt>
                <c:pt idx="592">
                  <c:v>184.26379383972827</c:v>
                </c:pt>
                <c:pt idx="593">
                  <c:v>184.26379383972827</c:v>
                </c:pt>
                <c:pt idx="594">
                  <c:v>184.26379383972827</c:v>
                </c:pt>
                <c:pt idx="595">
                  <c:v>184.26379383972827</c:v>
                </c:pt>
                <c:pt idx="596">
                  <c:v>184.26379383972827</c:v>
                </c:pt>
                <c:pt idx="597">
                  <c:v>184.26379383972827</c:v>
                </c:pt>
                <c:pt idx="598">
                  <c:v>184.26379383972827</c:v>
                </c:pt>
                <c:pt idx="599">
                  <c:v>184.26379383972827</c:v>
                </c:pt>
                <c:pt idx="600">
                  <c:v>184.26379383972827</c:v>
                </c:pt>
                <c:pt idx="601">
                  <c:v>184.26379383972827</c:v>
                </c:pt>
                <c:pt idx="602">
                  <c:v>184.26379383972827</c:v>
                </c:pt>
                <c:pt idx="603">
                  <c:v>184.26379383972827</c:v>
                </c:pt>
                <c:pt idx="604">
                  <c:v>184.26379383972827</c:v>
                </c:pt>
                <c:pt idx="605">
                  <c:v>184.26379383972827</c:v>
                </c:pt>
                <c:pt idx="606">
                  <c:v>184.26379383972827</c:v>
                </c:pt>
                <c:pt idx="607">
                  <c:v>184.26379383972827</c:v>
                </c:pt>
                <c:pt idx="608">
                  <c:v>184.26379383972827</c:v>
                </c:pt>
                <c:pt idx="609">
                  <c:v>184.26379383972827</c:v>
                </c:pt>
                <c:pt idx="610">
                  <c:v>184.26379383972827</c:v>
                </c:pt>
                <c:pt idx="611">
                  <c:v>184.26379383972827</c:v>
                </c:pt>
                <c:pt idx="612">
                  <c:v>184.26379383972827</c:v>
                </c:pt>
                <c:pt idx="613">
                  <c:v>184.26379383972827</c:v>
                </c:pt>
                <c:pt idx="614">
                  <c:v>184.26379383972827</c:v>
                </c:pt>
                <c:pt idx="615">
                  <c:v>184.26379383972827</c:v>
                </c:pt>
                <c:pt idx="616">
                  <c:v>184.26379383972827</c:v>
                </c:pt>
                <c:pt idx="617">
                  <c:v>184.26379383972827</c:v>
                </c:pt>
                <c:pt idx="618">
                  <c:v>184.26379383972827</c:v>
                </c:pt>
                <c:pt idx="619">
                  <c:v>184.26379383972827</c:v>
                </c:pt>
                <c:pt idx="620">
                  <c:v>184.26379383972827</c:v>
                </c:pt>
                <c:pt idx="621">
                  <c:v>184.26379383972827</c:v>
                </c:pt>
                <c:pt idx="622">
                  <c:v>184.26379383972827</c:v>
                </c:pt>
                <c:pt idx="623">
                  <c:v>184.26379383972827</c:v>
                </c:pt>
                <c:pt idx="624">
                  <c:v>184.26379383972827</c:v>
                </c:pt>
                <c:pt idx="625">
                  <c:v>184.26379383972827</c:v>
                </c:pt>
                <c:pt idx="626">
                  <c:v>184.26379383972827</c:v>
                </c:pt>
                <c:pt idx="627">
                  <c:v>184.26379383972827</c:v>
                </c:pt>
                <c:pt idx="628">
                  <c:v>184.26379383972827</c:v>
                </c:pt>
                <c:pt idx="629">
                  <c:v>184.26379383972827</c:v>
                </c:pt>
                <c:pt idx="630">
                  <c:v>184.26379383972827</c:v>
                </c:pt>
                <c:pt idx="631">
                  <c:v>184.26379383972827</c:v>
                </c:pt>
                <c:pt idx="632">
                  <c:v>184.26379383972827</c:v>
                </c:pt>
                <c:pt idx="633">
                  <c:v>184.26379383972827</c:v>
                </c:pt>
                <c:pt idx="634">
                  <c:v>184.26379383972827</c:v>
                </c:pt>
                <c:pt idx="635">
                  <c:v>184.26379383972827</c:v>
                </c:pt>
                <c:pt idx="636">
                  <c:v>184.26379383972827</c:v>
                </c:pt>
                <c:pt idx="637">
                  <c:v>184.26379383972827</c:v>
                </c:pt>
                <c:pt idx="638">
                  <c:v>184.26379383972827</c:v>
                </c:pt>
                <c:pt idx="639">
                  <c:v>184.26379383972827</c:v>
                </c:pt>
                <c:pt idx="640">
                  <c:v>184.26379383972827</c:v>
                </c:pt>
                <c:pt idx="641">
                  <c:v>184.26379383972827</c:v>
                </c:pt>
                <c:pt idx="642">
                  <c:v>184.26379383972827</c:v>
                </c:pt>
                <c:pt idx="643">
                  <c:v>184.26379383972827</c:v>
                </c:pt>
                <c:pt idx="644">
                  <c:v>184.26379383972827</c:v>
                </c:pt>
                <c:pt idx="645">
                  <c:v>184.26379383972827</c:v>
                </c:pt>
                <c:pt idx="646">
                  <c:v>184.26379383972827</c:v>
                </c:pt>
                <c:pt idx="647">
                  <c:v>184.26379383972827</c:v>
                </c:pt>
                <c:pt idx="648">
                  <c:v>184.26379383972827</c:v>
                </c:pt>
                <c:pt idx="649">
                  <c:v>184.26379383972827</c:v>
                </c:pt>
                <c:pt idx="650">
                  <c:v>184.26379383972827</c:v>
                </c:pt>
                <c:pt idx="651">
                  <c:v>184.26379383972827</c:v>
                </c:pt>
                <c:pt idx="652">
                  <c:v>184.26379383972827</c:v>
                </c:pt>
                <c:pt idx="653">
                  <c:v>184.26379383972827</c:v>
                </c:pt>
                <c:pt idx="654">
                  <c:v>184.26379383972827</c:v>
                </c:pt>
                <c:pt idx="655">
                  <c:v>184.26379383972827</c:v>
                </c:pt>
                <c:pt idx="656">
                  <c:v>184.26379383972827</c:v>
                </c:pt>
                <c:pt idx="657">
                  <c:v>184.26379383972827</c:v>
                </c:pt>
                <c:pt idx="658">
                  <c:v>184.26379383972827</c:v>
                </c:pt>
                <c:pt idx="659">
                  <c:v>184.26379383972827</c:v>
                </c:pt>
                <c:pt idx="660">
                  <c:v>184.26379383972827</c:v>
                </c:pt>
                <c:pt idx="661">
                  <c:v>184.26379383972827</c:v>
                </c:pt>
                <c:pt idx="662">
                  <c:v>184.26379383972827</c:v>
                </c:pt>
                <c:pt idx="663">
                  <c:v>184.26379383972827</c:v>
                </c:pt>
                <c:pt idx="664">
                  <c:v>184.26379383972827</c:v>
                </c:pt>
                <c:pt idx="665">
                  <c:v>184.26379383972827</c:v>
                </c:pt>
                <c:pt idx="666">
                  <c:v>184.26379383972827</c:v>
                </c:pt>
                <c:pt idx="667">
                  <c:v>184.26379383972827</c:v>
                </c:pt>
                <c:pt idx="668">
                  <c:v>184.26379383972827</c:v>
                </c:pt>
                <c:pt idx="669">
                  <c:v>184.26379383972827</c:v>
                </c:pt>
                <c:pt idx="670">
                  <c:v>184.26379383972827</c:v>
                </c:pt>
                <c:pt idx="671">
                  <c:v>184.26379383972827</c:v>
                </c:pt>
                <c:pt idx="672">
                  <c:v>184.26379383972827</c:v>
                </c:pt>
                <c:pt idx="673">
                  <c:v>184.26379383972827</c:v>
                </c:pt>
                <c:pt idx="674">
                  <c:v>184.26379383972827</c:v>
                </c:pt>
                <c:pt idx="675">
                  <c:v>184.26379383972827</c:v>
                </c:pt>
                <c:pt idx="676">
                  <c:v>184.26379383972827</c:v>
                </c:pt>
                <c:pt idx="677">
                  <c:v>184.26379383972827</c:v>
                </c:pt>
                <c:pt idx="678">
                  <c:v>184.26379383972827</c:v>
                </c:pt>
                <c:pt idx="679">
                  <c:v>184.26379383972827</c:v>
                </c:pt>
                <c:pt idx="680">
                  <c:v>184.26379383972827</c:v>
                </c:pt>
                <c:pt idx="681">
                  <c:v>184.26379383972827</c:v>
                </c:pt>
                <c:pt idx="682">
                  <c:v>184.26379383972827</c:v>
                </c:pt>
                <c:pt idx="683">
                  <c:v>184.26379383972827</c:v>
                </c:pt>
                <c:pt idx="684">
                  <c:v>184.26379383972827</c:v>
                </c:pt>
                <c:pt idx="685">
                  <c:v>184.26379383972827</c:v>
                </c:pt>
                <c:pt idx="686">
                  <c:v>184.26379383972827</c:v>
                </c:pt>
                <c:pt idx="687">
                  <c:v>184.26379383972827</c:v>
                </c:pt>
                <c:pt idx="688">
                  <c:v>184.26379383972827</c:v>
                </c:pt>
                <c:pt idx="689">
                  <c:v>184.26379383972827</c:v>
                </c:pt>
                <c:pt idx="690">
                  <c:v>184.26379383972827</c:v>
                </c:pt>
                <c:pt idx="691">
                  <c:v>184.26379383972827</c:v>
                </c:pt>
                <c:pt idx="692">
                  <c:v>184.26379383972827</c:v>
                </c:pt>
                <c:pt idx="693">
                  <c:v>184.26379383972827</c:v>
                </c:pt>
                <c:pt idx="694">
                  <c:v>184.26379383972827</c:v>
                </c:pt>
                <c:pt idx="695">
                  <c:v>184.26379383972827</c:v>
                </c:pt>
                <c:pt idx="696">
                  <c:v>184.26379383972827</c:v>
                </c:pt>
                <c:pt idx="697">
                  <c:v>184.26379383972827</c:v>
                </c:pt>
                <c:pt idx="698">
                  <c:v>184.26379383972827</c:v>
                </c:pt>
                <c:pt idx="699">
                  <c:v>184.26379383972827</c:v>
                </c:pt>
                <c:pt idx="700">
                  <c:v>184.26379383972827</c:v>
                </c:pt>
                <c:pt idx="701">
                  <c:v>184.26379383972827</c:v>
                </c:pt>
                <c:pt idx="702">
                  <c:v>184.26379383972827</c:v>
                </c:pt>
                <c:pt idx="703">
                  <c:v>184.26379383972827</c:v>
                </c:pt>
                <c:pt idx="704">
                  <c:v>184.26379383972827</c:v>
                </c:pt>
                <c:pt idx="705">
                  <c:v>184.26379383972827</c:v>
                </c:pt>
                <c:pt idx="706">
                  <c:v>184.26379383972827</c:v>
                </c:pt>
                <c:pt idx="707">
                  <c:v>184.26379383972827</c:v>
                </c:pt>
                <c:pt idx="708">
                  <c:v>184.26379383972827</c:v>
                </c:pt>
                <c:pt idx="709">
                  <c:v>184.26379383972827</c:v>
                </c:pt>
                <c:pt idx="710">
                  <c:v>184.26379383972827</c:v>
                </c:pt>
                <c:pt idx="711">
                  <c:v>184.26379383972827</c:v>
                </c:pt>
                <c:pt idx="712">
                  <c:v>184.26379383972827</c:v>
                </c:pt>
                <c:pt idx="713">
                  <c:v>184.26379383972827</c:v>
                </c:pt>
                <c:pt idx="714">
                  <c:v>184.26379383972827</c:v>
                </c:pt>
                <c:pt idx="715">
                  <c:v>184.26379383972827</c:v>
                </c:pt>
                <c:pt idx="716">
                  <c:v>184.26379383972827</c:v>
                </c:pt>
                <c:pt idx="717">
                  <c:v>184.26379383972827</c:v>
                </c:pt>
                <c:pt idx="718">
                  <c:v>184.26379383972827</c:v>
                </c:pt>
                <c:pt idx="719">
                  <c:v>184.26379383972827</c:v>
                </c:pt>
                <c:pt idx="720">
                  <c:v>184.26379383972827</c:v>
                </c:pt>
                <c:pt idx="721">
                  <c:v>184.26379383972827</c:v>
                </c:pt>
                <c:pt idx="722">
                  <c:v>184.26379383972827</c:v>
                </c:pt>
                <c:pt idx="723">
                  <c:v>184.26379383972827</c:v>
                </c:pt>
                <c:pt idx="724">
                  <c:v>184.26379383972827</c:v>
                </c:pt>
                <c:pt idx="725">
                  <c:v>184.26379383972827</c:v>
                </c:pt>
                <c:pt idx="726">
                  <c:v>184.26379383972827</c:v>
                </c:pt>
                <c:pt idx="727">
                  <c:v>184.26379383972827</c:v>
                </c:pt>
                <c:pt idx="728">
                  <c:v>184.26379383972827</c:v>
                </c:pt>
                <c:pt idx="729">
                  <c:v>184.26379383972827</c:v>
                </c:pt>
                <c:pt idx="730">
                  <c:v>184.26379383972827</c:v>
                </c:pt>
                <c:pt idx="731">
                  <c:v>184.26379383972827</c:v>
                </c:pt>
                <c:pt idx="732">
                  <c:v>184.26379383972827</c:v>
                </c:pt>
                <c:pt idx="733">
                  <c:v>184.26379383972827</c:v>
                </c:pt>
                <c:pt idx="734">
                  <c:v>184.26379383972827</c:v>
                </c:pt>
                <c:pt idx="735">
                  <c:v>184.26379383972827</c:v>
                </c:pt>
                <c:pt idx="736">
                  <c:v>184.26379383972827</c:v>
                </c:pt>
                <c:pt idx="737">
                  <c:v>184.26379383972827</c:v>
                </c:pt>
                <c:pt idx="738">
                  <c:v>184.26379383972827</c:v>
                </c:pt>
                <c:pt idx="739">
                  <c:v>184.26379383972827</c:v>
                </c:pt>
                <c:pt idx="740">
                  <c:v>184.26379383972827</c:v>
                </c:pt>
                <c:pt idx="741">
                  <c:v>184.26379383972827</c:v>
                </c:pt>
                <c:pt idx="742">
                  <c:v>184.26379383972827</c:v>
                </c:pt>
                <c:pt idx="743">
                  <c:v>184.26379383972827</c:v>
                </c:pt>
                <c:pt idx="744">
                  <c:v>184.26379383972827</c:v>
                </c:pt>
                <c:pt idx="745">
                  <c:v>184.26379383972827</c:v>
                </c:pt>
                <c:pt idx="746">
                  <c:v>184.26379383972827</c:v>
                </c:pt>
                <c:pt idx="747">
                  <c:v>184.26379383972827</c:v>
                </c:pt>
                <c:pt idx="748">
                  <c:v>184.26379383972827</c:v>
                </c:pt>
                <c:pt idx="749">
                  <c:v>184.26379383972827</c:v>
                </c:pt>
                <c:pt idx="750">
                  <c:v>184.26379383972827</c:v>
                </c:pt>
                <c:pt idx="751">
                  <c:v>184.26379383972827</c:v>
                </c:pt>
                <c:pt idx="752">
                  <c:v>184.26379383972827</c:v>
                </c:pt>
                <c:pt idx="753">
                  <c:v>184.26379383972827</c:v>
                </c:pt>
                <c:pt idx="754">
                  <c:v>184.26379383972827</c:v>
                </c:pt>
                <c:pt idx="755">
                  <c:v>184.26379383972827</c:v>
                </c:pt>
                <c:pt idx="756">
                  <c:v>184.26379383972827</c:v>
                </c:pt>
                <c:pt idx="757">
                  <c:v>184.26379383972827</c:v>
                </c:pt>
                <c:pt idx="758">
                  <c:v>184.26379383972827</c:v>
                </c:pt>
                <c:pt idx="759">
                  <c:v>184.26379383972827</c:v>
                </c:pt>
                <c:pt idx="760">
                  <c:v>184.26379383972827</c:v>
                </c:pt>
                <c:pt idx="761">
                  <c:v>184.26379383972827</c:v>
                </c:pt>
                <c:pt idx="762">
                  <c:v>184.26379383972827</c:v>
                </c:pt>
                <c:pt idx="763">
                  <c:v>184.26379383972827</c:v>
                </c:pt>
                <c:pt idx="764">
                  <c:v>184.26379383972827</c:v>
                </c:pt>
                <c:pt idx="765">
                  <c:v>184.26379383972827</c:v>
                </c:pt>
                <c:pt idx="766">
                  <c:v>184.26379383972827</c:v>
                </c:pt>
                <c:pt idx="767">
                  <c:v>184.26379383972827</c:v>
                </c:pt>
                <c:pt idx="768">
                  <c:v>184.26379383972827</c:v>
                </c:pt>
                <c:pt idx="769">
                  <c:v>184.26379383972827</c:v>
                </c:pt>
                <c:pt idx="770">
                  <c:v>184.26379383972827</c:v>
                </c:pt>
                <c:pt idx="771">
                  <c:v>184.26379383972827</c:v>
                </c:pt>
                <c:pt idx="772">
                  <c:v>184.26379383972827</c:v>
                </c:pt>
                <c:pt idx="773">
                  <c:v>184.26379383972827</c:v>
                </c:pt>
                <c:pt idx="774">
                  <c:v>184.26379383972827</c:v>
                </c:pt>
                <c:pt idx="775">
                  <c:v>184.26379383972827</c:v>
                </c:pt>
                <c:pt idx="776">
                  <c:v>184.26379383972827</c:v>
                </c:pt>
                <c:pt idx="777">
                  <c:v>184.26379383972827</c:v>
                </c:pt>
                <c:pt idx="778">
                  <c:v>184.26379383972827</c:v>
                </c:pt>
                <c:pt idx="779">
                  <c:v>184.26379383972827</c:v>
                </c:pt>
                <c:pt idx="780">
                  <c:v>184.26379383972827</c:v>
                </c:pt>
                <c:pt idx="781">
                  <c:v>184.26379383972827</c:v>
                </c:pt>
                <c:pt idx="782">
                  <c:v>184.26379383972827</c:v>
                </c:pt>
                <c:pt idx="783">
                  <c:v>184.26379383972827</c:v>
                </c:pt>
                <c:pt idx="784">
                  <c:v>184.26379383972827</c:v>
                </c:pt>
                <c:pt idx="785">
                  <c:v>184.26379383972827</c:v>
                </c:pt>
                <c:pt idx="786">
                  <c:v>184.26379383972827</c:v>
                </c:pt>
                <c:pt idx="787">
                  <c:v>184.26379383972827</c:v>
                </c:pt>
                <c:pt idx="788">
                  <c:v>184.26379383972827</c:v>
                </c:pt>
                <c:pt idx="789">
                  <c:v>184.26379383972827</c:v>
                </c:pt>
                <c:pt idx="790">
                  <c:v>184.26379383972827</c:v>
                </c:pt>
                <c:pt idx="791">
                  <c:v>184.26379383972827</c:v>
                </c:pt>
                <c:pt idx="792">
                  <c:v>184.26379383972827</c:v>
                </c:pt>
                <c:pt idx="793">
                  <c:v>184.26379383972827</c:v>
                </c:pt>
                <c:pt idx="794">
                  <c:v>184.26379383972827</c:v>
                </c:pt>
                <c:pt idx="795">
                  <c:v>184.26379383972827</c:v>
                </c:pt>
                <c:pt idx="796">
                  <c:v>184.26379383972827</c:v>
                </c:pt>
                <c:pt idx="797">
                  <c:v>184.26379383972827</c:v>
                </c:pt>
                <c:pt idx="798">
                  <c:v>184.26379383972827</c:v>
                </c:pt>
                <c:pt idx="799">
                  <c:v>184.26379383972827</c:v>
                </c:pt>
                <c:pt idx="800">
                  <c:v>184.26379383972827</c:v>
                </c:pt>
                <c:pt idx="801">
                  <c:v>184.26379383972827</c:v>
                </c:pt>
                <c:pt idx="802">
                  <c:v>184.26379383972827</c:v>
                </c:pt>
                <c:pt idx="803">
                  <c:v>184.26379383972827</c:v>
                </c:pt>
                <c:pt idx="804">
                  <c:v>184.26379383972827</c:v>
                </c:pt>
                <c:pt idx="805">
                  <c:v>184.26379383972827</c:v>
                </c:pt>
                <c:pt idx="806">
                  <c:v>184.26379383972827</c:v>
                </c:pt>
                <c:pt idx="807">
                  <c:v>184.26379383972827</c:v>
                </c:pt>
                <c:pt idx="808">
                  <c:v>184.26379383972827</c:v>
                </c:pt>
                <c:pt idx="809">
                  <c:v>184.26379383972827</c:v>
                </c:pt>
                <c:pt idx="810">
                  <c:v>184.26379383972827</c:v>
                </c:pt>
                <c:pt idx="811">
                  <c:v>184.26379383972827</c:v>
                </c:pt>
                <c:pt idx="812">
                  <c:v>184.26379383972827</c:v>
                </c:pt>
                <c:pt idx="813">
                  <c:v>184.26379383972827</c:v>
                </c:pt>
                <c:pt idx="814">
                  <c:v>184.26379383972827</c:v>
                </c:pt>
                <c:pt idx="815">
                  <c:v>184.26379383972827</c:v>
                </c:pt>
                <c:pt idx="816">
                  <c:v>184.26379383972827</c:v>
                </c:pt>
                <c:pt idx="817">
                  <c:v>184.26379383972827</c:v>
                </c:pt>
                <c:pt idx="818">
                  <c:v>184.26379383972827</c:v>
                </c:pt>
                <c:pt idx="819">
                  <c:v>184.26379383972827</c:v>
                </c:pt>
                <c:pt idx="820">
                  <c:v>184.26379383972827</c:v>
                </c:pt>
                <c:pt idx="821">
                  <c:v>184.26379383972827</c:v>
                </c:pt>
                <c:pt idx="822">
                  <c:v>184.26379383972827</c:v>
                </c:pt>
                <c:pt idx="823">
                  <c:v>184.26379383972827</c:v>
                </c:pt>
                <c:pt idx="824">
                  <c:v>184.26379383972827</c:v>
                </c:pt>
                <c:pt idx="825">
                  <c:v>184.26379383972827</c:v>
                </c:pt>
                <c:pt idx="826">
                  <c:v>184.26379383972827</c:v>
                </c:pt>
                <c:pt idx="827">
                  <c:v>184.26379383972827</c:v>
                </c:pt>
                <c:pt idx="828">
                  <c:v>184.26379383972827</c:v>
                </c:pt>
                <c:pt idx="829">
                  <c:v>184.26379383972827</c:v>
                </c:pt>
                <c:pt idx="830">
                  <c:v>184.26379383972827</c:v>
                </c:pt>
                <c:pt idx="831">
                  <c:v>184.26379383972827</c:v>
                </c:pt>
                <c:pt idx="832">
                  <c:v>184.26379383972827</c:v>
                </c:pt>
                <c:pt idx="833">
                  <c:v>184.26379383972827</c:v>
                </c:pt>
                <c:pt idx="834">
                  <c:v>184.26379383972827</c:v>
                </c:pt>
                <c:pt idx="835">
                  <c:v>184.26379383972827</c:v>
                </c:pt>
                <c:pt idx="836">
                  <c:v>184.26379383972827</c:v>
                </c:pt>
                <c:pt idx="837">
                  <c:v>184.26379383972827</c:v>
                </c:pt>
                <c:pt idx="838">
                  <c:v>184.26379383972827</c:v>
                </c:pt>
                <c:pt idx="839">
                  <c:v>184.26379383972827</c:v>
                </c:pt>
                <c:pt idx="840">
                  <c:v>184.26379383972827</c:v>
                </c:pt>
                <c:pt idx="841">
                  <c:v>184.26379383972827</c:v>
                </c:pt>
                <c:pt idx="842">
                  <c:v>184.26379383972827</c:v>
                </c:pt>
                <c:pt idx="843">
                  <c:v>184.26379383972827</c:v>
                </c:pt>
                <c:pt idx="844">
                  <c:v>184.26379383972827</c:v>
                </c:pt>
                <c:pt idx="845">
                  <c:v>184.26379383972827</c:v>
                </c:pt>
                <c:pt idx="846">
                  <c:v>184.26379383972827</c:v>
                </c:pt>
                <c:pt idx="847">
                  <c:v>184.26379383972827</c:v>
                </c:pt>
                <c:pt idx="848">
                  <c:v>184.26379383972827</c:v>
                </c:pt>
                <c:pt idx="849">
                  <c:v>184.26379383972827</c:v>
                </c:pt>
                <c:pt idx="850">
                  <c:v>184.26379383972827</c:v>
                </c:pt>
                <c:pt idx="851">
                  <c:v>184.26379383972827</c:v>
                </c:pt>
                <c:pt idx="852">
                  <c:v>184.26379383972827</c:v>
                </c:pt>
                <c:pt idx="853">
                  <c:v>184.26379383972827</c:v>
                </c:pt>
                <c:pt idx="854">
                  <c:v>184.26379383972827</c:v>
                </c:pt>
                <c:pt idx="855">
                  <c:v>184.26379383972827</c:v>
                </c:pt>
                <c:pt idx="856">
                  <c:v>184.26379383972827</c:v>
                </c:pt>
                <c:pt idx="857">
                  <c:v>184.26379383972827</c:v>
                </c:pt>
                <c:pt idx="858">
                  <c:v>184.26379383972827</c:v>
                </c:pt>
                <c:pt idx="859">
                  <c:v>184.26379383972827</c:v>
                </c:pt>
                <c:pt idx="860">
                  <c:v>184.26379383972827</c:v>
                </c:pt>
                <c:pt idx="861">
                  <c:v>184.26379383972827</c:v>
                </c:pt>
                <c:pt idx="862">
                  <c:v>184.26379383972827</c:v>
                </c:pt>
                <c:pt idx="863">
                  <c:v>184.26379383972827</c:v>
                </c:pt>
                <c:pt idx="864">
                  <c:v>184.26379383972827</c:v>
                </c:pt>
                <c:pt idx="865">
                  <c:v>184.26379383972827</c:v>
                </c:pt>
                <c:pt idx="866">
                  <c:v>184.26379383972827</c:v>
                </c:pt>
                <c:pt idx="867">
                  <c:v>184.26379383972827</c:v>
                </c:pt>
                <c:pt idx="868">
                  <c:v>184.26379383972827</c:v>
                </c:pt>
                <c:pt idx="869">
                  <c:v>184.26379383972827</c:v>
                </c:pt>
                <c:pt idx="870">
                  <c:v>184.26379383972827</c:v>
                </c:pt>
                <c:pt idx="871">
                  <c:v>184.26379383972827</c:v>
                </c:pt>
                <c:pt idx="872">
                  <c:v>184.26379383972827</c:v>
                </c:pt>
                <c:pt idx="873">
                  <c:v>184.26379383972827</c:v>
                </c:pt>
                <c:pt idx="874">
                  <c:v>184.26379383972827</c:v>
                </c:pt>
                <c:pt idx="875">
                  <c:v>184.26379383972827</c:v>
                </c:pt>
                <c:pt idx="876">
                  <c:v>184.26379383972827</c:v>
                </c:pt>
                <c:pt idx="877">
                  <c:v>184.26379383972827</c:v>
                </c:pt>
                <c:pt idx="878">
                  <c:v>184.26379383972827</c:v>
                </c:pt>
                <c:pt idx="879">
                  <c:v>184.26379383972827</c:v>
                </c:pt>
                <c:pt idx="880">
                  <c:v>184.26379383972827</c:v>
                </c:pt>
                <c:pt idx="881">
                  <c:v>184.26379383972827</c:v>
                </c:pt>
                <c:pt idx="882">
                  <c:v>184.26379383972827</c:v>
                </c:pt>
                <c:pt idx="883">
                  <c:v>184.26379383972827</c:v>
                </c:pt>
                <c:pt idx="884">
                  <c:v>184.26379383972827</c:v>
                </c:pt>
                <c:pt idx="885">
                  <c:v>184.26379383972827</c:v>
                </c:pt>
                <c:pt idx="886">
                  <c:v>184.26379383972827</c:v>
                </c:pt>
                <c:pt idx="887">
                  <c:v>184.26379383972827</c:v>
                </c:pt>
                <c:pt idx="888">
                  <c:v>184.26379383972827</c:v>
                </c:pt>
                <c:pt idx="889">
                  <c:v>184.26379383972827</c:v>
                </c:pt>
                <c:pt idx="890">
                  <c:v>184.26379383972827</c:v>
                </c:pt>
                <c:pt idx="891">
                  <c:v>184.26379383972827</c:v>
                </c:pt>
                <c:pt idx="892">
                  <c:v>184.26379383972827</c:v>
                </c:pt>
                <c:pt idx="893">
                  <c:v>184.26379383972827</c:v>
                </c:pt>
                <c:pt idx="894">
                  <c:v>184.26379383972827</c:v>
                </c:pt>
                <c:pt idx="895">
                  <c:v>184.26379383972827</c:v>
                </c:pt>
                <c:pt idx="896">
                  <c:v>184.26379383972827</c:v>
                </c:pt>
                <c:pt idx="897">
                  <c:v>184.26379383972827</c:v>
                </c:pt>
                <c:pt idx="898">
                  <c:v>184.26379383972827</c:v>
                </c:pt>
                <c:pt idx="899">
                  <c:v>184.26379383972827</c:v>
                </c:pt>
                <c:pt idx="900">
                  <c:v>184.26379383972827</c:v>
                </c:pt>
                <c:pt idx="901">
                  <c:v>184.26379383972827</c:v>
                </c:pt>
                <c:pt idx="902">
                  <c:v>184.26379383972827</c:v>
                </c:pt>
                <c:pt idx="903">
                  <c:v>184.26379383972827</c:v>
                </c:pt>
                <c:pt idx="904">
                  <c:v>184.26379383972827</c:v>
                </c:pt>
                <c:pt idx="905">
                  <c:v>184.26379383972827</c:v>
                </c:pt>
                <c:pt idx="906">
                  <c:v>184.26379383972827</c:v>
                </c:pt>
                <c:pt idx="907">
                  <c:v>184.26379383972827</c:v>
                </c:pt>
                <c:pt idx="908">
                  <c:v>184.26379383972827</c:v>
                </c:pt>
                <c:pt idx="909">
                  <c:v>184.26379383972827</c:v>
                </c:pt>
                <c:pt idx="910">
                  <c:v>184.26379383972827</c:v>
                </c:pt>
                <c:pt idx="911">
                  <c:v>184.26379383972827</c:v>
                </c:pt>
                <c:pt idx="912">
                  <c:v>184.26379383972827</c:v>
                </c:pt>
                <c:pt idx="913">
                  <c:v>184.26379383972827</c:v>
                </c:pt>
                <c:pt idx="914">
                  <c:v>184.26379383972827</c:v>
                </c:pt>
                <c:pt idx="915">
                  <c:v>184.26379383972827</c:v>
                </c:pt>
                <c:pt idx="916">
                  <c:v>184.26379383972827</c:v>
                </c:pt>
                <c:pt idx="917">
                  <c:v>184.26379383972827</c:v>
                </c:pt>
                <c:pt idx="918">
                  <c:v>184.26379383972827</c:v>
                </c:pt>
                <c:pt idx="919">
                  <c:v>184.26379383972827</c:v>
                </c:pt>
                <c:pt idx="920">
                  <c:v>184.26379383972827</c:v>
                </c:pt>
                <c:pt idx="921">
                  <c:v>184.26379383972827</c:v>
                </c:pt>
                <c:pt idx="922">
                  <c:v>184.26379383972827</c:v>
                </c:pt>
                <c:pt idx="923">
                  <c:v>184.26379383972827</c:v>
                </c:pt>
                <c:pt idx="924">
                  <c:v>184.26379383972827</c:v>
                </c:pt>
                <c:pt idx="925">
                  <c:v>184.26379383972827</c:v>
                </c:pt>
                <c:pt idx="926">
                  <c:v>184.26379383972827</c:v>
                </c:pt>
                <c:pt idx="927">
                  <c:v>184.26379383972827</c:v>
                </c:pt>
                <c:pt idx="928">
                  <c:v>184.26379383972827</c:v>
                </c:pt>
                <c:pt idx="929">
                  <c:v>184.26379383972827</c:v>
                </c:pt>
                <c:pt idx="930">
                  <c:v>184.26379383972827</c:v>
                </c:pt>
                <c:pt idx="931">
                  <c:v>184.26379383972827</c:v>
                </c:pt>
                <c:pt idx="932">
                  <c:v>184.26379383972827</c:v>
                </c:pt>
                <c:pt idx="933">
                  <c:v>184.26379383972827</c:v>
                </c:pt>
                <c:pt idx="934">
                  <c:v>184.26379383972827</c:v>
                </c:pt>
                <c:pt idx="935">
                  <c:v>184.26379383972827</c:v>
                </c:pt>
                <c:pt idx="936">
                  <c:v>184.26379383972827</c:v>
                </c:pt>
                <c:pt idx="937">
                  <c:v>184.26379383972827</c:v>
                </c:pt>
                <c:pt idx="938">
                  <c:v>184.26379383972827</c:v>
                </c:pt>
                <c:pt idx="939">
                  <c:v>184.26379383972827</c:v>
                </c:pt>
                <c:pt idx="940">
                  <c:v>184.26379383972827</c:v>
                </c:pt>
                <c:pt idx="941">
                  <c:v>184.26379383972827</c:v>
                </c:pt>
                <c:pt idx="942">
                  <c:v>184.26379383972827</c:v>
                </c:pt>
                <c:pt idx="943">
                  <c:v>184.26379383972827</c:v>
                </c:pt>
                <c:pt idx="944">
                  <c:v>184.26379383972827</c:v>
                </c:pt>
                <c:pt idx="945">
                  <c:v>184.26379383972827</c:v>
                </c:pt>
                <c:pt idx="946">
                  <c:v>184.26379383972827</c:v>
                </c:pt>
                <c:pt idx="947">
                  <c:v>184.26379383972827</c:v>
                </c:pt>
                <c:pt idx="948">
                  <c:v>184.26379383972827</c:v>
                </c:pt>
                <c:pt idx="949">
                  <c:v>184.26379383972827</c:v>
                </c:pt>
                <c:pt idx="950">
                  <c:v>184.26379383972827</c:v>
                </c:pt>
                <c:pt idx="951">
                  <c:v>184.26379383972827</c:v>
                </c:pt>
                <c:pt idx="952">
                  <c:v>184.26379383972827</c:v>
                </c:pt>
                <c:pt idx="953">
                  <c:v>184.26379383972827</c:v>
                </c:pt>
                <c:pt idx="954">
                  <c:v>184.26379383972827</c:v>
                </c:pt>
                <c:pt idx="955">
                  <c:v>184.26379383972827</c:v>
                </c:pt>
                <c:pt idx="956">
                  <c:v>184.26379383972827</c:v>
                </c:pt>
                <c:pt idx="957">
                  <c:v>184.26379383972827</c:v>
                </c:pt>
                <c:pt idx="958">
                  <c:v>184.26379383972827</c:v>
                </c:pt>
                <c:pt idx="959">
                  <c:v>184.26379383972827</c:v>
                </c:pt>
                <c:pt idx="960">
                  <c:v>184.26379383972827</c:v>
                </c:pt>
                <c:pt idx="961">
                  <c:v>184.26379383972827</c:v>
                </c:pt>
                <c:pt idx="962">
                  <c:v>184.26379383972827</c:v>
                </c:pt>
                <c:pt idx="963">
                  <c:v>184.26379383972827</c:v>
                </c:pt>
                <c:pt idx="964">
                  <c:v>184.26379383972827</c:v>
                </c:pt>
                <c:pt idx="965">
                  <c:v>184.26379383972827</c:v>
                </c:pt>
                <c:pt idx="966">
                  <c:v>184.26379383972827</c:v>
                </c:pt>
                <c:pt idx="967">
                  <c:v>184.26379383972827</c:v>
                </c:pt>
                <c:pt idx="968">
                  <c:v>184.26379383972827</c:v>
                </c:pt>
                <c:pt idx="969">
                  <c:v>184.26379383972827</c:v>
                </c:pt>
                <c:pt idx="970">
                  <c:v>184.26379383972827</c:v>
                </c:pt>
                <c:pt idx="971">
                  <c:v>184.26379383972827</c:v>
                </c:pt>
                <c:pt idx="972">
                  <c:v>184.26379383972827</c:v>
                </c:pt>
                <c:pt idx="973">
                  <c:v>184.26379383972827</c:v>
                </c:pt>
                <c:pt idx="974">
                  <c:v>184.26379383972827</c:v>
                </c:pt>
                <c:pt idx="975">
                  <c:v>184.26379383972827</c:v>
                </c:pt>
                <c:pt idx="976">
                  <c:v>184.26379383972827</c:v>
                </c:pt>
                <c:pt idx="977">
                  <c:v>184.26379383972827</c:v>
                </c:pt>
                <c:pt idx="978">
                  <c:v>184.26379383972827</c:v>
                </c:pt>
                <c:pt idx="979">
                  <c:v>184.26379383972827</c:v>
                </c:pt>
                <c:pt idx="980">
                  <c:v>184.26379383972827</c:v>
                </c:pt>
                <c:pt idx="981">
                  <c:v>184.26379383972827</c:v>
                </c:pt>
                <c:pt idx="982">
                  <c:v>184.26379383972827</c:v>
                </c:pt>
                <c:pt idx="983">
                  <c:v>184.26379383972827</c:v>
                </c:pt>
                <c:pt idx="984">
                  <c:v>184.26379383972827</c:v>
                </c:pt>
                <c:pt idx="985">
                  <c:v>184.26379383972827</c:v>
                </c:pt>
                <c:pt idx="986">
                  <c:v>184.26379383972827</c:v>
                </c:pt>
                <c:pt idx="987">
                  <c:v>184.26379383972827</c:v>
                </c:pt>
                <c:pt idx="988">
                  <c:v>184.26379383972827</c:v>
                </c:pt>
                <c:pt idx="989">
                  <c:v>184.26379383972827</c:v>
                </c:pt>
                <c:pt idx="990">
                  <c:v>184.26379383972827</c:v>
                </c:pt>
                <c:pt idx="991">
                  <c:v>184.26379383972827</c:v>
                </c:pt>
                <c:pt idx="992">
                  <c:v>184.26379383972827</c:v>
                </c:pt>
                <c:pt idx="993">
                  <c:v>184.26379383972827</c:v>
                </c:pt>
                <c:pt idx="994">
                  <c:v>184.26379383972827</c:v>
                </c:pt>
                <c:pt idx="995">
                  <c:v>184.26379383972827</c:v>
                </c:pt>
                <c:pt idx="996">
                  <c:v>184.26379383972827</c:v>
                </c:pt>
                <c:pt idx="997">
                  <c:v>184.26379383972827</c:v>
                </c:pt>
                <c:pt idx="998">
                  <c:v>184.26379383972827</c:v>
                </c:pt>
                <c:pt idx="999">
                  <c:v>184.26379383972827</c:v>
                </c:pt>
                <c:pt idx="1000">
                  <c:v>184.26379383972827</c:v>
                </c:pt>
              </c:numCache>
            </c:numRef>
          </c:xVal>
          <c:yVal>
            <c:numRef>
              <c:f>Calculs!$AE$4:$AE$1004</c:f>
              <c:numCache>
                <c:formatCode>0</c:formatCode>
                <c:ptCount val="1001"/>
                <c:pt idx="0">
                  <c:v>0</c:v>
                </c:pt>
                <c:pt idx="1">
                  <c:v>1.072892741762712E-3</c:v>
                </c:pt>
                <c:pt idx="2">
                  <c:v>7.2351927811420786E-3</c:v>
                </c:pt>
                <c:pt idx="3">
                  <c:v>2.3530778934193496E-2</c:v>
                </c:pt>
                <c:pt idx="4">
                  <c:v>5.0766950166213465E-2</c:v>
                </c:pt>
                <c:pt idx="5">
                  <c:v>8.635542859419712E-2</c:v>
                </c:pt>
                <c:pt idx="6">
                  <c:v>0.12818107940988069</c:v>
                </c:pt>
                <c:pt idx="7">
                  <c:v>0.17535088098540064</c:v>
                </c:pt>
                <c:pt idx="8">
                  <c:v>0.22789845747226903</c:v>
                </c:pt>
                <c:pt idx="9">
                  <c:v>0.28603749780814081</c:v>
                </c:pt>
                <c:pt idx="10">
                  <c:v>0.34998174114909841</c:v>
                </c:pt>
                <c:pt idx="11">
                  <c:v>0.41987674107719297</c:v>
                </c:pt>
                <c:pt idx="12">
                  <c:v>0.49579979276688169</c:v>
                </c:pt>
                <c:pt idx="13">
                  <c:v>0.57782808871137048</c:v>
                </c:pt>
                <c:pt idx="14">
                  <c:v>0.66603871299013173</c:v>
                </c:pt>
                <c:pt idx="15">
                  <c:v>0.7605086354537719</c:v>
                </c:pt>
                <c:pt idx="16">
                  <c:v>0.86131470582715164</c:v>
                </c:pt>
                <c:pt idx="17">
                  <c:v>0.96853364773170481</c:v>
                </c:pt>
                <c:pt idx="18">
                  <c:v>1.0822420526279484</c:v>
                </c:pt>
                <c:pt idx="19">
                  <c:v>1.2025163736792197</c:v>
                </c:pt>
                <c:pt idx="20">
                  <c:v>1.3294329195377239</c:v>
                </c:pt>
                <c:pt idx="21">
                  <c:v>1.4630678480540187</c:v>
                </c:pt>
                <c:pt idx="22">
                  <c:v>1.6034889803670815</c:v>
                </c:pt>
                <c:pt idx="23">
                  <c:v>1.7507366943596958</c:v>
                </c:pt>
                <c:pt idx="24">
                  <c:v>1.9048320799354088</c:v>
                </c:pt>
                <c:pt idx="25">
                  <c:v>2.0657960170354097</c:v>
                </c:pt>
                <c:pt idx="26">
                  <c:v>2.2336491735297295</c:v>
                </c:pt>
                <c:pt idx="27">
                  <c:v>2.4084120031271685</c:v>
                </c:pt>
                <c:pt idx="28">
                  <c:v>2.5901047433045332</c:v>
                </c:pt>
                <c:pt idx="29">
                  <c:v>2.7787326159599739</c:v>
                </c:pt>
                <c:pt idx="30">
                  <c:v>2.9743000181727588</c:v>
                </c:pt>
                <c:pt idx="31">
                  <c:v>3.1768253225665628</c:v>
                </c:pt>
                <c:pt idx="32">
                  <c:v>3.3863266944319115</c:v>
                </c:pt>
                <c:pt idx="33">
                  <c:v>3.6028220959421331</c:v>
                </c:pt>
                <c:pt idx="34">
                  <c:v>3.8263292829822326</c:v>
                </c:pt>
                <c:pt idx="35">
                  <c:v>4.0568636750422051</c:v>
                </c:pt>
                <c:pt idx="36">
                  <c:v>4.2944192020993182</c:v>
                </c:pt>
                <c:pt idx="37">
                  <c:v>4.5389704290437773</c:v>
                </c:pt>
                <c:pt idx="38">
                  <c:v>4.7904917052703091</c:v>
                </c:pt>
                <c:pt idx="39">
                  <c:v>5.0489571659514167</c:v>
                </c:pt>
                <c:pt idx="40">
                  <c:v>5.3143407334395389</c:v>
                </c:pt>
                <c:pt idx="41">
                  <c:v>5.5866161187868544</c:v>
                </c:pt>
                <c:pt idx="42">
                  <c:v>5.8657568233728172</c:v>
                </c:pt>
                <c:pt idx="43">
                  <c:v>6.1517361406306446</c:v>
                </c:pt>
                <c:pt idx="44">
                  <c:v>6.4445271578649379</c:v>
                </c:pt>
                <c:pt idx="45">
                  <c:v>6.744102758153466</c:v>
                </c:pt>
                <c:pt idx="46">
                  <c:v>7.0504356223268356</c:v>
                </c:pt>
                <c:pt idx="47">
                  <c:v>7.363498231020392</c:v>
                </c:pt>
                <c:pt idx="48">
                  <c:v>7.6832628667932452</c:v>
                </c:pt>
                <c:pt idx="49">
                  <c:v>8.0097016163097514</c:v>
                </c:pt>
                <c:pt idx="50">
                  <c:v>8.3427863725792104</c:v>
                </c:pt>
                <c:pt idx="51">
                  <c:v>8.6824888372498776</c:v>
                </c:pt>
                <c:pt idx="52">
                  <c:v>9.0287805229537099</c:v>
                </c:pt>
                <c:pt idx="53">
                  <c:v>9.3816327556985435</c:v>
                </c:pt>
                <c:pt idx="54">
                  <c:v>9.7410166773046196</c:v>
                </c:pt>
                <c:pt idx="55">
                  <c:v>10.106903247882626</c:v>
                </c:pt>
                <c:pt idx="56">
                  <c:v>10.479263248350573</c:v>
                </c:pt>
                <c:pt idx="57">
                  <c:v>10.858067282987053</c:v>
                </c:pt>
                <c:pt idx="58">
                  <c:v>11.243285782018482</c:v>
                </c:pt>
                <c:pt idx="59">
                  <c:v>11.634889004238197</c:v>
                </c:pt>
                <c:pt idx="60">
                  <c:v>12.032847039655268</c:v>
                </c:pt>
                <c:pt idx="61">
                  <c:v>12.437129812171102</c:v>
                </c:pt>
                <c:pt idx="62">
                  <c:v>12.847707082281946</c:v>
                </c:pt>
                <c:pt idx="63">
                  <c:v>13.264548449805515</c:v>
                </c:pt>
                <c:pt idx="64">
                  <c:v>13.68762335663007</c:v>
                </c:pt>
                <c:pt idx="65">
                  <c:v>14.116901089484308</c:v>
                </c:pt>
                <c:pt idx="66">
                  <c:v>14.552350782726517</c:v>
                </c:pt>
                <c:pt idx="67">
                  <c:v>14.993941421151517</c:v>
                </c:pt>
                <c:pt idx="68">
                  <c:v>15.441641842813945</c:v>
                </c:pt>
                <c:pt idx="69">
                  <c:v>15.895420741866532</c:v>
                </c:pt>
                <c:pt idx="70">
                  <c:v>16.355246671412008</c:v>
                </c:pt>
                <c:pt idx="71">
                  <c:v>16.821088046367397</c:v>
                </c:pt>
                <c:pt idx="72">
                  <c:v>17.292913146339416</c:v>
                </c:pt>
                <c:pt idx="73">
                  <c:v>17.770690118509833</c:v>
                </c:pt>
                <c:pt idx="74">
                  <c:v>18.254386980529581</c:v>
                </c:pt>
                <c:pt idx="75">
                  <c:v>18.74397162342051</c:v>
                </c:pt>
                <c:pt idx="76">
                  <c:v>19.239411814483692</c:v>
                </c:pt>
                <c:pt idx="77">
                  <c:v>19.740675200213207</c:v>
                </c:pt>
                <c:pt idx="78">
                  <c:v>20.247729309214396</c:v>
                </c:pt>
                <c:pt idx="79">
                  <c:v>20.760541555125531</c:v>
                </c:pt>
                <c:pt idx="80">
                  <c:v>21.279079239541964</c:v>
                </c:pt>
                <c:pt idx="81">
                  <c:v>21.803309554941777</c:v>
                </c:pt>
                <c:pt idx="82">
                  <c:v>22.333199587612018</c:v>
                </c:pt>
                <c:pt idx="83">
                  <c:v>22.868716320574592</c:v>
                </c:pt>
                <c:pt idx="84">
                  <c:v>23.409826636510946</c:v>
                </c:pt>
                <c:pt idx="85">
                  <c:v>23.956497320684655</c:v>
                </c:pt>
                <c:pt idx="86">
                  <c:v>24.508695063861097</c:v>
                </c:pt>
                <c:pt idx="87">
                  <c:v>25.066386465223367</c:v>
                </c:pt>
                <c:pt idx="88">
                  <c:v>25.629538035283634</c:v>
                </c:pt>
                <c:pt idx="89">
                  <c:v>26.198116198789158</c:v>
                </c:pt>
                <c:pt idx="90">
                  <c:v>26.772087297622189</c:v>
                </c:pt>
                <c:pt idx="91">
                  <c:v>27.351417593693007</c:v>
                </c:pt>
                <c:pt idx="92">
                  <c:v>27.936073271825379</c:v>
                </c:pt>
                <c:pt idx="93">
                  <c:v>28.526020442633673</c:v>
                </c:pt>
                <c:pt idx="94">
                  <c:v>29.121225145391008</c:v>
                </c:pt>
                <c:pt idx="95">
                  <c:v>29.721653350887667</c:v>
                </c:pt>
                <c:pt idx="96">
                  <c:v>30.327270964279183</c:v>
                </c:pt>
                <c:pt idx="97">
                  <c:v>30.938043827923391</c:v>
                </c:pt>
                <c:pt idx="98">
                  <c:v>31.553937724205856</c:v>
                </c:pt>
                <c:pt idx="99">
                  <c:v>32.17491837835302</c:v>
                </c:pt>
                <c:pt idx="100">
                  <c:v>32.800951461232479</c:v>
                </c:pt>
                <c:pt idx="101">
                  <c:v>33.432002592139817</c:v>
                </c:pt>
                <c:pt idx="102">
                  <c:v>34.068037341571383</c:v>
                </c:pt>
                <c:pt idx="103">
                  <c:v>34.709021233982483</c:v>
                </c:pt>
                <c:pt idx="104">
                  <c:v>35.354919750530435</c:v>
                </c:pt>
                <c:pt idx="105">
                  <c:v>36.005698331801931</c:v>
                </c:pt>
                <c:pt idx="106">
                  <c:v>36.66132238052424</c:v>
                </c:pt>
                <c:pt idx="107">
                  <c:v>37.321757264259674</c:v>
                </c:pt>
                <c:pt idx="108">
                  <c:v>37.986968318082909</c:v>
                </c:pt>
                <c:pt idx="109">
                  <c:v>38.656920847240627</c:v>
                </c:pt>
                <c:pt idx="110">
                  <c:v>39.331580129793032</c:v>
                </c:pt>
                <c:pt idx="111">
                  <c:v>40.010911419236784</c:v>
                </c:pt>
                <c:pt idx="112">
                  <c:v>40.694879947108959</c:v>
                </c:pt>
                <c:pt idx="113">
                  <c:v>41.38345092557153</c:v>
                </c:pt>
                <c:pt idx="114">
                  <c:v>42.076589549976063</c:v>
                </c:pt>
                <c:pt idx="115">
                  <c:v>42.774261001408121</c:v>
                </c:pt>
                <c:pt idx="116">
                  <c:v>43.476430449211072</c:v>
                </c:pt>
                <c:pt idx="117">
                  <c:v>44.183063053488922</c:v>
                </c:pt>
                <c:pt idx="118">
                  <c:v>44.894123967587774</c:v>
                </c:pt>
                <c:pt idx="119">
                  <c:v>45.609578340555593</c:v>
                </c:pt>
                <c:pt idx="120">
                  <c:v>46.329391319579969</c:v>
                </c:pt>
                <c:pt idx="121">
                  <c:v>47.053528052403493</c:v>
                </c:pt>
                <c:pt idx="122">
                  <c:v>47.781953689716495</c:v>
                </c:pt>
                <c:pt idx="123">
                  <c:v>48.51463338752685</c:v>
                </c:pt>
                <c:pt idx="124">
                  <c:v>49.251532309506494</c:v>
                </c:pt>
                <c:pt idx="125">
                  <c:v>49.992615629314471</c:v>
                </c:pt>
                <c:pt idx="126">
                  <c:v>50.737848532896201</c:v>
                </c:pt>
                <c:pt idx="127">
                  <c:v>51.487196220758705</c:v>
                </c:pt>
                <c:pt idx="128">
                  <c:v>52.240623910221601</c:v>
                </c:pt>
                <c:pt idx="129">
                  <c:v>52.998096837643573</c:v>
                </c:pt>
                <c:pt idx="130">
                  <c:v>53.75958026062419</c:v>
                </c:pt>
                <c:pt idx="131">
                  <c:v>54.525039460180786</c:v>
                </c:pt>
                <c:pt idx="132">
                  <c:v>55.294439742900238</c:v>
                </c:pt>
                <c:pt idx="133">
                  <c:v>56.067746443065488</c:v>
                </c:pt>
                <c:pt idx="134">
                  <c:v>56.844924924756583</c:v>
                </c:pt>
                <c:pt idx="135">
                  <c:v>57.625940583926138</c:v>
                </c:pt>
                <c:pt idx="136">
                  <c:v>58.410758850449</c:v>
                </c:pt>
                <c:pt idx="137">
                  <c:v>59.199345190146033</c:v>
                </c:pt>
                <c:pt idx="138">
                  <c:v>59.991665106781845</c:v>
                </c:pt>
                <c:pt idx="139">
                  <c:v>60.78768414403639</c:v>
                </c:pt>
                <c:pt idx="140">
                  <c:v>61.587367887450284</c:v>
                </c:pt>
                <c:pt idx="141">
                  <c:v>62.390681966343777</c:v>
                </c:pt>
                <c:pt idx="142">
                  <c:v>63.197592055709251</c:v>
                </c:pt>
                <c:pt idx="143">
                  <c:v>64.008063878077195</c:v>
                </c:pt>
                <c:pt idx="144">
                  <c:v>64.822063205355548</c:v>
                </c:pt>
                <c:pt idx="145">
                  <c:v>65.639555860642417</c:v>
                </c:pt>
                <c:pt idx="146">
                  <c:v>66.46050772001206</c:v>
                </c:pt>
                <c:pt idx="147">
                  <c:v>67.284884714274057</c:v>
                </c:pt>
                <c:pt idx="148">
                  <c:v>68.112652830705727</c:v>
                </c:pt>
                <c:pt idx="149">
                  <c:v>68.943778114757677</c:v>
                </c:pt>
                <c:pt idx="150">
                  <c:v>69.778226671732568</c:v>
                </c:pt>
                <c:pt idx="151">
                  <c:v>70.615964668436916</c:v>
                </c:pt>
                <c:pt idx="152">
                  <c:v>71.456958334806131</c:v>
                </c:pt>
                <c:pt idx="153">
                  <c:v>72.301173965502642</c:v>
                </c:pt>
                <c:pt idx="154">
                  <c:v>73.148577921487203</c:v>
                </c:pt>
                <c:pt idx="155">
                  <c:v>73.999136631563331</c:v>
                </c:pt>
                <c:pt idx="156">
                  <c:v>74.852816593895056</c:v>
                </c:pt>
                <c:pt idx="157">
                  <c:v>75.709584377497791</c:v>
                </c:pt>
                <c:pt idx="158">
                  <c:v>76.56942584895377</c:v>
                </c:pt>
                <c:pt idx="159">
                  <c:v>77.432350912947911</c:v>
                </c:pt>
                <c:pt idx="160">
                  <c:v>78.298374201905489</c:v>
                </c:pt>
                <c:pt idx="161">
                  <c:v>79.167510250941604</c:v>
                </c:pt>
                <c:pt idx="162">
                  <c:v>80.039773497604742</c:v>
                </c:pt>
                <c:pt idx="163">
                  <c:v>80.915178281623454</c:v>
                </c:pt>
                <c:pt idx="164">
                  <c:v>81.793710585891262</c:v>
                </c:pt>
                <c:pt idx="165">
                  <c:v>82.675285738968839</c:v>
                </c:pt>
                <c:pt idx="166">
                  <c:v>83.559776934887225</c:v>
                </c:pt>
                <c:pt idx="167">
                  <c:v>84.447028980639615</c:v>
                </c:pt>
                <c:pt idx="168">
                  <c:v>85.336743127732262</c:v>
                </c:pt>
                <c:pt idx="169">
                  <c:v>86.228506457019563</c:v>
                </c:pt>
                <c:pt idx="170">
                  <c:v>87.121907639794912</c:v>
                </c:pt>
                <c:pt idx="171">
                  <c:v>88.016536973746426</c:v>
                </c:pt>
                <c:pt idx="172">
                  <c:v>88.911986415933924</c:v>
                </c:pt>
                <c:pt idx="173">
                  <c:v>89.807849612823077</c:v>
                </c:pt>
                <c:pt idx="174">
                  <c:v>90.703721927414378</c:v>
                </c:pt>
                <c:pt idx="175">
                  <c:v>91.599200463506833</c:v>
                </c:pt>
                <c:pt idx="176">
                  <c:v>92.493884087137914</c:v>
                </c:pt>
                <c:pt idx="177">
                  <c:v>93.387373445243014</c:v>
                </c:pt>
                <c:pt idx="178">
                  <c:v>94.279270981578861</c:v>
                </c:pt>
                <c:pt idx="179">
                  <c:v>95.169180949957124</c:v>
                </c:pt>
                <c:pt idx="180">
                  <c:v>96.056814500661389</c:v>
                </c:pt>
                <c:pt idx="181">
                  <c:v>96.941989187631137</c:v>
                </c:pt>
                <c:pt idx="182">
                  <c:v>97.824523393133248</c:v>
                </c:pt>
                <c:pt idx="183">
                  <c:v>98.704236323425704</c:v>
                </c:pt>
                <c:pt idx="184">
                  <c:v>99.581015459762511</c:v>
                </c:pt>
                <c:pt idx="185">
                  <c:v>100.45484513987745</c:v>
                </c:pt>
                <c:pt idx="186">
                  <c:v>101.32573864070235</c:v>
                </c:pt>
                <c:pt idx="187">
                  <c:v>102.19370913345134</c:v>
                </c:pt>
                <c:pt idx="188">
                  <c:v>103.05876968472141</c:v>
                </c:pt>
                <c:pt idx="189">
                  <c:v>103.92093325757882</c:v>
                </c:pt>
                <c:pt idx="190">
                  <c:v>104.78021271263111</c:v>
                </c:pt>
                <c:pt idx="191">
                  <c:v>105.63662080908526</c:v>
                </c:pt>
                <c:pt idx="192">
                  <c:v>106.49017020579207</c:v>
                </c:pt>
                <c:pt idx="193">
                  <c:v>107.34087346227705</c:v>
                </c:pt>
                <c:pt idx="194">
                  <c:v>108.18874303975794</c:v>
                </c:pt>
                <c:pt idx="195">
                  <c:v>109.03379130214917</c:v>
                </c:pt>
                <c:pt idx="196">
                  <c:v>109.87603051705337</c:v>
                </c:pt>
                <c:pt idx="197">
                  <c:v>110.71547285674016</c:v>
                </c:pt>
                <c:pt idx="198">
                  <c:v>111.55213039911251</c:v>
                </c:pt>
                <c:pt idx="199">
                  <c:v>112.38601512866065</c:v>
                </c:pt>
                <c:pt idx="200">
                  <c:v>113.21713893740392</c:v>
                </c:pt>
                <c:pt idx="201">
                  <c:v>121.37743989300272</c:v>
                </c:pt>
                <c:pt idx="202">
                  <c:v>129.26915840943906</c:v>
                </c:pt>
                <c:pt idx="203">
                  <c:v>136.90335100801678</c:v>
                </c:pt>
                <c:pt idx="204">
                  <c:v>144.29026049480095</c:v>
                </c:pt>
                <c:pt idx="205">
                  <c:v>151.43939243205682</c:v>
                </c:pt>
                <c:pt idx="206">
                  <c:v>158.35958270172321</c:v>
                </c:pt>
                <c:pt idx="207">
                  <c:v>165.05905738090735</c:v>
                </c:pt>
                <c:pt idx="208">
                  <c:v>171.54548595799542</c:v>
                </c:pt>
                <c:pt idx="209">
                  <c:v>177.82602876024026</c:v>
                </c:pt>
                <c:pt idx="210">
                  <c:v>183.90737933308407</c:v>
                </c:pt>
                <c:pt idx="211">
                  <c:v>189.79580240284557</c:v>
                </c:pt>
                <c:pt idx="212">
                  <c:v>195.49716796366587</c:v>
                </c:pt>
                <c:pt idx="213">
                  <c:v>201.01698195350619</c:v>
                </c:pt>
                <c:pt idx="214">
                  <c:v>206.36041391991728</c:v>
                </c:pt>
                <c:pt idx="215">
                  <c:v>211.53232202215091</c:v>
                </c:pt>
                <c:pt idx="216">
                  <c:v>216.53727567025916</c:v>
                </c:pt>
                <c:pt idx="217">
                  <c:v>221.37957606274551</c:v>
                </c:pt>
                <c:pt idx="218">
                  <c:v>226.06327485096458</c:v>
                </c:pt>
                <c:pt idx="219">
                  <c:v>230.59219112989055</c:v>
                </c:pt>
                <c:pt idx="220">
                  <c:v>234.96992693032703</c:v>
                </c:pt>
                <c:pt idx="221">
                  <c:v>239.19988136648496</c:v>
                </c:pt>
                <c:pt idx="222">
                  <c:v>243.28526357459015</c:v>
                </c:pt>
                <c:pt idx="223">
                  <c:v>247.22910456236411</c:v>
                </c:pt>
                <c:pt idx="224">
                  <c:v>251.03426807549025</c:v>
                </c:pt>
                <c:pt idx="225">
                  <c:v>254.70346057523042</c:v>
                </c:pt>
                <c:pt idx="226">
                  <c:v>258.23924041094114</c:v>
                </c:pt>
                <c:pt idx="227">
                  <c:v>261.64402626213899</c:v>
                </c:pt>
                <c:pt idx="228">
                  <c:v>264.92010491680662</c:v>
                </c:pt>
                <c:pt idx="229">
                  <c:v>268.06963844565797</c:v>
                </c:pt>
                <c:pt idx="230">
                  <c:v>271.09467082597052</c:v>
                </c:pt>
                <c:pt idx="231">
                  <c:v>273.99713406323673</c:v>
                </c:pt>
                <c:pt idx="232">
                  <c:v>276.77885385419501</c:v>
                </c:pt>
                <c:pt idx="233">
                  <c:v>279.4415548307017</c:v>
                </c:pt>
                <c:pt idx="234">
                  <c:v>281.98686542033994</c:v>
                </c:pt>
                <c:pt idx="235">
                  <c:v>284.41632235657846</c:v>
                </c:pt>
                <c:pt idx="236">
                  <c:v>286.73137486866523</c:v>
                </c:pt>
                <c:pt idx="237">
                  <c:v>288.93338857923601</c:v>
                </c:pt>
                <c:pt idx="238">
                  <c:v>291.02364913583546</c:v>
                </c:pt>
                <c:pt idx="239">
                  <c:v>293.00336560118114</c:v>
                </c:pt>
                <c:pt idx="240">
                  <c:v>294.87367362607557</c:v>
                </c:pt>
                <c:pt idx="241">
                  <c:v>296.63563842841364</c:v>
                </c:pt>
                <c:pt idx="242">
                  <c:v>298.29025760179991</c:v>
                </c:pt>
                <c:pt idx="243">
                  <c:v>299.83846377795135</c:v>
                </c:pt>
                <c:pt idx="244">
                  <c:v>301.28112716841173</c:v>
                </c:pt>
                <c:pt idx="245">
                  <c:v>302.61905801325429</c:v>
                </c:pt>
                <c:pt idx="246">
                  <c:v>303.85300896752813</c:v>
                </c:pt>
                <c:pt idx="247">
                  <c:v>304.98367746033074</c:v>
                </c:pt>
                <c:pt idx="248">
                  <c:v>306.01170806664669</c:v>
                </c:pt>
                <c:pt idx="249">
                  <c:v>306.93769493846571</c:v>
                </c:pt>
                <c:pt idx="250">
                  <c:v>307.76218434896589</c:v>
                </c:pt>
                <c:pt idx="251">
                  <c:v>308.48567741115079</c:v>
                </c:pt>
                <c:pt idx="252">
                  <c:v>309.10863303915647</c:v>
                </c:pt>
                <c:pt idx="253">
                  <c:v>309.6314712246342</c:v>
                </c:pt>
                <c:pt idx="254">
                  <c:v>310.05457669944644</c:v>
                </c:pt>
                <c:pt idx="255">
                  <c:v>310.37830304596787</c:v>
                </c:pt>
                <c:pt idx="256">
                  <c:v>310.60297729410752</c:v>
                </c:pt>
                <c:pt idx="257">
                  <c:v>310.72890500764521</c:v>
                </c:pt>
                <c:pt idx="258">
                  <c:v>310.75637581267</c:v>
                </c:pt>
                <c:pt idx="259">
                  <c:v>310.68566926365179</c:v>
                </c:pt>
                <c:pt idx="260">
                  <c:v>310.5170608885864</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er>
        <c:ser>
          <c:idx val="6"/>
          <c:order val="5"/>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SerName val="1"/>
          </c:dLbls>
          <c:xVal>
            <c:numRef>
              <c:f>Trajecto!$D$155</c:f>
              <c:numCache>
                <c:formatCode>0</c:formatCode>
                <c:ptCount val="1"/>
                <c:pt idx="0">
                  <c:v>27.080719808702078</c:v>
                </c:pt>
              </c:numCache>
            </c:numRef>
          </c:xVal>
          <c:yVal>
            <c:numRef>
              <c:f>Trajecto!$C$155</c:f>
              <c:numCache>
                <c:formatCode>0</c:formatCode>
                <c:ptCount val="1"/>
                <c:pt idx="0">
                  <c:v>155.2585304442932</c:v>
                </c:pt>
              </c:numCache>
            </c:numRef>
          </c:yVal>
        </c:ser>
        <c:ser>
          <c:idx val="7"/>
          <c:order val="6"/>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SerName val="1"/>
          </c:dLbls>
          <c:xVal>
            <c:numRef>
              <c:f>Trajecto!$D$156</c:f>
              <c:numCache>
                <c:formatCode>0</c:formatCode>
                <c:ptCount val="1"/>
                <c:pt idx="0">
                  <c:v>157.80575533864081</c:v>
                </c:pt>
              </c:numCache>
            </c:numRef>
          </c:xVal>
          <c:yVal>
            <c:numRef>
              <c:f>Trajecto!$C$156</c:f>
              <c:numCache>
                <c:formatCode>0</c:formatCode>
                <c:ptCount val="1"/>
                <c:pt idx="0">
                  <c:v>155.3644525038226</c:v>
                </c:pt>
              </c:numCache>
            </c:numRef>
          </c:yVal>
        </c:ser>
        <c:ser>
          <c:idx val="8"/>
          <c:order val="7"/>
          <c:tx>
            <c:strRef>
              <c:f>Trajecto!$D$158</c:f>
              <c:strCache>
                <c:ptCount val="1"/>
                <c:pt idx="0">
                  <c:v>Arc de triomphe</c:v>
                </c:pt>
              </c:strCache>
            </c:strRef>
          </c:tx>
          <c:spPr>
            <a:ln>
              <a:solidFill>
                <a:srgbClr val="C0C0C0"/>
              </a:solidFill>
            </a:ln>
          </c:spPr>
          <c:marker>
            <c:symbol val="none"/>
          </c:marker>
          <c:dLbls>
            <c:dLbl>
              <c:idx val="8"/>
              <c:layout/>
              <c:tx>
                <c:strRef>
                  <c:f>Trajecto!$D$158</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dLbl>
            <c:delete val="1"/>
          </c:dLbls>
          <c:xVal>
            <c:numRef>
              <c:f>Trajecto!$D$159:$D$174</c:f>
              <c:numCache>
                <c:formatCode>0</c:formatCode>
                <c:ptCount val="16"/>
                <c:pt idx="0">
                  <c:v>104.88967833646588</c:v>
                </c:pt>
                <c:pt idx="1">
                  <c:v>127.88967833646588</c:v>
                </c:pt>
                <c:pt idx="2">
                  <c:v>127.88967833646588</c:v>
                </c:pt>
                <c:pt idx="3">
                  <c:v>104.88967833646588</c:v>
                </c:pt>
                <c:pt idx="4">
                  <c:v>127.88967833646588</c:v>
                </c:pt>
                <c:pt idx="5">
                  <c:v>127.88967833646588</c:v>
                </c:pt>
                <c:pt idx="6">
                  <c:v>112.88967833646588</c:v>
                </c:pt>
                <c:pt idx="7">
                  <c:v>112.88967833646588</c:v>
                </c:pt>
                <c:pt idx="8">
                  <c:v>127.88967833646588</c:v>
                </c:pt>
                <c:pt idx="9">
                  <c:v>112.88967833646588</c:v>
                </c:pt>
                <c:pt idx="10">
                  <c:v>112.48967833646587</c:v>
                </c:pt>
                <c:pt idx="11">
                  <c:v>111.68967833646587</c:v>
                </c:pt>
                <c:pt idx="12">
                  <c:v>110.88967833646588</c:v>
                </c:pt>
                <c:pt idx="13">
                  <c:v>109.88967833646588</c:v>
                </c:pt>
                <c:pt idx="14">
                  <c:v>108.68967833646587</c:v>
                </c:pt>
                <c:pt idx="15">
                  <c:v>104.88967833646588</c:v>
                </c:pt>
              </c:numCache>
            </c:numRef>
          </c:xVal>
          <c:yVal>
            <c:numRef>
              <c:f>Trajecto!$B$161:$B$176</c:f>
              <c:numCache>
                <c:formatCode>General</c:formatCode>
                <c:ptCount val="16"/>
                <c:pt idx="0">
                  <c:v>49</c:v>
                </c:pt>
                <c:pt idx="1">
                  <c:v>49</c:v>
                </c:pt>
                <c:pt idx="2">
                  <c:v>43</c:v>
                </c:pt>
                <c:pt idx="3">
                  <c:v>43</c:v>
                </c:pt>
                <c:pt idx="4">
                  <c:v>43</c:v>
                </c:pt>
                <c:pt idx="5">
                  <c:v>0.5</c:v>
                </c:pt>
                <c:pt idx="6">
                  <c:v>0.5</c:v>
                </c:pt>
                <c:pt idx="7">
                  <c:v>27</c:v>
                </c:pt>
                <c:pt idx="8">
                  <c:v>27</c:v>
                </c:pt>
                <c:pt idx="9">
                  <c:v>27</c:v>
                </c:pt>
                <c:pt idx="10">
                  <c:v>29</c:v>
                </c:pt>
                <c:pt idx="11">
                  <c:v>31</c:v>
                </c:pt>
                <c:pt idx="12">
                  <c:v>32</c:v>
                </c:pt>
                <c:pt idx="13">
                  <c:v>33</c:v>
                </c:pt>
                <c:pt idx="14">
                  <c:v>34</c:v>
                </c:pt>
                <c:pt idx="15">
                  <c:v>35</c:v>
                </c:pt>
              </c:numCache>
            </c:numRef>
          </c:yVal>
        </c:ser>
        <c:ser>
          <c:idx val="9"/>
          <c:order val="8"/>
          <c:tx>
            <c:strRef>
              <c:f>Trajecto!$F$158</c:f>
              <c:strCache>
                <c:ptCount val="1"/>
                <c:pt idx="0">
                  <c:v>Arc de triomphe</c:v>
                </c:pt>
              </c:strCache>
            </c:strRef>
          </c:tx>
          <c:spPr>
            <a:ln>
              <a:solidFill>
                <a:srgbClr val="C0C0C0"/>
              </a:solidFill>
            </a:ln>
          </c:spPr>
          <c:marker>
            <c:symbol val="none"/>
          </c:marker>
          <c:xVal>
            <c:numRef>
              <c:f>Trajecto!$F$159:$F$174</c:f>
              <c:numCache>
                <c:formatCode>0</c:formatCode>
                <c:ptCount val="16"/>
                <c:pt idx="0">
                  <c:v>104.88967833646588</c:v>
                </c:pt>
                <c:pt idx="1">
                  <c:v>81.889678336465877</c:v>
                </c:pt>
                <c:pt idx="2">
                  <c:v>81.889678336465877</c:v>
                </c:pt>
                <c:pt idx="3">
                  <c:v>104.88967833646588</c:v>
                </c:pt>
                <c:pt idx="4">
                  <c:v>81.889678336465877</c:v>
                </c:pt>
                <c:pt idx="5">
                  <c:v>81.889678336465877</c:v>
                </c:pt>
                <c:pt idx="6">
                  <c:v>96.889678336465877</c:v>
                </c:pt>
                <c:pt idx="7">
                  <c:v>96.889678336465877</c:v>
                </c:pt>
                <c:pt idx="8">
                  <c:v>81.889678336465877</c:v>
                </c:pt>
                <c:pt idx="9">
                  <c:v>96.889678336465877</c:v>
                </c:pt>
                <c:pt idx="10">
                  <c:v>97.289678336465883</c:v>
                </c:pt>
                <c:pt idx="11">
                  <c:v>98.08967833646588</c:v>
                </c:pt>
                <c:pt idx="12">
                  <c:v>98.889678336465877</c:v>
                </c:pt>
                <c:pt idx="13">
                  <c:v>99.889678336465877</c:v>
                </c:pt>
                <c:pt idx="14">
                  <c:v>101.08967833646588</c:v>
                </c:pt>
                <c:pt idx="15">
                  <c:v>104.88967833646588</c:v>
                </c:pt>
              </c:numCache>
            </c:numRef>
          </c:xVal>
          <c:yVal>
            <c:numRef>
              <c:f>Trajecto!$B$161:$B$176</c:f>
              <c:numCache>
                <c:formatCode>General</c:formatCode>
                <c:ptCount val="16"/>
                <c:pt idx="0">
                  <c:v>49</c:v>
                </c:pt>
                <c:pt idx="1">
                  <c:v>49</c:v>
                </c:pt>
                <c:pt idx="2">
                  <c:v>43</c:v>
                </c:pt>
                <c:pt idx="3">
                  <c:v>43</c:v>
                </c:pt>
                <c:pt idx="4">
                  <c:v>43</c:v>
                </c:pt>
                <c:pt idx="5">
                  <c:v>0.5</c:v>
                </c:pt>
                <c:pt idx="6">
                  <c:v>0.5</c:v>
                </c:pt>
                <c:pt idx="7">
                  <c:v>27</c:v>
                </c:pt>
                <c:pt idx="8">
                  <c:v>27</c:v>
                </c:pt>
                <c:pt idx="9">
                  <c:v>27</c:v>
                </c:pt>
                <c:pt idx="10">
                  <c:v>29</c:v>
                </c:pt>
                <c:pt idx="11">
                  <c:v>31</c:v>
                </c:pt>
                <c:pt idx="12">
                  <c:v>32</c:v>
                </c:pt>
                <c:pt idx="13">
                  <c:v>33</c:v>
                </c:pt>
                <c:pt idx="14">
                  <c:v>34</c:v>
                </c:pt>
                <c:pt idx="15">
                  <c:v>35</c:v>
                </c:pt>
              </c:numCache>
            </c:numRef>
          </c:yVal>
        </c:ser>
        <c:ser>
          <c:idx val="10"/>
          <c:order val="9"/>
          <c:tx>
            <c:strRef>
              <c:f>Trajecto!$D$176</c:f>
              <c:strCache>
                <c:ptCount val="1"/>
                <c:pt idx="0">
                  <c:v>Tour Eiffel</c:v>
                </c:pt>
              </c:strCache>
            </c:strRef>
          </c:tx>
          <c:spPr>
            <a:ln>
              <a:solidFill>
                <a:srgbClr val="C0C0C0"/>
              </a:solidFill>
            </a:ln>
          </c:spPr>
          <c:marker>
            <c:symbol val="none"/>
          </c:marker>
          <c:dLbls>
            <c:dLbl>
              <c:idx val="6"/>
              <c:layout/>
              <c:tx>
                <c:strRef>
                  <c:f>Trajecto!$D$176</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dLbl>
            <c:delete val="1"/>
          </c:dLbls>
          <c:xVal>
            <c:numRef>
              <c:f>Trajecto!$D$177:$D$193</c:f>
              <c:numCache>
                <c:formatCode>0</c:formatCode>
                <c:ptCount val="17"/>
                <c:pt idx="0">
                  <c:v>104.88967833646588</c:v>
                </c:pt>
                <c:pt idx="1">
                  <c:v>104.88967833646588</c:v>
                </c:pt>
                <c:pt idx="2">
                  <c:v>114.88967833646588</c:v>
                </c:pt>
                <c:pt idx="3">
                  <c:v>104.88967833646588</c:v>
                </c:pt>
                <c:pt idx="4">
                  <c:v>114.88967833646588</c:v>
                </c:pt>
                <c:pt idx="5">
                  <c:v>117.88967833646588</c:v>
                </c:pt>
                <c:pt idx="6">
                  <c:v>121.88967833646588</c:v>
                </c:pt>
                <c:pt idx="7">
                  <c:v>124.88967833646588</c:v>
                </c:pt>
                <c:pt idx="8">
                  <c:v>129.88967833646586</c:v>
                </c:pt>
                <c:pt idx="9">
                  <c:v>134.88967833646586</c:v>
                </c:pt>
                <c:pt idx="10">
                  <c:v>140.88967833646586</c:v>
                </c:pt>
                <c:pt idx="11">
                  <c:v>152.88967833646586</c:v>
                </c:pt>
                <c:pt idx="12">
                  <c:v>166.88967833646586</c:v>
                </c:pt>
                <c:pt idx="13">
                  <c:v>141.88967833646586</c:v>
                </c:pt>
                <c:pt idx="14">
                  <c:v>134.88967833646586</c:v>
                </c:pt>
                <c:pt idx="15">
                  <c:v>119.88967833646588</c:v>
                </c:pt>
                <c:pt idx="16">
                  <c:v>104.88967833646588</c:v>
                </c:pt>
              </c:numCache>
            </c:numRef>
          </c:xVal>
          <c:yVal>
            <c:numRef>
              <c:f>Trajecto!$B$179:$B$195</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yVal>
        </c:ser>
        <c:ser>
          <c:idx val="11"/>
          <c:order val="10"/>
          <c:tx>
            <c:strRef>
              <c:f>Trajecto!$F$176</c:f>
              <c:strCache>
                <c:ptCount val="1"/>
                <c:pt idx="0">
                  <c:v>Tour Eiffel</c:v>
                </c:pt>
              </c:strCache>
            </c:strRef>
          </c:tx>
          <c:spPr>
            <a:ln>
              <a:solidFill>
                <a:srgbClr val="C0C0C0"/>
              </a:solidFill>
            </a:ln>
          </c:spPr>
          <c:marker>
            <c:symbol val="none"/>
          </c:marker>
          <c:xVal>
            <c:numRef>
              <c:f>Trajecto!$F$177:$F$193</c:f>
              <c:numCache>
                <c:formatCode>0</c:formatCode>
                <c:ptCount val="17"/>
                <c:pt idx="0">
                  <c:v>104.88967833646588</c:v>
                </c:pt>
                <c:pt idx="1">
                  <c:v>104.88967833646588</c:v>
                </c:pt>
                <c:pt idx="2">
                  <c:v>94.889678336465877</c:v>
                </c:pt>
                <c:pt idx="3">
                  <c:v>104.88967833646588</c:v>
                </c:pt>
                <c:pt idx="4">
                  <c:v>94.889678336465877</c:v>
                </c:pt>
                <c:pt idx="5">
                  <c:v>91.889678336465877</c:v>
                </c:pt>
                <c:pt idx="6">
                  <c:v>87.889678336465877</c:v>
                </c:pt>
                <c:pt idx="7">
                  <c:v>84.889678336465877</c:v>
                </c:pt>
                <c:pt idx="8">
                  <c:v>79.889678336465877</c:v>
                </c:pt>
                <c:pt idx="9">
                  <c:v>74.889678336465877</c:v>
                </c:pt>
                <c:pt idx="10">
                  <c:v>68.889678336465877</c:v>
                </c:pt>
                <c:pt idx="11">
                  <c:v>56.889678336465877</c:v>
                </c:pt>
                <c:pt idx="12">
                  <c:v>42.889678336465877</c:v>
                </c:pt>
                <c:pt idx="13">
                  <c:v>67.889678336465877</c:v>
                </c:pt>
                <c:pt idx="14">
                  <c:v>74.889678336465877</c:v>
                </c:pt>
                <c:pt idx="15">
                  <c:v>89.889678336465877</c:v>
                </c:pt>
                <c:pt idx="16">
                  <c:v>104.88967833646588</c:v>
                </c:pt>
              </c:numCache>
            </c:numRef>
          </c:xVal>
          <c:yVal>
            <c:numRef>
              <c:f>Trajecto!$B$179:$B$195</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yVal>
        </c:ser>
        <c:ser>
          <c:idx val="12"/>
          <c:order val="11"/>
          <c:tx>
            <c:strRef>
              <c:f>Trajecto!$D$176</c:f>
              <c:strCache>
                <c:ptCount val="1"/>
                <c:pt idx="0">
                  <c:v>Tour Eiffel</c:v>
                </c:pt>
              </c:strCache>
            </c:strRef>
          </c:tx>
          <c:spPr>
            <a:ln>
              <a:solidFill>
                <a:srgbClr val="C0C0C0"/>
              </a:solidFill>
            </a:ln>
          </c:spPr>
          <c:marker>
            <c:symbol val="none"/>
          </c:marker>
          <c:xVal>
            <c:numRef>
              <c:f>Trajecto!$D$194:$D$197</c:f>
              <c:numCache>
                <c:formatCode>0</c:formatCode>
                <c:ptCount val="4"/>
                <c:pt idx="0">
                  <c:v>104.88967833646588</c:v>
                </c:pt>
                <c:pt idx="1">
                  <c:v>121.88967833646588</c:v>
                </c:pt>
                <c:pt idx="2">
                  <c:v>115.88967833646588</c:v>
                </c:pt>
                <c:pt idx="3">
                  <c:v>104.88967833646588</c:v>
                </c:pt>
              </c:numCache>
            </c:numRef>
          </c:xVal>
          <c:yVal>
            <c:numRef>
              <c:f>Trajecto!$B$196:$B$199</c:f>
              <c:numCache>
                <c:formatCode>General</c:formatCode>
                <c:ptCount val="4"/>
                <c:pt idx="0">
                  <c:v>#N/A</c:v>
                </c:pt>
                <c:pt idx="1">
                  <c:v>#N/A</c:v>
                </c:pt>
                <c:pt idx="2">
                  <c:v>#N/A</c:v>
                </c:pt>
                <c:pt idx="3">
                  <c:v>#N/A</c:v>
                </c:pt>
              </c:numCache>
            </c:numRef>
          </c:yVal>
        </c:ser>
        <c:ser>
          <c:idx val="13"/>
          <c:order val="12"/>
          <c:tx>
            <c:strRef>
              <c:f>Trajecto!$F$176</c:f>
              <c:strCache>
                <c:ptCount val="1"/>
                <c:pt idx="0">
                  <c:v>Tour Eiffel</c:v>
                </c:pt>
              </c:strCache>
            </c:strRef>
          </c:tx>
          <c:spPr>
            <a:ln>
              <a:solidFill>
                <a:srgbClr val="C0C0C0"/>
              </a:solidFill>
            </a:ln>
          </c:spPr>
          <c:marker>
            <c:symbol val="none"/>
          </c:marker>
          <c:xVal>
            <c:numRef>
              <c:f>Trajecto!$F$194:$F$197</c:f>
              <c:numCache>
                <c:formatCode>0</c:formatCode>
                <c:ptCount val="4"/>
                <c:pt idx="0">
                  <c:v>104.88967833646588</c:v>
                </c:pt>
                <c:pt idx="1">
                  <c:v>87.889678336465877</c:v>
                </c:pt>
                <c:pt idx="2">
                  <c:v>93.889678336465877</c:v>
                </c:pt>
                <c:pt idx="3">
                  <c:v>104.88967833646588</c:v>
                </c:pt>
              </c:numCache>
            </c:numRef>
          </c:xVal>
          <c:yVal>
            <c:numRef>
              <c:f>Trajecto!$B$196:$B$199</c:f>
              <c:numCache>
                <c:formatCode>General</c:formatCode>
                <c:ptCount val="4"/>
                <c:pt idx="0">
                  <c:v>#N/A</c:v>
                </c:pt>
                <c:pt idx="1">
                  <c:v>#N/A</c:v>
                </c:pt>
                <c:pt idx="2">
                  <c:v>#N/A</c:v>
                </c:pt>
                <c:pt idx="3">
                  <c:v>#N/A</c:v>
                </c:pt>
              </c:numCache>
            </c:numRef>
          </c:yVal>
        </c:ser>
        <c:ser>
          <c:idx val="3"/>
          <c:order val="13"/>
          <c:tx>
            <c:strRef>
              <c:f>Trajecto!$B$108</c:f>
              <c:strCache>
                <c:ptCount val="1"/>
                <c:pt idx="0">
                  <c:v>Fusée sous parachute</c:v>
                </c:pt>
              </c:strCache>
            </c:strRef>
          </c:tx>
          <c:spPr>
            <a:ln>
              <a:solidFill>
                <a:srgbClr val="008000"/>
              </a:solidFill>
            </a:ln>
          </c:spPr>
          <c:marker>
            <c:symbol val="none"/>
          </c:marker>
          <c:dLbls>
            <c:dLbl>
              <c:idx val="1"/>
              <c:layout/>
              <c:tx>
                <c:strRef>
                  <c:f>Trajecto!$B$108</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dLbl>
            <c:delete val="1"/>
          </c:dLbls>
          <c:xVal>
            <c:numRef>
              <c:f>Trajecto!$B$123:$B$129</c:f>
              <c:numCache>
                <c:formatCode>0</c:formatCode>
                <c:ptCount val="7"/>
                <c:pt idx="0">
                  <c:v>108.32287923480831</c:v>
                </c:pt>
                <c:pt idx="1">
                  <c:v>108.32287923480831</c:v>
                </c:pt>
                <c:pt idx="2">
                  <c:v>108.32287923480831</c:v>
                </c:pt>
                <c:pt idx="3">
                  <c:v>116.08580575702297</c:v>
                </c:pt>
                <c:pt idx="4">
                  <c:v>108.32287923480831</c:v>
                </c:pt>
                <c:pt idx="5">
                  <c:v>100.55995271259366</c:v>
                </c:pt>
                <c:pt idx="6">
                  <c:v>108.32287923480831</c:v>
                </c:pt>
              </c:numCache>
            </c:numRef>
          </c:xVal>
          <c:yVal>
            <c:numRef>
              <c:f>Trajecto!$C$121:$C$127</c:f>
              <c:numCache>
                <c:formatCode>0</c:formatCode>
                <c:ptCount val="7"/>
                <c:pt idx="0">
                  <c:v>310.5170608885864</c:v>
                </c:pt>
                <c:pt idx="1">
                  <c:v>155.2585304442932</c:v>
                </c:pt>
                <c:pt idx="2">
                  <c:v>0</c:v>
                </c:pt>
                <c:pt idx="3">
                  <c:v>15.52585304442932</c:v>
                </c:pt>
                <c:pt idx="4">
                  <c:v>0</c:v>
                </c:pt>
                <c:pt idx="5">
                  <c:v>15.52585304442932</c:v>
                </c:pt>
                <c:pt idx="6" formatCode="General">
                  <c:v>0</c:v>
                </c:pt>
              </c:numCache>
            </c:numRef>
          </c:yVal>
        </c:ser>
        <c:axId val="148241024"/>
        <c:axId val="149054208"/>
      </c:scatterChart>
      <c:valAx>
        <c:axId val="148241024"/>
        <c:scaling>
          <c:orientation val="minMax"/>
          <c:min val="0"/>
        </c:scaling>
        <c:axPos val="b"/>
        <c:majorGridlines>
          <c:spPr>
            <a:ln w="3175">
              <a:solidFill>
                <a:srgbClr val="000000"/>
              </a:solidFill>
              <a:prstDash val="sysDash"/>
            </a:ln>
          </c:spPr>
        </c:majorGridlines>
        <c:title>
          <c:tx>
            <c:strRef>
              <c:f>Trajecto!$B$111</c:f>
              <c:strCache>
                <c:ptCount val="1"/>
                <c:pt idx="0">
                  <c:v>Portée x [m]</c:v>
                </c:pt>
              </c:strCache>
            </c:strRef>
          </c:tx>
          <c:layout>
            <c:manualLayout>
              <c:xMode val="edge"/>
              <c:yMode val="edge"/>
              <c:x val="0.56464627732344286"/>
              <c:y val="0.84829693458129063"/>
            </c:manualLayout>
          </c:layout>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spPr>
            <a:noFill/>
            <a:ln w="25400">
              <a:noFill/>
            </a:ln>
          </c:spPr>
        </c:title>
        <c:numFmt formatCode="General" sourceLinked="0"/>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strRef>
          <c:f>Trajecto!$B$113</c:f>
          <c:strCache>
            <c:ptCount val="1"/>
            <c:pt idx="0">
              <c:v>Altitude z  /  Temps</c:v>
            </c:pt>
          </c:strCache>
        </c:strRef>
      </c:tx>
      <c:layout>
        <c:manualLayout>
          <c:xMode val="edge"/>
          <c:yMode val="edge"/>
          <c:x val="0.57666688909649"/>
          <c:y val="3.7151818286865097E-2"/>
        </c:manualLayout>
      </c:layout>
      <c:spPr>
        <a:noFill/>
        <a:ln w="25400">
          <a:noFill/>
        </a:ln>
      </c:spPr>
      <c:txPr>
        <a:bodyPr/>
        <a:lstStyle/>
        <a:p>
          <a:pPr>
            <a:defRPr sz="800" b="1" i="0" u="none" strike="noStrike" baseline="0">
              <a:solidFill>
                <a:srgbClr val="0000FF"/>
              </a:solidFill>
              <a:latin typeface="Arial"/>
              <a:ea typeface="Arial"/>
              <a:cs typeface="Arial"/>
            </a:defRPr>
          </a:pPr>
          <a:endParaRPr lang="fr-FR"/>
        </a:p>
      </c:txPr>
    </c:title>
    <c:plotArea>
      <c:layout>
        <c:manualLayout>
          <c:layoutTarget val="inner"/>
          <c:xMode val="edge"/>
          <c:yMode val="edge"/>
          <c:x val="7.6666916233451413E-2"/>
          <c:y val="3.5608360198500402E-2"/>
          <c:w val="0.89333624132890843"/>
          <c:h val="0.89614373166225958"/>
        </c:manualLayout>
      </c:layout>
      <c:scatterChart>
        <c:scatterStyle val="lineMarker"/>
        <c:ser>
          <c:idx val="4"/>
          <c:order val="0"/>
          <c:tx>
            <c:v>Point invisible pour mise à l'echelle</c:v>
          </c:tx>
          <c:spPr>
            <a:ln w="28575">
              <a:noFill/>
            </a:ln>
          </c:spPr>
          <c:marker>
            <c:symbol val="none"/>
          </c:marker>
          <c:xVal>
            <c:numLit>
              <c:formatCode>General</c:formatCode>
              <c:ptCount val="1"/>
              <c:pt idx="0">
                <c:v>0</c:v>
              </c:pt>
            </c:numLit>
          </c:xVal>
          <c:yVal>
            <c:numRef>
              <c:f>Trajecto!$B$120</c:f>
              <c:numCache>
                <c:formatCode>0</c:formatCode>
                <c:ptCount val="1"/>
                <c:pt idx="0">
                  <c:v>310.72890500764521</c:v>
                </c:pt>
              </c:numCache>
            </c:numRef>
          </c:yVal>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1.072892741762712E-3</c:v>
                </c:pt>
                <c:pt idx="2">
                  <c:v>7.2351927811420786E-3</c:v>
                </c:pt>
                <c:pt idx="3">
                  <c:v>2.3530778934193496E-2</c:v>
                </c:pt>
                <c:pt idx="4">
                  <c:v>5.0766950166213465E-2</c:v>
                </c:pt>
                <c:pt idx="5">
                  <c:v>8.635542859419712E-2</c:v>
                </c:pt>
                <c:pt idx="6">
                  <c:v>0.12818107940988069</c:v>
                </c:pt>
                <c:pt idx="7">
                  <c:v>0.17535088098540064</c:v>
                </c:pt>
                <c:pt idx="8">
                  <c:v>0.22789845747226903</c:v>
                </c:pt>
                <c:pt idx="9">
                  <c:v>0.28603749780814081</c:v>
                </c:pt>
                <c:pt idx="10">
                  <c:v>0.34998174114909841</c:v>
                </c:pt>
                <c:pt idx="11">
                  <c:v>0.41987674107719297</c:v>
                </c:pt>
                <c:pt idx="12">
                  <c:v>0.49579979276688169</c:v>
                </c:pt>
                <c:pt idx="13">
                  <c:v>0.57782808871137048</c:v>
                </c:pt>
                <c:pt idx="14">
                  <c:v>0.66603871299013173</c:v>
                </c:pt>
                <c:pt idx="15">
                  <c:v>0.7605086354537719</c:v>
                </c:pt>
                <c:pt idx="16">
                  <c:v>0.86131470582715164</c:v>
                </c:pt>
                <c:pt idx="17">
                  <c:v>0.96853364773170481</c:v>
                </c:pt>
                <c:pt idx="18">
                  <c:v>1.0822420526279484</c:v>
                </c:pt>
                <c:pt idx="19">
                  <c:v>1.2025163736792197</c:v>
                </c:pt>
                <c:pt idx="20">
                  <c:v>1.3294329195377239</c:v>
                </c:pt>
                <c:pt idx="21">
                  <c:v>1.4630678480540187</c:v>
                </c:pt>
                <c:pt idx="22">
                  <c:v>1.6034889803670815</c:v>
                </c:pt>
                <c:pt idx="23">
                  <c:v>1.7507366943596958</c:v>
                </c:pt>
                <c:pt idx="24">
                  <c:v>1.9048320799354088</c:v>
                </c:pt>
                <c:pt idx="25">
                  <c:v>2.0657960170354097</c:v>
                </c:pt>
                <c:pt idx="26">
                  <c:v>2.2336491735297295</c:v>
                </c:pt>
                <c:pt idx="27">
                  <c:v>2.4084120031271685</c:v>
                </c:pt>
                <c:pt idx="28">
                  <c:v>2.5901047433045332</c:v>
                </c:pt>
                <c:pt idx="29">
                  <c:v>2.7787326159599739</c:v>
                </c:pt>
                <c:pt idx="30">
                  <c:v>2.9743000181727588</c:v>
                </c:pt>
                <c:pt idx="31">
                  <c:v>3.1768253225665628</c:v>
                </c:pt>
                <c:pt idx="32">
                  <c:v>3.3863266944319115</c:v>
                </c:pt>
                <c:pt idx="33">
                  <c:v>3.6028220959421331</c:v>
                </c:pt>
                <c:pt idx="34">
                  <c:v>3.8263292829822326</c:v>
                </c:pt>
                <c:pt idx="35">
                  <c:v>4.0568636750422051</c:v>
                </c:pt>
                <c:pt idx="36">
                  <c:v>4.2944192020993182</c:v>
                </c:pt>
                <c:pt idx="37">
                  <c:v>4.5389704290437773</c:v>
                </c:pt>
                <c:pt idx="38">
                  <c:v>4.7904917052703091</c:v>
                </c:pt>
                <c:pt idx="39">
                  <c:v>5.0489571659514167</c:v>
                </c:pt>
                <c:pt idx="40">
                  <c:v>5.3143407334395389</c:v>
                </c:pt>
                <c:pt idx="41">
                  <c:v>5.5866161187868544</c:v>
                </c:pt>
                <c:pt idx="42">
                  <c:v>5.8657568233728172</c:v>
                </c:pt>
                <c:pt idx="43">
                  <c:v>6.1517361406306446</c:v>
                </c:pt>
                <c:pt idx="44">
                  <c:v>6.4445271578649379</c:v>
                </c:pt>
                <c:pt idx="45">
                  <c:v>6.744102758153466</c:v>
                </c:pt>
                <c:pt idx="46">
                  <c:v>7.0504356223268356</c:v>
                </c:pt>
                <c:pt idx="47">
                  <c:v>7.363498231020392</c:v>
                </c:pt>
                <c:pt idx="48">
                  <c:v>7.6832628667932452</c:v>
                </c:pt>
                <c:pt idx="49">
                  <c:v>8.0097016163097514</c:v>
                </c:pt>
                <c:pt idx="50">
                  <c:v>8.3427863725792104</c:v>
                </c:pt>
                <c:pt idx="51">
                  <c:v>8.6824888372498776</c:v>
                </c:pt>
                <c:pt idx="52">
                  <c:v>9.0287805229537099</c:v>
                </c:pt>
                <c:pt idx="53">
                  <c:v>9.3816327556985435</c:v>
                </c:pt>
                <c:pt idx="54">
                  <c:v>9.7410166773046196</c:v>
                </c:pt>
                <c:pt idx="55">
                  <c:v>10.106903247882626</c:v>
                </c:pt>
                <c:pt idx="56">
                  <c:v>10.479263248350573</c:v>
                </c:pt>
                <c:pt idx="57">
                  <c:v>10.858067282987053</c:v>
                </c:pt>
                <c:pt idx="58">
                  <c:v>11.243285782018482</c:v>
                </c:pt>
                <c:pt idx="59">
                  <c:v>11.634889004238197</c:v>
                </c:pt>
                <c:pt idx="60">
                  <c:v>12.032847039655268</c:v>
                </c:pt>
                <c:pt idx="61">
                  <c:v>12.437129812171102</c:v>
                </c:pt>
                <c:pt idx="62">
                  <c:v>12.847707082281946</c:v>
                </c:pt>
                <c:pt idx="63">
                  <c:v>13.264548449805515</c:v>
                </c:pt>
                <c:pt idx="64">
                  <c:v>13.68762335663007</c:v>
                </c:pt>
                <c:pt idx="65">
                  <c:v>14.116901089484308</c:v>
                </c:pt>
                <c:pt idx="66">
                  <c:v>14.552350782726517</c:v>
                </c:pt>
                <c:pt idx="67">
                  <c:v>14.993941421151517</c:v>
                </c:pt>
                <c:pt idx="68">
                  <c:v>15.441641842813945</c:v>
                </c:pt>
                <c:pt idx="69">
                  <c:v>15.895420741866532</c:v>
                </c:pt>
                <c:pt idx="70">
                  <c:v>16.355246671412008</c:v>
                </c:pt>
                <c:pt idx="71">
                  <c:v>16.821088046367397</c:v>
                </c:pt>
                <c:pt idx="72">
                  <c:v>17.292913146339416</c:v>
                </c:pt>
                <c:pt idx="73">
                  <c:v>17.770690118509833</c:v>
                </c:pt>
                <c:pt idx="74">
                  <c:v>18.254386980529581</c:v>
                </c:pt>
                <c:pt idx="75">
                  <c:v>18.74397162342051</c:v>
                </c:pt>
                <c:pt idx="76">
                  <c:v>19.239411814483692</c:v>
                </c:pt>
                <c:pt idx="77">
                  <c:v>19.740675200213207</c:v>
                </c:pt>
                <c:pt idx="78">
                  <c:v>20.247729309214396</c:v>
                </c:pt>
                <c:pt idx="79">
                  <c:v>20.760541555125531</c:v>
                </c:pt>
                <c:pt idx="80">
                  <c:v>21.279079239541964</c:v>
                </c:pt>
                <c:pt idx="81">
                  <c:v>21.803309554941777</c:v>
                </c:pt>
                <c:pt idx="82">
                  <c:v>22.333199587612018</c:v>
                </c:pt>
                <c:pt idx="83">
                  <c:v>22.868716320574592</c:v>
                </c:pt>
                <c:pt idx="84">
                  <c:v>23.409826636510946</c:v>
                </c:pt>
                <c:pt idx="85">
                  <c:v>23.956497320684655</c:v>
                </c:pt>
                <c:pt idx="86">
                  <c:v>24.508695063861097</c:v>
                </c:pt>
                <c:pt idx="87">
                  <c:v>25.066386465223367</c:v>
                </c:pt>
                <c:pt idx="88">
                  <c:v>25.629538035283634</c:v>
                </c:pt>
                <c:pt idx="89">
                  <c:v>26.198116198789158</c:v>
                </c:pt>
                <c:pt idx="90">
                  <c:v>26.772087297622189</c:v>
                </c:pt>
                <c:pt idx="91">
                  <c:v>27.351417593693007</c:v>
                </c:pt>
                <c:pt idx="92">
                  <c:v>27.936073271825379</c:v>
                </c:pt>
                <c:pt idx="93">
                  <c:v>28.526020442633673</c:v>
                </c:pt>
                <c:pt idx="94">
                  <c:v>29.121225145391008</c:v>
                </c:pt>
                <c:pt idx="95">
                  <c:v>29.721653350887667</c:v>
                </c:pt>
                <c:pt idx="96">
                  <c:v>30.327270964279183</c:v>
                </c:pt>
                <c:pt idx="97">
                  <c:v>30.938043827923391</c:v>
                </c:pt>
                <c:pt idx="98">
                  <c:v>31.553937724205856</c:v>
                </c:pt>
                <c:pt idx="99">
                  <c:v>32.17491837835302</c:v>
                </c:pt>
                <c:pt idx="100">
                  <c:v>32.800951461232479</c:v>
                </c:pt>
                <c:pt idx="101">
                  <c:v>33.432002592139817</c:v>
                </c:pt>
                <c:pt idx="102">
                  <c:v>34.068037341571383</c:v>
                </c:pt>
                <c:pt idx="103">
                  <c:v>34.709021233982483</c:v>
                </c:pt>
                <c:pt idx="104">
                  <c:v>35.354919750530435</c:v>
                </c:pt>
                <c:pt idx="105">
                  <c:v>36.005698331801931</c:v>
                </c:pt>
                <c:pt idx="106">
                  <c:v>36.66132238052424</c:v>
                </c:pt>
                <c:pt idx="107">
                  <c:v>37.321757264259674</c:v>
                </c:pt>
                <c:pt idx="108">
                  <c:v>37.986968318082909</c:v>
                </c:pt>
                <c:pt idx="109">
                  <c:v>38.656920847240627</c:v>
                </c:pt>
                <c:pt idx="110">
                  <c:v>39.331580129793032</c:v>
                </c:pt>
                <c:pt idx="111">
                  <c:v>40.010911419236784</c:v>
                </c:pt>
                <c:pt idx="112">
                  <c:v>40.694879947108959</c:v>
                </c:pt>
                <c:pt idx="113">
                  <c:v>41.38345092557153</c:v>
                </c:pt>
                <c:pt idx="114">
                  <c:v>42.076589549976063</c:v>
                </c:pt>
                <c:pt idx="115">
                  <c:v>42.774261001408121</c:v>
                </c:pt>
                <c:pt idx="116">
                  <c:v>43.476430449211072</c:v>
                </c:pt>
                <c:pt idx="117">
                  <c:v>44.183063053488922</c:v>
                </c:pt>
                <c:pt idx="118">
                  <c:v>44.894123967587774</c:v>
                </c:pt>
                <c:pt idx="119">
                  <c:v>45.609578340555593</c:v>
                </c:pt>
                <c:pt idx="120">
                  <c:v>46.329391319579969</c:v>
                </c:pt>
                <c:pt idx="121">
                  <c:v>47.053528052403493</c:v>
                </c:pt>
                <c:pt idx="122">
                  <c:v>47.781953689716495</c:v>
                </c:pt>
                <c:pt idx="123">
                  <c:v>48.51463338752685</c:v>
                </c:pt>
                <c:pt idx="124">
                  <c:v>49.251532309506494</c:v>
                </c:pt>
                <c:pt idx="125">
                  <c:v>49.992615629314471</c:v>
                </c:pt>
                <c:pt idx="126">
                  <c:v>50.737848532896201</c:v>
                </c:pt>
                <c:pt idx="127">
                  <c:v>51.487196220758705</c:v>
                </c:pt>
                <c:pt idx="128">
                  <c:v>52.240623910221601</c:v>
                </c:pt>
                <c:pt idx="129">
                  <c:v>52.998096837643573</c:v>
                </c:pt>
                <c:pt idx="130">
                  <c:v>53.75958026062419</c:v>
                </c:pt>
                <c:pt idx="131">
                  <c:v>54.525039460180786</c:v>
                </c:pt>
                <c:pt idx="132">
                  <c:v>55.294439742900238</c:v>
                </c:pt>
                <c:pt idx="133">
                  <c:v>56.067746443065488</c:v>
                </c:pt>
                <c:pt idx="134">
                  <c:v>56.844924924756583</c:v>
                </c:pt>
                <c:pt idx="135">
                  <c:v>57.625940583926138</c:v>
                </c:pt>
                <c:pt idx="136">
                  <c:v>58.410758850449</c:v>
                </c:pt>
                <c:pt idx="137">
                  <c:v>59.199345190146033</c:v>
                </c:pt>
                <c:pt idx="138">
                  <c:v>59.991665106781845</c:v>
                </c:pt>
                <c:pt idx="139">
                  <c:v>60.78768414403639</c:v>
                </c:pt>
                <c:pt idx="140">
                  <c:v>61.587367887450284</c:v>
                </c:pt>
                <c:pt idx="141">
                  <c:v>62.390681966343777</c:v>
                </c:pt>
                <c:pt idx="142">
                  <c:v>63.197592055709251</c:v>
                </c:pt>
                <c:pt idx="143">
                  <c:v>64.008063878077195</c:v>
                </c:pt>
                <c:pt idx="144">
                  <c:v>64.822063205355548</c:v>
                </c:pt>
                <c:pt idx="145">
                  <c:v>65.639555860642417</c:v>
                </c:pt>
                <c:pt idx="146">
                  <c:v>66.46050772001206</c:v>
                </c:pt>
                <c:pt idx="147">
                  <c:v>67.284884714274057</c:v>
                </c:pt>
                <c:pt idx="148">
                  <c:v>68.112652830705727</c:v>
                </c:pt>
                <c:pt idx="149">
                  <c:v>68.943778114757677</c:v>
                </c:pt>
                <c:pt idx="150">
                  <c:v>69.778226671732568</c:v>
                </c:pt>
                <c:pt idx="151">
                  <c:v>70.615964668436916</c:v>
                </c:pt>
                <c:pt idx="152">
                  <c:v>71.456958334806131</c:v>
                </c:pt>
                <c:pt idx="153">
                  <c:v>72.301173965502642</c:v>
                </c:pt>
                <c:pt idx="154">
                  <c:v>73.148577921487203</c:v>
                </c:pt>
                <c:pt idx="155">
                  <c:v>73.999136631563331</c:v>
                </c:pt>
                <c:pt idx="156">
                  <c:v>74.852816593895056</c:v>
                </c:pt>
                <c:pt idx="157">
                  <c:v>75.709584377497791</c:v>
                </c:pt>
                <c:pt idx="158">
                  <c:v>76.56942584895377</c:v>
                </c:pt>
                <c:pt idx="159">
                  <c:v>77.432350912947911</c:v>
                </c:pt>
                <c:pt idx="160">
                  <c:v>78.298374201905489</c:v>
                </c:pt>
                <c:pt idx="161">
                  <c:v>79.167510250941604</c:v>
                </c:pt>
                <c:pt idx="162">
                  <c:v>80.039773497604742</c:v>
                </c:pt>
                <c:pt idx="163">
                  <c:v>80.915178281623454</c:v>
                </c:pt>
                <c:pt idx="164">
                  <c:v>81.793710585891262</c:v>
                </c:pt>
                <c:pt idx="165">
                  <c:v>82.675285738968839</c:v>
                </c:pt>
                <c:pt idx="166">
                  <c:v>83.559776934887225</c:v>
                </c:pt>
                <c:pt idx="167">
                  <c:v>84.447028980639615</c:v>
                </c:pt>
                <c:pt idx="168">
                  <c:v>85.336743127732262</c:v>
                </c:pt>
                <c:pt idx="169">
                  <c:v>86.228506457019563</c:v>
                </c:pt>
                <c:pt idx="170">
                  <c:v>87.121907639794912</c:v>
                </c:pt>
                <c:pt idx="171">
                  <c:v>88.016536973746426</c:v>
                </c:pt>
                <c:pt idx="172">
                  <c:v>88.911986415933924</c:v>
                </c:pt>
                <c:pt idx="173">
                  <c:v>89.807849612823077</c:v>
                </c:pt>
                <c:pt idx="174">
                  <c:v>90.703721927414378</c:v>
                </c:pt>
                <c:pt idx="175">
                  <c:v>91.599200463506833</c:v>
                </c:pt>
                <c:pt idx="176">
                  <c:v>92.493884087137914</c:v>
                </c:pt>
                <c:pt idx="177">
                  <c:v>93.387373445243014</c:v>
                </c:pt>
                <c:pt idx="178">
                  <c:v>94.279270981578861</c:v>
                </c:pt>
                <c:pt idx="179">
                  <c:v>95.169180949957124</c:v>
                </c:pt>
                <c:pt idx="180">
                  <c:v>96.056814500661389</c:v>
                </c:pt>
                <c:pt idx="181">
                  <c:v>96.941989187631137</c:v>
                </c:pt>
                <c:pt idx="182">
                  <c:v>97.824523393133248</c:v>
                </c:pt>
                <c:pt idx="183">
                  <c:v>98.704236323425704</c:v>
                </c:pt>
                <c:pt idx="184">
                  <c:v>99.581015459762511</c:v>
                </c:pt>
                <c:pt idx="185">
                  <c:v>100.45484513987745</c:v>
                </c:pt>
                <c:pt idx="186">
                  <c:v>101.32573864070235</c:v>
                </c:pt>
                <c:pt idx="187">
                  <c:v>102.19370913345134</c:v>
                </c:pt>
                <c:pt idx="188">
                  <c:v>103.05876968472141</c:v>
                </c:pt>
                <c:pt idx="189">
                  <c:v>103.92093325757882</c:v>
                </c:pt>
                <c:pt idx="190">
                  <c:v>104.78021271263111</c:v>
                </c:pt>
                <c:pt idx="191">
                  <c:v>105.63662080908526</c:v>
                </c:pt>
                <c:pt idx="192">
                  <c:v>106.49017020579207</c:v>
                </c:pt>
                <c:pt idx="193">
                  <c:v>107.34087346227705</c:v>
                </c:pt>
                <c:pt idx="194">
                  <c:v>108.18874303975794</c:v>
                </c:pt>
                <c:pt idx="195">
                  <c:v>109.03379130214917</c:v>
                </c:pt>
                <c:pt idx="196">
                  <c:v>109.87603051705337</c:v>
                </c:pt>
                <c:pt idx="197">
                  <c:v>110.71547285674016</c:v>
                </c:pt>
                <c:pt idx="198">
                  <c:v>111.55213039911251</c:v>
                </c:pt>
                <c:pt idx="199">
                  <c:v>112.38601512866065</c:v>
                </c:pt>
                <c:pt idx="200">
                  <c:v>113.21713893740392</c:v>
                </c:pt>
                <c:pt idx="201">
                  <c:v>121.37743989300272</c:v>
                </c:pt>
                <c:pt idx="202">
                  <c:v>129.26915840943906</c:v>
                </c:pt>
                <c:pt idx="203">
                  <c:v>136.90335100801678</c:v>
                </c:pt>
                <c:pt idx="204">
                  <c:v>144.29026049480095</c:v>
                </c:pt>
                <c:pt idx="205">
                  <c:v>151.43939243205682</c:v>
                </c:pt>
                <c:pt idx="206">
                  <c:v>158.35958270172321</c:v>
                </c:pt>
                <c:pt idx="207">
                  <c:v>165.05905738090735</c:v>
                </c:pt>
                <c:pt idx="208">
                  <c:v>171.54548595799542</c:v>
                </c:pt>
                <c:pt idx="209">
                  <c:v>177.82602876024026</c:v>
                </c:pt>
                <c:pt idx="210">
                  <c:v>183.90737933308407</c:v>
                </c:pt>
                <c:pt idx="211">
                  <c:v>189.79580240284557</c:v>
                </c:pt>
                <c:pt idx="212">
                  <c:v>195.49716796366587</c:v>
                </c:pt>
                <c:pt idx="213">
                  <c:v>201.01698195350619</c:v>
                </c:pt>
                <c:pt idx="214">
                  <c:v>206.36041391991728</c:v>
                </c:pt>
                <c:pt idx="215">
                  <c:v>211.53232202215091</c:v>
                </c:pt>
                <c:pt idx="216">
                  <c:v>216.53727567025916</c:v>
                </c:pt>
                <c:pt idx="217">
                  <c:v>221.37957606274551</c:v>
                </c:pt>
                <c:pt idx="218">
                  <c:v>226.06327485096458</c:v>
                </c:pt>
                <c:pt idx="219">
                  <c:v>230.59219112989055</c:v>
                </c:pt>
                <c:pt idx="220">
                  <c:v>234.96992693032703</c:v>
                </c:pt>
                <c:pt idx="221">
                  <c:v>239.19988136648496</c:v>
                </c:pt>
                <c:pt idx="222">
                  <c:v>243.28526357459015</c:v>
                </c:pt>
                <c:pt idx="223">
                  <c:v>247.22910456236411</c:v>
                </c:pt>
                <c:pt idx="224">
                  <c:v>251.03426807549025</c:v>
                </c:pt>
                <c:pt idx="225">
                  <c:v>254.70346057523042</c:v>
                </c:pt>
                <c:pt idx="226">
                  <c:v>258.23924041094114</c:v>
                </c:pt>
                <c:pt idx="227">
                  <c:v>261.64402626213899</c:v>
                </c:pt>
                <c:pt idx="228">
                  <c:v>264.92010491680662</c:v>
                </c:pt>
                <c:pt idx="229">
                  <c:v>268.06963844565797</c:v>
                </c:pt>
                <c:pt idx="230">
                  <c:v>271.09467082597052</c:v>
                </c:pt>
                <c:pt idx="231">
                  <c:v>273.99713406323673</c:v>
                </c:pt>
                <c:pt idx="232">
                  <c:v>276.77885385419501</c:v>
                </c:pt>
                <c:pt idx="233">
                  <c:v>279.4415548307017</c:v>
                </c:pt>
                <c:pt idx="234">
                  <c:v>281.98686542033994</c:v>
                </c:pt>
                <c:pt idx="235">
                  <c:v>284.41632235657846</c:v>
                </c:pt>
                <c:pt idx="236">
                  <c:v>286.73137486866523</c:v>
                </c:pt>
                <c:pt idx="237">
                  <c:v>288.93338857923601</c:v>
                </c:pt>
                <c:pt idx="238">
                  <c:v>291.02364913583546</c:v>
                </c:pt>
                <c:pt idx="239">
                  <c:v>293.00336560118114</c:v>
                </c:pt>
                <c:pt idx="240">
                  <c:v>294.87367362607557</c:v>
                </c:pt>
                <c:pt idx="241">
                  <c:v>296.63563842841364</c:v>
                </c:pt>
                <c:pt idx="242">
                  <c:v>298.29025760179991</c:v>
                </c:pt>
                <c:pt idx="243">
                  <c:v>299.83846377795135</c:v>
                </c:pt>
                <c:pt idx="244">
                  <c:v>301.28112716841173</c:v>
                </c:pt>
                <c:pt idx="245">
                  <c:v>302.61905801325429</c:v>
                </c:pt>
                <c:pt idx="246">
                  <c:v>303.85300896752813</c:v>
                </c:pt>
                <c:pt idx="247">
                  <c:v>304.98367746033074</c:v>
                </c:pt>
                <c:pt idx="248">
                  <c:v>306.01170806664669</c:v>
                </c:pt>
                <c:pt idx="249">
                  <c:v>306.93769493846571</c:v>
                </c:pt>
                <c:pt idx="250">
                  <c:v>307.76218434896589</c:v>
                </c:pt>
                <c:pt idx="251">
                  <c:v>308.48567741115079</c:v>
                </c:pt>
                <c:pt idx="252">
                  <c:v>309.10863303915647</c:v>
                </c:pt>
                <c:pt idx="253">
                  <c:v>309.6314712246342</c:v>
                </c:pt>
                <c:pt idx="254">
                  <c:v>310.05457669944644</c:v>
                </c:pt>
                <c:pt idx="255">
                  <c:v>310.37830304596787</c:v>
                </c:pt>
                <c:pt idx="256">
                  <c:v>310.60297729410752</c:v>
                </c:pt>
                <c:pt idx="257">
                  <c:v>310.72890500764521</c:v>
                </c:pt>
                <c:pt idx="258">
                  <c:v>310.75637581267</c:v>
                </c:pt>
                <c:pt idx="259">
                  <c:v>310.68566926365179</c:v>
                </c:pt>
                <c:pt idx="260">
                  <c:v>310.5170608885864</c:v>
                </c:pt>
                <c:pt idx="261">
                  <c:v>310.25082821658748</c:v>
                </c:pt>
                <c:pt idx="262">
                  <c:v>309.88725657968848</c:v>
                </c:pt>
                <c:pt idx="263">
                  <c:v>309.42664449891976</c:v>
                </c:pt>
                <c:pt idx="264">
                  <c:v>308.86930850777571</c:v>
                </c:pt>
                <c:pt idx="265">
                  <c:v>308.21558732254641</c:v>
                </c:pt>
                <c:pt idx="266">
                  <c:v>307.4658453257897</c:v>
                </c:pt>
                <c:pt idx="267">
                  <c:v>306.6204753765939</c:v>
                </c:pt>
                <c:pt idx="268">
                  <c:v>305.67990099441533</c:v>
                </c:pt>
                <c:pt idx="269">
                  <c:v>304.64457798197571</c:v>
                </c:pt>
                <c:pt idx="270">
                  <c:v>303.51499555962681</c:v>
                </c:pt>
                <c:pt idx="271">
                  <c:v>302.29167708237981</c:v>
                </c:pt>
                <c:pt idx="272">
                  <c:v>300.97518040485863</c:v>
                </c:pt>
                <c:pt idx="273">
                  <c:v>299.56609795135751</c:v>
                </c:pt>
                <c:pt idx="274">
                  <c:v>298.0650565396615</c:v>
                </c:pt>
                <c:pt idx="275">
                  <c:v>296.47271699929297</c:v>
                </c:pt>
                <c:pt idx="276">
                  <c:v>294.78977361782506</c:v>
                </c:pt>
                <c:pt idx="277">
                  <c:v>293.01695344299378</c:v>
                </c:pt>
                <c:pt idx="278">
                  <c:v>291.15501546349572</c:v>
                </c:pt>
                <c:pt idx="279">
                  <c:v>289.20474968746134</c:v>
                </c:pt>
                <c:pt idx="280">
                  <c:v>287.16697613448918</c:v>
                </c:pt>
                <c:pt idx="281">
                  <c:v>285.04254375467031</c:v>
                </c:pt>
                <c:pt idx="282">
                  <c:v>282.83232928609323</c:v>
                </c:pt>
                <c:pt idx="283">
                  <c:v>280.53723606078285</c:v>
                </c:pt>
                <c:pt idx="284">
                  <c:v>278.1581927678082</c:v>
                </c:pt>
                <c:pt idx="285">
                  <c:v>275.69615218131446</c:v>
                </c:pt>
                <c:pt idx="286">
                  <c:v>273.15208986044325</c:v>
                </c:pt>
                <c:pt idx="287">
                  <c:v>270.52700282745371</c:v>
                </c:pt>
                <c:pt idx="288">
                  <c:v>267.82190822981352</c:v>
                </c:pt>
                <c:pt idx="289">
                  <c:v>265.03784199156678</c:v>
                </c:pt>
                <c:pt idx="290">
                  <c:v>262.17585745888522</c:v>
                </c:pt>
                <c:pt idx="291">
                  <c:v>259.23702404435397</c:v>
                </c:pt>
                <c:pt idx="292">
                  <c:v>256.22242587422426</c:v>
                </c:pt>
                <c:pt idx="293">
                  <c:v>253.13316044257104</c:v>
                </c:pt>
                <c:pt idx="294">
                  <c:v>249.9703372760207</c:v>
                </c:pt>
                <c:pt idx="295">
                  <c:v>246.73507661245498</c:v>
                </c:pt>
                <c:pt idx="296">
                  <c:v>243.42850809685083</c:v>
                </c:pt>
                <c:pt idx="297">
                  <c:v>240.0517694971787</c:v>
                </c:pt>
                <c:pt idx="298">
                  <c:v>236.60600544305149</c:v>
                </c:pt>
                <c:pt idx="299">
                  <c:v>233.09236618959417</c:v>
                </c:pt>
                <c:pt idx="300">
                  <c:v>229.51200640878608</c:v>
                </c:pt>
                <c:pt idx="301">
                  <c:v>225.86608401031683</c:v>
                </c:pt>
                <c:pt idx="302">
                  <c:v>222.15575899379058</c:v>
                </c:pt>
                <c:pt idx="303">
                  <c:v>218.38219233391257</c:v>
                </c:pt>
                <c:pt idx="304">
                  <c:v>214.54654490009733</c:v>
                </c:pt>
                <c:pt idx="305">
                  <c:v>210.64997641174872</c:v>
                </c:pt>
                <c:pt idx="306">
                  <c:v>206.69364443027945</c:v>
                </c:pt>
                <c:pt idx="307">
                  <c:v>202.67870338876145</c:v>
                </c:pt>
                <c:pt idx="308">
                  <c:v>198.60630365992955</c:v>
                </c:pt>
                <c:pt idx="309">
                  <c:v>194.47759066309794</c:v>
                </c:pt>
                <c:pt idx="310">
                  <c:v>190.29370401039509</c:v>
                </c:pt>
                <c:pt idx="311">
                  <c:v>186.05577669257505</c:v>
                </c:pt>
                <c:pt idx="312">
                  <c:v>181.76493430452365</c:v>
                </c:pt>
                <c:pt idx="313">
                  <c:v>177.42229431044723</c:v>
                </c:pt>
                <c:pt idx="314">
                  <c:v>173.0289653486075</c:v>
                </c:pt>
                <c:pt idx="315">
                  <c:v>168.58604657535133</c:v>
                </c:pt>
                <c:pt idx="316">
                  <c:v>164.09462704807689</c:v>
                </c:pt>
                <c:pt idx="317">
                  <c:v>159.55578514667843</c:v>
                </c:pt>
                <c:pt idx="318">
                  <c:v>154.97058803292109</c:v>
                </c:pt>
                <c:pt idx="319">
                  <c:v>150.3400911471133</c:v>
                </c:pt>
                <c:pt idx="320">
                  <c:v>145.66533774136951</c:v>
                </c:pt>
                <c:pt idx="321">
                  <c:v>140.94735844868768</c:v>
                </c:pt>
                <c:pt idx="322">
                  <c:v>136.1871708870049</c:v>
                </c:pt>
                <c:pt idx="323">
                  <c:v>131.38577929734174</c:v>
                </c:pt>
                <c:pt idx="324">
                  <c:v>126.54417421509872</c:v>
                </c:pt>
                <c:pt idx="325">
                  <c:v>121.66333217352781</c:v>
                </c:pt>
                <c:pt idx="326">
                  <c:v>116.74421543836885</c:v>
                </c:pt>
                <c:pt idx="327">
                  <c:v>111.7877717726121</c:v>
                </c:pt>
                <c:pt idx="328">
                  <c:v>106.79493423032601</c:v>
                </c:pt>
                <c:pt idx="329">
                  <c:v>101.7666209784726</c:v>
                </c:pt>
                <c:pt idx="330">
                  <c:v>96.703735145620769</c:v>
                </c:pt>
                <c:pt idx="331">
                  <c:v>91.607164696460373</c:v>
                </c:pt>
                <c:pt idx="332">
                  <c:v>86.477782331017437</c:v>
                </c:pt>
                <c:pt idx="333">
                  <c:v>81.316445407471775</c:v>
                </c:pt>
                <c:pt idx="334">
                  <c:v>76.123995887483105</c:v>
                </c:pt>
                <c:pt idx="335">
                  <c:v>70.901260302940429</c:v>
                </c:pt>
                <c:pt idx="336">
                  <c:v>65.649049743060388</c:v>
                </c:pt>
                <c:pt idx="337">
                  <c:v>60.368159860774938</c:v>
                </c:pt>
                <c:pt idx="338">
                  <c:v>55.059370897365326</c:v>
                </c:pt>
                <c:pt idx="339">
                  <c:v>49.723447724318461</c:v>
                </c:pt>
                <c:pt idx="340">
                  <c:v>44.361139901402865</c:v>
                </c:pt>
                <c:pt idx="341">
                  <c:v>38.973181749984256</c:v>
                </c:pt>
                <c:pt idx="342">
                  <c:v>33.56029244062524</c:v>
                </c:pt>
                <c:pt idx="343">
                  <c:v>28.123176094039209</c:v>
                </c:pt>
                <c:pt idx="344">
                  <c:v>22.662521894495509</c:v>
                </c:pt>
                <c:pt idx="345">
                  <c:v>17.179004214800511</c:v>
                </c:pt>
                <c:pt idx="346">
                  <c:v>11.673282752007784</c:v>
                </c:pt>
                <c:pt idx="347">
                  <c:v>6.146002673039499</c:v>
                </c:pt>
                <c:pt idx="348">
                  <c:v>0.59779476943062004</c:v>
                </c:pt>
                <c:pt idx="349">
                  <c:v>-4.9707243795628928</c:v>
                </c:pt>
                <c:pt idx="350">
                  <c:v>-4.9763029116613193</c:v>
                </c:pt>
                <c:pt idx="351">
                  <c:v>-4.9818814631703825</c:v>
                </c:pt>
                <c:pt idx="352">
                  <c:v>-4.9874600340895032</c:v>
                </c:pt>
                <c:pt idx="353">
                  <c:v>-4.9930386244180998</c:v>
                </c:pt>
                <c:pt idx="354">
                  <c:v>-4.998617234155593</c:v>
                </c:pt>
                <c:pt idx="355">
                  <c:v>-5.0041958633014021</c:v>
                </c:pt>
                <c:pt idx="356">
                  <c:v>-5.0097745118549462</c:v>
                </c:pt>
                <c:pt idx="357">
                  <c:v>-5.0153531798156452</c:v>
                </c:pt>
                <c:pt idx="358">
                  <c:v>-5.0209318671829193</c:v>
                </c:pt>
                <c:pt idx="359">
                  <c:v>-5.0265105739561875</c:v>
                </c:pt>
                <c:pt idx="360">
                  <c:v>-5.0320893001348699</c:v>
                </c:pt>
                <c:pt idx="361">
                  <c:v>-5.0376680457183864</c:v>
                </c:pt>
                <c:pt idx="362">
                  <c:v>-5.0432468107061572</c:v>
                </c:pt>
                <c:pt idx="363">
                  <c:v>-5.0488255950976013</c:v>
                </c:pt>
                <c:pt idx="364">
                  <c:v>-5.0544043988921388</c:v>
                </c:pt>
                <c:pt idx="365">
                  <c:v>-5.0599832220891887</c:v>
                </c:pt>
                <c:pt idx="366">
                  <c:v>-5.0655620646881721</c:v>
                </c:pt>
                <c:pt idx="367">
                  <c:v>-5.0711409266885079</c:v>
                </c:pt>
                <c:pt idx="368">
                  <c:v>-5.0767198080896163</c:v>
                </c:pt>
                <c:pt idx="369">
                  <c:v>-5.0822987088909173</c:v>
                </c:pt>
                <c:pt idx="370">
                  <c:v>-5.0878776290918299</c:v>
                </c:pt>
                <c:pt idx="371">
                  <c:v>-5.0934565686917752</c:v>
                </c:pt>
                <c:pt idx="372">
                  <c:v>-5.0990355276901722</c:v>
                </c:pt>
                <c:pt idx="373">
                  <c:v>-5.104614506086441</c:v>
                </c:pt>
                <c:pt idx="374">
                  <c:v>-5.1101935038800015</c:v>
                </c:pt>
                <c:pt idx="375">
                  <c:v>-5.1157725210702738</c:v>
                </c:pt>
                <c:pt idx="376">
                  <c:v>-5.1213515576566779</c:v>
                </c:pt>
                <c:pt idx="377">
                  <c:v>-5.1269306136386339</c:v>
                </c:pt>
                <c:pt idx="378">
                  <c:v>-5.1325096890155617</c:v>
                </c:pt>
                <c:pt idx="379">
                  <c:v>-5.1380887837868805</c:v>
                </c:pt>
                <c:pt idx="380">
                  <c:v>-5.1436678979520112</c:v>
                </c:pt>
                <c:pt idx="381">
                  <c:v>-5.1492470315103738</c:v>
                </c:pt>
                <c:pt idx="382">
                  <c:v>-5.1548261844613874</c:v>
                </c:pt>
                <c:pt idx="383">
                  <c:v>-5.160405356804473</c:v>
                </c:pt>
                <c:pt idx="384">
                  <c:v>-5.1659845485390505</c:v>
                </c:pt>
                <c:pt idx="385">
                  <c:v>-5.1715637596645392</c:v>
                </c:pt>
                <c:pt idx="386">
                  <c:v>-5.1771429901803598</c:v>
                </c:pt>
                <c:pt idx="387">
                  <c:v>-5.1827222400859325</c:v>
                </c:pt>
                <c:pt idx="388">
                  <c:v>-5.1883015093806772</c:v>
                </c:pt>
                <c:pt idx="389">
                  <c:v>-5.193880798064014</c:v>
                </c:pt>
                <c:pt idx="390">
                  <c:v>-5.1994601061353629</c:v>
                </c:pt>
                <c:pt idx="391">
                  <c:v>-5.2050394335941448</c:v>
                </c:pt>
                <c:pt idx="392">
                  <c:v>-5.2106187804397788</c:v>
                </c:pt>
                <c:pt idx="393">
                  <c:v>-5.2161981466716858</c:v>
                </c:pt>
                <c:pt idx="394">
                  <c:v>-5.2217775322892859</c:v>
                </c:pt>
                <c:pt idx="395">
                  <c:v>-5.227356937291999</c:v>
                </c:pt>
                <c:pt idx="396">
                  <c:v>-5.2329363616792453</c:v>
                </c:pt>
                <c:pt idx="397">
                  <c:v>-5.2385158054504446</c:v>
                </c:pt>
                <c:pt idx="398">
                  <c:v>-5.244095268605018</c:v>
                </c:pt>
                <c:pt idx="399">
                  <c:v>-5.2496747511423854</c:v>
                </c:pt>
                <c:pt idx="400">
                  <c:v>-5.2552542530619668</c:v>
                </c:pt>
                <c:pt idx="401">
                  <c:v>-5.2608337743631832</c:v>
                </c:pt>
                <c:pt idx="402">
                  <c:v>-5.2664133150454546</c:v>
                </c:pt>
                <c:pt idx="403">
                  <c:v>-5.271992875108201</c:v>
                </c:pt>
                <c:pt idx="404">
                  <c:v>-5.2775724545508425</c:v>
                </c:pt>
                <c:pt idx="405">
                  <c:v>-5.2831520533727998</c:v>
                </c:pt>
                <c:pt idx="406">
                  <c:v>-5.2887316715734931</c:v>
                </c:pt>
                <c:pt idx="407">
                  <c:v>-5.2943113091523433</c:v>
                </c:pt>
                <c:pt idx="408">
                  <c:v>-5.2998909661087703</c:v>
                </c:pt>
                <c:pt idx="409">
                  <c:v>-5.3054706424421942</c:v>
                </c:pt>
                <c:pt idx="410">
                  <c:v>-5.311050338152036</c:v>
                </c:pt>
                <c:pt idx="411">
                  <c:v>-5.3166300532377155</c:v>
                </c:pt>
                <c:pt idx="412">
                  <c:v>-5.3222097876986538</c:v>
                </c:pt>
                <c:pt idx="413">
                  <c:v>-5.3277895415342709</c:v>
                </c:pt>
                <c:pt idx="414">
                  <c:v>-5.3333693147439876</c:v>
                </c:pt>
                <c:pt idx="415">
                  <c:v>-5.3389491073272239</c:v>
                </c:pt>
                <c:pt idx="416">
                  <c:v>-5.3445289192834</c:v>
                </c:pt>
                <c:pt idx="417">
                  <c:v>-5.3501087506119376</c:v>
                </c:pt>
                <c:pt idx="418">
                  <c:v>-5.3556886013122558</c:v>
                </c:pt>
                <c:pt idx="419">
                  <c:v>-5.3612684713837764</c:v>
                </c:pt>
                <c:pt idx="420">
                  <c:v>-5.3668483608259194</c:v>
                </c:pt>
                <c:pt idx="421">
                  <c:v>-5.3724282696381049</c:v>
                </c:pt>
                <c:pt idx="422">
                  <c:v>-5.3780081978197538</c:v>
                </c:pt>
                <c:pt idx="423">
                  <c:v>-5.383588145370287</c:v>
                </c:pt>
                <c:pt idx="424">
                  <c:v>-5.3891681122891244</c:v>
                </c:pt>
                <c:pt idx="425">
                  <c:v>-5.394748098575687</c:v>
                </c:pt>
                <c:pt idx="426">
                  <c:v>-5.4003281042293958</c:v>
                </c:pt>
                <c:pt idx="427">
                  <c:v>-5.4059081292496707</c:v>
                </c:pt>
                <c:pt idx="428">
                  <c:v>-5.4114881736359326</c:v>
                </c:pt>
                <c:pt idx="429">
                  <c:v>-5.4170682373876025</c:v>
                </c:pt>
                <c:pt idx="430">
                  <c:v>-5.4226483205041003</c:v>
                </c:pt>
                <c:pt idx="431">
                  <c:v>-5.4282284229848479</c:v>
                </c:pt>
                <c:pt idx="432">
                  <c:v>-5.4338085448292643</c:v>
                </c:pt>
                <c:pt idx="433">
                  <c:v>-5.4393886860367715</c:v>
                </c:pt>
                <c:pt idx="434">
                  <c:v>-5.4449688466067903</c:v>
                </c:pt>
                <c:pt idx="435">
                  <c:v>-5.4505490265387406</c:v>
                </c:pt>
                <c:pt idx="436">
                  <c:v>-5.4561292258320435</c:v>
                </c:pt>
                <c:pt idx="437">
                  <c:v>-5.4617094444861198</c:v>
                </c:pt>
                <c:pt idx="438">
                  <c:v>-5.4672896825003905</c:v>
                </c:pt>
                <c:pt idx="439">
                  <c:v>-5.4728699398742764</c:v>
                </c:pt>
                <c:pt idx="440">
                  <c:v>-5.4784502166071976</c:v>
                </c:pt>
                <c:pt idx="441">
                  <c:v>-5.4840305126985758</c:v>
                </c:pt>
                <c:pt idx="442">
                  <c:v>-5.4896108281478311</c:v>
                </c:pt>
                <c:pt idx="443">
                  <c:v>-5.4951911629543844</c:v>
                </c:pt>
                <c:pt idx="444">
                  <c:v>-5.5007715171176566</c:v>
                </c:pt>
                <c:pt idx="445">
                  <c:v>-5.5063518906370694</c:v>
                </c:pt>
                <c:pt idx="446">
                  <c:v>-5.511932283512043</c:v>
                </c:pt>
                <c:pt idx="447">
                  <c:v>-5.5175126957419982</c:v>
                </c:pt>
                <c:pt idx="448">
                  <c:v>-5.5230931273263559</c:v>
                </c:pt>
                <c:pt idx="449">
                  <c:v>-5.5286735782645371</c:v>
                </c:pt>
                <c:pt idx="450">
                  <c:v>-5.5342540485559626</c:v>
                </c:pt>
                <c:pt idx="451">
                  <c:v>-5.5398345382000533</c:v>
                </c:pt>
                <c:pt idx="452">
                  <c:v>-5.5454150471962311</c:v>
                </c:pt>
                <c:pt idx="453">
                  <c:v>-5.550995575543916</c:v>
                </c:pt>
                <c:pt idx="454">
                  <c:v>-5.5565761232425288</c:v>
                </c:pt>
                <c:pt idx="455">
                  <c:v>-5.5621566902914914</c:v>
                </c:pt>
                <c:pt idx="456">
                  <c:v>-5.5677372766902247</c:v>
                </c:pt>
                <c:pt idx="457">
                  <c:v>-5.5733178824381486</c:v>
                </c:pt>
                <c:pt idx="458">
                  <c:v>-5.5788985075346851</c:v>
                </c:pt>
                <c:pt idx="459">
                  <c:v>-5.5844791519792549</c:v>
                </c:pt>
                <c:pt idx="460">
                  <c:v>-5.59005981577128</c:v>
                </c:pt>
                <c:pt idx="461">
                  <c:v>-5.5956404989101802</c:v>
                </c:pt>
                <c:pt idx="462">
                  <c:v>-5.6012212013953775</c:v>
                </c:pt>
                <c:pt idx="463">
                  <c:v>-5.6068019232262927</c:v>
                </c:pt>
                <c:pt idx="464">
                  <c:v>-5.6123826644023467</c:v>
                </c:pt>
                <c:pt idx="465">
                  <c:v>-5.6179634249229604</c:v>
                </c:pt>
                <c:pt idx="466">
                  <c:v>-5.6235442047875557</c:v>
                </c:pt>
                <c:pt idx="467">
                  <c:v>-5.6291250039955534</c:v>
                </c:pt>
                <c:pt idx="468">
                  <c:v>-5.6347058225463744</c:v>
                </c:pt>
                <c:pt idx="469">
                  <c:v>-5.6402866604394397</c:v>
                </c:pt>
                <c:pt idx="470">
                  <c:v>-5.6458675176741711</c:v>
                </c:pt>
                <c:pt idx="471">
                  <c:v>-5.6514483942499902</c:v>
                </c:pt>
                <c:pt idx="472">
                  <c:v>-5.6570292901663173</c:v>
                </c:pt>
                <c:pt idx="473">
                  <c:v>-5.662610205422574</c:v>
                </c:pt>
                <c:pt idx="474">
                  <c:v>-5.6681911400181813</c:v>
                </c:pt>
                <c:pt idx="475">
                  <c:v>-5.6737720939525609</c:v>
                </c:pt>
                <c:pt idx="476">
                  <c:v>-5.6793530672251338</c:v>
                </c:pt>
                <c:pt idx="477">
                  <c:v>-5.6849340598353217</c:v>
                </c:pt>
                <c:pt idx="478">
                  <c:v>-5.6905150717825457</c:v>
                </c:pt>
                <c:pt idx="479">
                  <c:v>-5.6960961030662274</c:v>
                </c:pt>
                <c:pt idx="480">
                  <c:v>-5.7016771536857878</c:v>
                </c:pt>
                <c:pt idx="481">
                  <c:v>-5.7072582236406477</c:v>
                </c:pt>
                <c:pt idx="482">
                  <c:v>-5.7128393129302291</c:v>
                </c:pt>
                <c:pt idx="483">
                  <c:v>-5.7184204215539536</c:v>
                </c:pt>
                <c:pt idx="484">
                  <c:v>-5.7240015495112422</c:v>
                </c:pt>
                <c:pt idx="485">
                  <c:v>-5.7295826968015158</c:v>
                </c:pt>
                <c:pt idx="486">
                  <c:v>-5.7351638634241962</c:v>
                </c:pt>
                <c:pt idx="487">
                  <c:v>-5.7407450493787051</c:v>
                </c:pt>
                <c:pt idx="488">
                  <c:v>-5.7463262546644645</c:v>
                </c:pt>
                <c:pt idx="489">
                  <c:v>-5.7519074792808951</c:v>
                </c:pt>
                <c:pt idx="490">
                  <c:v>-5.7574887232274179</c:v>
                </c:pt>
                <c:pt idx="491">
                  <c:v>-5.7630699865034556</c:v>
                </c:pt>
                <c:pt idx="492">
                  <c:v>-5.7686512691084291</c:v>
                </c:pt>
                <c:pt idx="493">
                  <c:v>-5.7742325710417592</c:v>
                </c:pt>
                <c:pt idx="494">
                  <c:v>-5.7798138923028679</c:v>
                </c:pt>
                <c:pt idx="495">
                  <c:v>-5.7853952328911777</c:v>
                </c:pt>
                <c:pt idx="496">
                  <c:v>-5.7909765928061088</c:v>
                </c:pt>
                <c:pt idx="497">
                  <c:v>-5.7965579720470837</c:v>
                </c:pt>
                <c:pt idx="498">
                  <c:v>-5.8021393706135234</c:v>
                </c:pt>
                <c:pt idx="499">
                  <c:v>-5.8077207885048496</c:v>
                </c:pt>
                <c:pt idx="500">
                  <c:v>-5.8133022257204843</c:v>
                </c:pt>
                <c:pt idx="501">
                  <c:v>-5.8188836822598482</c:v>
                </c:pt>
                <c:pt idx="502">
                  <c:v>-5.8244651581223641</c:v>
                </c:pt>
                <c:pt idx="503">
                  <c:v>-5.8300466533074529</c:v>
                </c:pt>
                <c:pt idx="504">
                  <c:v>-5.8356281678145363</c:v>
                </c:pt>
                <c:pt idx="505">
                  <c:v>-5.8412097016430362</c:v>
                </c:pt>
                <c:pt idx="506">
                  <c:v>-5.8467912547923744</c:v>
                </c:pt>
                <c:pt idx="507">
                  <c:v>-5.8523728272619717</c:v>
                </c:pt>
                <c:pt idx="508">
                  <c:v>-5.8579544190512509</c:v>
                </c:pt>
                <c:pt idx="509">
                  <c:v>-5.8635360301596329</c:v>
                </c:pt>
                <c:pt idx="510">
                  <c:v>-5.8691176605865403</c:v>
                </c:pt>
                <c:pt idx="511">
                  <c:v>-5.874699310331394</c:v>
                </c:pt>
                <c:pt idx="512">
                  <c:v>-5.8802809793936168</c:v>
                </c:pt>
                <c:pt idx="513">
                  <c:v>-5.8858626677726296</c:v>
                </c:pt>
                <c:pt idx="514">
                  <c:v>-5.891444375467854</c:v>
                </c:pt>
                <c:pt idx="515">
                  <c:v>-5.897026102478713</c:v>
                </c:pt>
                <c:pt idx="516">
                  <c:v>-5.9026078488046272</c:v>
                </c:pt>
                <c:pt idx="517">
                  <c:v>-5.9081896144450186</c:v>
                </c:pt>
                <c:pt idx="518">
                  <c:v>-5.9137713993993097</c:v>
                </c:pt>
                <c:pt idx="519">
                  <c:v>-5.9193532036669216</c:v>
                </c:pt>
                <c:pt idx="520">
                  <c:v>-5.9249350272472769</c:v>
                </c:pt>
                <c:pt idx="521">
                  <c:v>-5.9305168701397974</c:v>
                </c:pt>
                <c:pt idx="522">
                  <c:v>-5.9360987323439041</c:v>
                </c:pt>
                <c:pt idx="523">
                  <c:v>-5.9416806138590195</c:v>
                </c:pt>
                <c:pt idx="524">
                  <c:v>-5.9472625146845655</c:v>
                </c:pt>
                <c:pt idx="525">
                  <c:v>-5.9528444348199647</c:v>
                </c:pt>
                <c:pt idx="526">
                  <c:v>-5.9584263742646382</c:v>
                </c:pt>
                <c:pt idx="527">
                  <c:v>-5.9640083330180085</c:v>
                </c:pt>
                <c:pt idx="528">
                  <c:v>-5.9695903110794966</c:v>
                </c:pt>
                <c:pt idx="529">
                  <c:v>-5.9751723084485251</c:v>
                </c:pt>
                <c:pt idx="530">
                  <c:v>-5.9807543251245168</c:v>
                </c:pt>
                <c:pt idx="531">
                  <c:v>-5.9863363611068925</c:v>
                </c:pt>
                <c:pt idx="532">
                  <c:v>-5.9919184163950749</c:v>
                </c:pt>
                <c:pt idx="533">
                  <c:v>-5.9975004909884859</c:v>
                </c:pt>
                <c:pt idx="534">
                  <c:v>-6.0030825848865472</c:v>
                </c:pt>
                <c:pt idx="535">
                  <c:v>-6.0086646980886815</c:v>
                </c:pt>
                <c:pt idx="536">
                  <c:v>-6.0142468305943106</c:v>
                </c:pt>
                <c:pt idx="537">
                  <c:v>-6.0198289824028564</c:v>
                </c:pt>
                <c:pt idx="538">
                  <c:v>-6.0254111535137413</c:v>
                </c:pt>
                <c:pt idx="539">
                  <c:v>-6.0309933439263874</c:v>
                </c:pt>
                <c:pt idx="540">
                  <c:v>-6.0365755536402164</c:v>
                </c:pt>
                <c:pt idx="541">
                  <c:v>-6.0421577826546509</c:v>
                </c:pt>
                <c:pt idx="542">
                  <c:v>-6.0477400309691127</c:v>
                </c:pt>
                <c:pt idx="543">
                  <c:v>-6.0533222985830246</c:v>
                </c:pt>
                <c:pt idx="544">
                  <c:v>-6.0589045854958083</c:v>
                </c:pt>
                <c:pt idx="545">
                  <c:v>-6.0644868917068866</c:v>
                </c:pt>
                <c:pt idx="546">
                  <c:v>-6.0700692172156812</c:v>
                </c:pt>
                <c:pt idx="547">
                  <c:v>-6.0756515620216138</c:v>
                </c:pt>
                <c:pt idx="548">
                  <c:v>-6.0812339261241073</c:v>
                </c:pt>
                <c:pt idx="549">
                  <c:v>-6.0868163095225842</c:v>
                </c:pt>
                <c:pt idx="550">
                  <c:v>-6.0923987122164664</c:v>
                </c:pt>
                <c:pt idx="551">
                  <c:v>-6.0979811342051766</c:v>
                </c:pt>
                <c:pt idx="552">
                  <c:v>-6.1035635754881366</c:v>
                </c:pt>
                <c:pt idx="553">
                  <c:v>-6.1091460360647689</c:v>
                </c:pt>
                <c:pt idx="554">
                  <c:v>-6.1147285159344955</c:v>
                </c:pt>
                <c:pt idx="555">
                  <c:v>-6.120311015096739</c:v>
                </c:pt>
                <c:pt idx="556">
                  <c:v>-6.1258935335509221</c:v>
                </c:pt>
                <c:pt idx="557">
                  <c:v>-6.1314760712964667</c:v>
                </c:pt>
                <c:pt idx="558">
                  <c:v>-6.1370586283327953</c:v>
                </c:pt>
                <c:pt idx="559">
                  <c:v>-6.1426412046593306</c:v>
                </c:pt>
                <c:pt idx="560">
                  <c:v>-6.1482238002754945</c:v>
                </c:pt>
                <c:pt idx="561">
                  <c:v>-6.1538064151807097</c:v>
                </c:pt>
                <c:pt idx="562">
                  <c:v>-6.1593890493743988</c:v>
                </c:pt>
                <c:pt idx="563">
                  <c:v>-6.1649717028559836</c:v>
                </c:pt>
                <c:pt idx="564">
                  <c:v>-6.1705543756248868</c:v>
                </c:pt>
                <c:pt idx="565">
                  <c:v>-6.1761370676805312</c:v>
                </c:pt>
                <c:pt idx="566">
                  <c:v>-6.1817197790223393</c:v>
                </c:pt>
                <c:pt idx="567">
                  <c:v>-6.1873025096497338</c:v>
                </c:pt>
                <c:pt idx="568">
                  <c:v>-6.1928852595621366</c:v>
                </c:pt>
                <c:pt idx="569">
                  <c:v>-6.1984680287589704</c:v>
                </c:pt>
                <c:pt idx="570">
                  <c:v>-6.2040508172396578</c:v>
                </c:pt>
                <c:pt idx="571">
                  <c:v>-6.2096336250036215</c:v>
                </c:pt>
                <c:pt idx="572">
                  <c:v>-6.2152164520502842</c:v>
                </c:pt>
                <c:pt idx="573">
                  <c:v>-6.2207992983790676</c:v>
                </c:pt>
                <c:pt idx="574">
                  <c:v>-6.2263821639893955</c:v>
                </c:pt>
                <c:pt idx="575">
                  <c:v>-6.2319650488806895</c:v>
                </c:pt>
                <c:pt idx="576">
                  <c:v>-6.2375479530523723</c:v>
                </c:pt>
                <c:pt idx="577">
                  <c:v>-6.2431308765038676</c:v>
                </c:pt>
                <c:pt idx="578">
                  <c:v>-6.248713819234597</c:v>
                </c:pt>
                <c:pt idx="579">
                  <c:v>-6.2542967812439834</c:v>
                </c:pt>
                <c:pt idx="580">
                  <c:v>-6.2598797625314493</c:v>
                </c:pt>
                <c:pt idx="581">
                  <c:v>-6.2654627630964175</c:v>
                </c:pt>
                <c:pt idx="582">
                  <c:v>-6.2710457829383115</c:v>
                </c:pt>
                <c:pt idx="583">
                  <c:v>-6.2766288220565531</c:v>
                </c:pt>
                <c:pt idx="584">
                  <c:v>-6.2822118804505651</c:v>
                </c:pt>
                <c:pt idx="585">
                  <c:v>-6.287794958119771</c:v>
                </c:pt>
                <c:pt idx="586">
                  <c:v>-6.2933780550635925</c:v>
                </c:pt>
                <c:pt idx="587">
                  <c:v>-6.2989611712814533</c:v>
                </c:pt>
                <c:pt idx="588">
                  <c:v>-6.3045443067727751</c:v>
                </c:pt>
                <c:pt idx="589">
                  <c:v>-6.3101274615369816</c:v>
                </c:pt>
                <c:pt idx="590">
                  <c:v>-6.3157106355734953</c:v>
                </c:pt>
                <c:pt idx="591">
                  <c:v>-6.3212938288817391</c:v>
                </c:pt>
                <c:pt idx="592">
                  <c:v>-6.3268770414611355</c:v>
                </c:pt>
                <c:pt idx="593">
                  <c:v>-6.3324602733111073</c:v>
                </c:pt>
                <c:pt idx="594">
                  <c:v>-6.338043524431078</c:v>
                </c:pt>
                <c:pt idx="595">
                  <c:v>-6.3436267948204703</c:v>
                </c:pt>
                <c:pt idx="596">
                  <c:v>-6.3492100844787069</c:v>
                </c:pt>
                <c:pt idx="597">
                  <c:v>-6.3547933934052105</c:v>
                </c:pt>
                <c:pt idx="598">
                  <c:v>-6.3603767215994047</c:v>
                </c:pt>
                <c:pt idx="599">
                  <c:v>-6.3659600690607121</c:v>
                </c:pt>
                <c:pt idx="600">
                  <c:v>-6.3715434357885554</c:v>
                </c:pt>
                <c:pt idx="601">
                  <c:v>-6.3771268217823573</c:v>
                </c:pt>
                <c:pt idx="602">
                  <c:v>-6.3827102270415415</c:v>
                </c:pt>
                <c:pt idx="603">
                  <c:v>-6.3882936515655304</c:v>
                </c:pt>
                <c:pt idx="604">
                  <c:v>-6.3938770953537469</c:v>
                </c:pt>
                <c:pt idx="605">
                  <c:v>-6.3994605584056146</c:v>
                </c:pt>
                <c:pt idx="606">
                  <c:v>-6.405044040720556</c:v>
                </c:pt>
                <c:pt idx="607">
                  <c:v>-6.4106275422979948</c:v>
                </c:pt>
                <c:pt idx="608">
                  <c:v>-6.4162110631373537</c:v>
                </c:pt>
                <c:pt idx="609">
                  <c:v>-6.4217946032380553</c:v>
                </c:pt>
                <c:pt idx="610">
                  <c:v>-6.4273781625995232</c:v>
                </c:pt>
                <c:pt idx="611">
                  <c:v>-6.4329617412211801</c:v>
                </c:pt>
                <c:pt idx="612">
                  <c:v>-6.4385453391024496</c:v>
                </c:pt>
                <c:pt idx="613">
                  <c:v>-6.4441289562427544</c:v>
                </c:pt>
                <c:pt idx="614">
                  <c:v>-6.449712592641518</c:v>
                </c:pt>
                <c:pt idx="615">
                  <c:v>-6.4552962482981631</c:v>
                </c:pt>
                <c:pt idx="616">
                  <c:v>-6.4608799232121132</c:v>
                </c:pt>
                <c:pt idx="617">
                  <c:v>-6.4664636173827912</c:v>
                </c:pt>
                <c:pt idx="618">
                  <c:v>-6.4720473308096205</c:v>
                </c:pt>
                <c:pt idx="619">
                  <c:v>-6.4776310634920247</c:v>
                </c:pt>
                <c:pt idx="620">
                  <c:v>-6.4832148154294265</c:v>
                </c:pt>
                <c:pt idx="621">
                  <c:v>-6.4887985866212485</c:v>
                </c:pt>
                <c:pt idx="622">
                  <c:v>-6.4943823770669153</c:v>
                </c:pt>
                <c:pt idx="623">
                  <c:v>-6.4999661867658487</c:v>
                </c:pt>
                <c:pt idx="624">
                  <c:v>-6.505550015717473</c:v>
                </c:pt>
                <c:pt idx="625">
                  <c:v>-6.5111338639212111</c:v>
                </c:pt>
                <c:pt idx="626">
                  <c:v>-6.5167177313764864</c:v>
                </c:pt>
                <c:pt idx="627">
                  <c:v>-6.5223016180827225</c:v>
                </c:pt>
                <c:pt idx="628">
                  <c:v>-6.5278855240393421</c:v>
                </c:pt>
                <c:pt idx="629">
                  <c:v>-6.5334694492457688</c:v>
                </c:pt>
                <c:pt idx="630">
                  <c:v>-6.5390533937014261</c:v>
                </c:pt>
                <c:pt idx="631">
                  <c:v>-6.5446373574057368</c:v>
                </c:pt>
                <c:pt idx="632">
                  <c:v>-6.5502213403581253</c:v>
                </c:pt>
                <c:pt idx="633">
                  <c:v>-6.5558053425580143</c:v>
                </c:pt>
                <c:pt idx="634">
                  <c:v>-6.5613893640048273</c:v>
                </c:pt>
                <c:pt idx="635">
                  <c:v>-6.5669734046979871</c:v>
                </c:pt>
                <c:pt idx="636">
                  <c:v>-6.572557464636918</c:v>
                </c:pt>
                <c:pt idx="637">
                  <c:v>-6.5781415438210429</c:v>
                </c:pt>
                <c:pt idx="638">
                  <c:v>-6.5837256422497861</c:v>
                </c:pt>
                <c:pt idx="639">
                  <c:v>-6.5893097599225703</c:v>
                </c:pt>
                <c:pt idx="640">
                  <c:v>-6.5948938968388191</c:v>
                </c:pt>
                <c:pt idx="641">
                  <c:v>-6.6004780529979561</c:v>
                </c:pt>
                <c:pt idx="642">
                  <c:v>-6.6060622283994039</c:v>
                </c:pt>
                <c:pt idx="643">
                  <c:v>-6.6116464230425871</c:v>
                </c:pt>
                <c:pt idx="644">
                  <c:v>-6.6172306369269291</c:v>
                </c:pt>
                <c:pt idx="645">
                  <c:v>-6.6228148700518537</c:v>
                </c:pt>
                <c:pt idx="646">
                  <c:v>-6.6283991224167833</c:v>
                </c:pt>
                <c:pt idx="647">
                  <c:v>-6.6339833940211426</c:v>
                </c:pt>
                <c:pt idx="648">
                  <c:v>-6.639567684864355</c:v>
                </c:pt>
                <c:pt idx="649">
                  <c:v>-6.6451519949458433</c:v>
                </c:pt>
                <c:pt idx="650">
                  <c:v>-6.6507363242650319</c:v>
                </c:pt>
                <c:pt idx="651">
                  <c:v>-6.6563206728213444</c:v>
                </c:pt>
                <c:pt idx="652">
                  <c:v>-6.6619050406142044</c:v>
                </c:pt>
                <c:pt idx="653">
                  <c:v>-6.6674894276430354</c:v>
                </c:pt>
                <c:pt idx="654">
                  <c:v>-6.6730738339072611</c:v>
                </c:pt>
                <c:pt idx="655">
                  <c:v>-6.6786582594063049</c:v>
                </c:pt>
                <c:pt idx="656">
                  <c:v>-6.6842427041395904</c:v>
                </c:pt>
                <c:pt idx="657">
                  <c:v>-6.6898271681065422</c:v>
                </c:pt>
                <c:pt idx="658">
                  <c:v>-6.6954116513065829</c:v>
                </c:pt>
                <c:pt idx="659">
                  <c:v>-6.7009961537391369</c:v>
                </c:pt>
                <c:pt idx="660">
                  <c:v>-6.7065806754036279</c:v>
                </c:pt>
                <c:pt idx="661">
                  <c:v>-6.7121652162994794</c:v>
                </c:pt>
                <c:pt idx="662">
                  <c:v>-6.7177497764261158</c:v>
                </c:pt>
                <c:pt idx="663">
                  <c:v>-6.7233343557829599</c:v>
                </c:pt>
                <c:pt idx="664">
                  <c:v>-6.7289189543694361</c:v>
                </c:pt>
                <c:pt idx="665">
                  <c:v>-6.7345035721849689</c:v>
                </c:pt>
                <c:pt idx="666">
                  <c:v>-6.7400882092289809</c:v>
                </c:pt>
                <c:pt idx="667">
                  <c:v>-6.7456728655008966</c:v>
                </c:pt>
                <c:pt idx="668">
                  <c:v>-6.7512575410001396</c:v>
                </c:pt>
                <c:pt idx="669">
                  <c:v>-6.7568422357261335</c:v>
                </c:pt>
                <c:pt idx="670">
                  <c:v>-6.7624269496783027</c:v>
                </c:pt>
                <c:pt idx="671">
                  <c:v>-6.7680116828560708</c:v>
                </c:pt>
                <c:pt idx="672">
                  <c:v>-6.7735964352588622</c:v>
                </c:pt>
                <c:pt idx="673">
                  <c:v>-6.7791812068860997</c:v>
                </c:pt>
                <c:pt idx="674">
                  <c:v>-6.7847659977372086</c:v>
                </c:pt>
                <c:pt idx="675">
                  <c:v>-6.7903508078116115</c:v>
                </c:pt>
                <c:pt idx="676">
                  <c:v>-6.7959356371087329</c:v>
                </c:pt>
                <c:pt idx="677">
                  <c:v>-6.8015204856279974</c:v>
                </c:pt>
                <c:pt idx="678">
                  <c:v>-6.8071053533688284</c:v>
                </c:pt>
                <c:pt idx="679">
                  <c:v>-6.8126902403306504</c:v>
                </c:pt>
                <c:pt idx="680">
                  <c:v>-6.818275146512887</c:v>
                </c:pt>
                <c:pt idx="681">
                  <c:v>-6.8238600719149618</c:v>
                </c:pt>
                <c:pt idx="682">
                  <c:v>-6.8294450165362992</c:v>
                </c:pt>
                <c:pt idx="683">
                  <c:v>-6.8350299803763237</c:v>
                </c:pt>
                <c:pt idx="684">
                  <c:v>-6.8406149634344589</c:v>
                </c:pt>
                <c:pt idx="685">
                  <c:v>-6.8461999657101282</c:v>
                </c:pt>
                <c:pt idx="686">
                  <c:v>-6.8517849872027572</c:v>
                </c:pt>
                <c:pt idx="687">
                  <c:v>-6.8573700279117693</c:v>
                </c:pt>
                <c:pt idx="688">
                  <c:v>-6.8629550878365881</c:v>
                </c:pt>
                <c:pt idx="689">
                  <c:v>-6.8685401669766382</c:v>
                </c:pt>
                <c:pt idx="690">
                  <c:v>-6.8741252653313438</c:v>
                </c:pt>
                <c:pt idx="691">
                  <c:v>-6.8797103829001287</c:v>
                </c:pt>
                <c:pt idx="692">
                  <c:v>-6.8852955196824173</c:v>
                </c:pt>
                <c:pt idx="693">
                  <c:v>-6.890880675677634</c:v>
                </c:pt>
                <c:pt idx="694">
                  <c:v>-6.8964658508852033</c:v>
                </c:pt>
                <c:pt idx="695">
                  <c:v>-6.9020510453045487</c:v>
                </c:pt>
                <c:pt idx="696">
                  <c:v>-6.9076362589350948</c:v>
                </c:pt>
                <c:pt idx="697">
                  <c:v>-6.9132214917762651</c:v>
                </c:pt>
                <c:pt idx="698">
                  <c:v>-6.918806743827485</c:v>
                </c:pt>
                <c:pt idx="699">
                  <c:v>-6.9243920150881779</c:v>
                </c:pt>
                <c:pt idx="700">
                  <c:v>-6.9299773055577685</c:v>
                </c:pt>
                <c:pt idx="701">
                  <c:v>-6.9355626152356811</c:v>
                </c:pt>
                <c:pt idx="702">
                  <c:v>-6.9411479441213402</c:v>
                </c:pt>
                <c:pt idx="703">
                  <c:v>-6.9467332922141694</c:v>
                </c:pt>
                <c:pt idx="704">
                  <c:v>-6.9523186595135931</c:v>
                </c:pt>
                <c:pt idx="705">
                  <c:v>-6.9579040460190367</c:v>
                </c:pt>
                <c:pt idx="706">
                  <c:v>-6.9634894517299237</c:v>
                </c:pt>
                <c:pt idx="707">
                  <c:v>-6.9690748766456787</c:v>
                </c:pt>
                <c:pt idx="708">
                  <c:v>-6.9746603207657261</c:v>
                </c:pt>
                <c:pt idx="709">
                  <c:v>-6.9802457840894894</c:v>
                </c:pt>
                <c:pt idx="710">
                  <c:v>-6.985831266616394</c:v>
                </c:pt>
                <c:pt idx="711">
                  <c:v>-6.9914167683458643</c:v>
                </c:pt>
                <c:pt idx="712">
                  <c:v>-6.9970022892773249</c:v>
                </c:pt>
                <c:pt idx="713">
                  <c:v>-7.0025878294101993</c:v>
                </c:pt>
                <c:pt idx="714">
                  <c:v>-7.0081733887439128</c:v>
                </c:pt>
                <c:pt idx="715">
                  <c:v>-7.0137589672778899</c:v>
                </c:pt>
                <c:pt idx="716">
                  <c:v>-7.0193445650115542</c:v>
                </c:pt>
                <c:pt idx="717">
                  <c:v>-7.0249301819443311</c:v>
                </c:pt>
                <c:pt idx="718">
                  <c:v>-7.0305158180756449</c:v>
                </c:pt>
                <c:pt idx="719">
                  <c:v>-7.0361014734049201</c:v>
                </c:pt>
                <c:pt idx="720">
                  <c:v>-7.0416871479315812</c:v>
                </c:pt>
                <c:pt idx="721">
                  <c:v>-7.0472728416550527</c:v>
                </c:pt>
                <c:pt idx="722">
                  <c:v>-7.05285855457476</c:v>
                </c:pt>
                <c:pt idx="723">
                  <c:v>-7.0584442866901265</c:v>
                </c:pt>
                <c:pt idx="724">
                  <c:v>-7.0640300380005776</c:v>
                </c:pt>
                <c:pt idx="725">
                  <c:v>-7.0696158085055369</c:v>
                </c:pt>
                <c:pt idx="726">
                  <c:v>-7.0752015982044298</c:v>
                </c:pt>
                <c:pt idx="727">
                  <c:v>-7.0807874070966808</c:v>
                </c:pt>
                <c:pt idx="728">
                  <c:v>-7.086373235181715</c:v>
                </c:pt>
                <c:pt idx="729">
                  <c:v>-7.0919590824589562</c:v>
                </c:pt>
                <c:pt idx="730">
                  <c:v>-7.0975449489278297</c:v>
                </c:pt>
                <c:pt idx="731">
                  <c:v>-7.10313083458776</c:v>
                </c:pt>
                <c:pt idx="732">
                  <c:v>-7.1087167394381723</c:v>
                </c:pt>
                <c:pt idx="733">
                  <c:v>-7.1143026634784903</c:v>
                </c:pt>
                <c:pt idx="734">
                  <c:v>-7.1198886067081393</c:v>
                </c:pt>
                <c:pt idx="735">
                  <c:v>-7.1254745691265438</c:v>
                </c:pt>
                <c:pt idx="736">
                  <c:v>-7.1310605507331291</c:v>
                </c:pt>
                <c:pt idx="737">
                  <c:v>-7.1366465515273196</c:v>
                </c:pt>
                <c:pt idx="738">
                  <c:v>-7.14223257150854</c:v>
                </c:pt>
                <c:pt idx="739">
                  <c:v>-7.1478186106762154</c:v>
                </c:pt>
                <c:pt idx="740">
                  <c:v>-7.1534046690297703</c:v>
                </c:pt>
                <c:pt idx="741">
                  <c:v>-7.1589907465686302</c:v>
                </c:pt>
                <c:pt idx="742">
                  <c:v>-7.1645768432922186</c:v>
                </c:pt>
                <c:pt idx="743">
                  <c:v>-7.1701629591999616</c:v>
                </c:pt>
                <c:pt idx="744">
                  <c:v>-7.1757490942912838</c:v>
                </c:pt>
                <c:pt idx="745">
                  <c:v>-7.1813352485656097</c:v>
                </c:pt>
                <c:pt idx="746">
                  <c:v>-7.1869214220223645</c:v>
                </c:pt>
                <c:pt idx="747">
                  <c:v>-7.1925076146609728</c:v>
                </c:pt>
                <c:pt idx="748">
                  <c:v>-7.1980938264808598</c:v>
                </c:pt>
                <c:pt idx="749">
                  <c:v>-7.2036800574814501</c:v>
                </c:pt>
                <c:pt idx="750">
                  <c:v>-7.209266307662169</c:v>
                </c:pt>
                <c:pt idx="751">
                  <c:v>-7.214852577022441</c:v>
                </c:pt>
                <c:pt idx="752">
                  <c:v>-7.2204388655616913</c:v>
                </c:pt>
                <c:pt idx="753">
                  <c:v>-7.2260251732793455</c:v>
                </c:pt>
                <c:pt idx="754">
                  <c:v>-7.2316115001748278</c:v>
                </c:pt>
                <c:pt idx="755">
                  <c:v>-7.2371978462475637</c:v>
                </c:pt>
                <c:pt idx="756">
                  <c:v>-7.2427842114969776</c:v>
                </c:pt>
                <c:pt idx="757">
                  <c:v>-7.2483705959224958</c:v>
                </c:pt>
                <c:pt idx="758">
                  <c:v>-7.2539569995235418</c:v>
                </c:pt>
                <c:pt idx="759">
                  <c:v>-7.2595434222995419</c:v>
                </c:pt>
                <c:pt idx="760">
                  <c:v>-7.2651298642499205</c:v>
                </c:pt>
                <c:pt idx="761">
                  <c:v>-7.270716325374103</c:v>
                </c:pt>
                <c:pt idx="762">
                  <c:v>-7.2763028056715138</c:v>
                </c:pt>
                <c:pt idx="763">
                  <c:v>-7.2818893051415792</c:v>
                </c:pt>
                <c:pt idx="764">
                  <c:v>-7.2874758237837236</c:v>
                </c:pt>
                <c:pt idx="765">
                  <c:v>-7.2930623615973724</c:v>
                </c:pt>
                <c:pt idx="766">
                  <c:v>-7.2986489185819501</c:v>
                </c:pt>
                <c:pt idx="767">
                  <c:v>-7.3042354947368828</c:v>
                </c:pt>
                <c:pt idx="768">
                  <c:v>-7.3098220900615951</c:v>
                </c:pt>
                <c:pt idx="769">
                  <c:v>-7.3154087045555123</c:v>
                </c:pt>
                <c:pt idx="770">
                  <c:v>-7.3209953382180597</c:v>
                </c:pt>
                <c:pt idx="771">
                  <c:v>-7.3265819910486627</c:v>
                </c:pt>
                <c:pt idx="772">
                  <c:v>-7.3321686630467457</c:v>
                </c:pt>
                <c:pt idx="773">
                  <c:v>-7.3377553542117351</c:v>
                </c:pt>
                <c:pt idx="774">
                  <c:v>-7.3433420645430552</c:v>
                </c:pt>
                <c:pt idx="775">
                  <c:v>-7.3489287940401322</c:v>
                </c:pt>
                <c:pt idx="776">
                  <c:v>-7.3545155427023907</c:v>
                </c:pt>
                <c:pt idx="777">
                  <c:v>-7.360102310529256</c:v>
                </c:pt>
                <c:pt idx="778">
                  <c:v>-7.3656890975201543</c:v>
                </c:pt>
                <c:pt idx="779">
                  <c:v>-7.3712759036745101</c:v>
                </c:pt>
                <c:pt idx="780">
                  <c:v>-7.3768627289917488</c:v>
                </c:pt>
                <c:pt idx="781">
                  <c:v>-7.3824495734712956</c:v>
                </c:pt>
                <c:pt idx="782">
                  <c:v>-7.3880364371125768</c:v>
                </c:pt>
                <c:pt idx="783">
                  <c:v>-7.393623319915017</c:v>
                </c:pt>
                <c:pt idx="784">
                  <c:v>-7.3992102218780413</c:v>
                </c:pt>
                <c:pt idx="785">
                  <c:v>-7.4047971430010762</c:v>
                </c:pt>
                <c:pt idx="786">
                  <c:v>-7.4103840832835459</c:v>
                </c:pt>
                <c:pt idx="787">
                  <c:v>-7.4159710427248768</c:v>
                </c:pt>
                <c:pt idx="788">
                  <c:v>-7.4215580213244943</c:v>
                </c:pt>
                <c:pt idx="789">
                  <c:v>-7.4271450190818227</c:v>
                </c:pt>
                <c:pt idx="790">
                  <c:v>-7.4327320359962883</c:v>
                </c:pt>
                <c:pt idx="791">
                  <c:v>-7.4383190720673174</c:v>
                </c:pt>
                <c:pt idx="792">
                  <c:v>-7.4439061272943343</c:v>
                </c:pt>
                <c:pt idx="793">
                  <c:v>-7.4494932016767645</c:v>
                </c:pt>
                <c:pt idx="794">
                  <c:v>-7.4550802952140343</c:v>
                </c:pt>
                <c:pt idx="795">
                  <c:v>-7.4606674079055688</c:v>
                </c:pt>
                <c:pt idx="796">
                  <c:v>-7.4662545397507936</c:v>
                </c:pt>
                <c:pt idx="797">
                  <c:v>-7.4718416907491347</c:v>
                </c:pt>
                <c:pt idx="798">
                  <c:v>-7.4774288609000177</c:v>
                </c:pt>
                <c:pt idx="799">
                  <c:v>-7.4830160502028678</c:v>
                </c:pt>
                <c:pt idx="800">
                  <c:v>-7.4886032586571103</c:v>
                </c:pt>
                <c:pt idx="801">
                  <c:v>-7.4941904862621707</c:v>
                </c:pt>
                <c:pt idx="802">
                  <c:v>-7.4997777330174751</c:v>
                </c:pt>
                <c:pt idx="803">
                  <c:v>-7.5053649989224498</c:v>
                </c:pt>
                <c:pt idx="804">
                  <c:v>-7.5109522839765193</c:v>
                </c:pt>
                <c:pt idx="805">
                  <c:v>-7.5165395881791097</c:v>
                </c:pt>
                <c:pt idx="806">
                  <c:v>-7.5221269115296474</c:v>
                </c:pt>
                <c:pt idx="807">
                  <c:v>-7.5277142540275568</c:v>
                </c:pt>
                <c:pt idx="808">
                  <c:v>-7.533301615672265</c:v>
                </c:pt>
                <c:pt idx="809">
                  <c:v>-7.5388889964631964</c:v>
                </c:pt>
                <c:pt idx="810">
                  <c:v>-7.5444763963997774</c:v>
                </c:pt>
                <c:pt idx="811">
                  <c:v>-7.5500638154814341</c:v>
                </c:pt>
                <c:pt idx="812">
                  <c:v>-7.5556512537075919</c:v>
                </c:pt>
                <c:pt idx="813">
                  <c:v>-7.5612387110776762</c:v>
                </c:pt>
                <c:pt idx="814">
                  <c:v>-7.5668261875911131</c:v>
                </c:pt>
                <c:pt idx="815">
                  <c:v>-7.572413683247329</c:v>
                </c:pt>
                <c:pt idx="816">
                  <c:v>-7.5780011980457491</c:v>
                </c:pt>
                <c:pt idx="817">
                  <c:v>-7.5835887319857997</c:v>
                </c:pt>
                <c:pt idx="818">
                  <c:v>-7.5891762850669062</c:v>
                </c:pt>
                <c:pt idx="819">
                  <c:v>-7.5947638572884948</c:v>
                </c:pt>
                <c:pt idx="820">
                  <c:v>-7.6003514486499908</c:v>
                </c:pt>
                <c:pt idx="821">
                  <c:v>-7.6059390591508205</c:v>
                </c:pt>
                <c:pt idx="822">
                  <c:v>-7.6115266887904101</c:v>
                </c:pt>
                <c:pt idx="823">
                  <c:v>-7.6171143375681849</c:v>
                </c:pt>
                <c:pt idx="824">
                  <c:v>-7.6227020054835712</c:v>
                </c:pt>
                <c:pt idx="825">
                  <c:v>-7.6282896925359944</c:v>
                </c:pt>
                <c:pt idx="826">
                  <c:v>-7.6338773987248816</c:v>
                </c:pt>
                <c:pt idx="827">
                  <c:v>-7.6394651240496581</c:v>
                </c:pt>
                <c:pt idx="828">
                  <c:v>-7.6450528685097492</c:v>
                </c:pt>
                <c:pt idx="829">
                  <c:v>-7.6506406321045821</c:v>
                </c:pt>
                <c:pt idx="830">
                  <c:v>-7.6562284148335822</c:v>
                </c:pt>
                <c:pt idx="831">
                  <c:v>-7.6618162166961756</c:v>
                </c:pt>
                <c:pt idx="832">
                  <c:v>-7.6674040376917887</c:v>
                </c:pt>
                <c:pt idx="833">
                  <c:v>-7.6729918778198467</c:v>
                </c:pt>
                <c:pt idx="834">
                  <c:v>-7.6785797370797759</c:v>
                </c:pt>
                <c:pt idx="835">
                  <c:v>-7.6841676154710035</c:v>
                </c:pt>
                <c:pt idx="836">
                  <c:v>-7.6897555129929547</c:v>
                </c:pt>
                <c:pt idx="837">
                  <c:v>-7.6953434296450549</c:v>
                </c:pt>
                <c:pt idx="838">
                  <c:v>-7.7009313654267313</c:v>
                </c:pt>
                <c:pt idx="839">
                  <c:v>-7.7065193203374101</c:v>
                </c:pt>
                <c:pt idx="840">
                  <c:v>-7.7121072943765165</c:v>
                </c:pt>
                <c:pt idx="841">
                  <c:v>-7.7176952875434779</c:v>
                </c:pt>
                <c:pt idx="842">
                  <c:v>-7.7232832998377194</c:v>
                </c:pt>
                <c:pt idx="843">
                  <c:v>-7.7288713312586674</c:v>
                </c:pt>
                <c:pt idx="844">
                  <c:v>-7.7344593818057481</c:v>
                </c:pt>
                <c:pt idx="845">
                  <c:v>-7.7400474514783877</c:v>
                </c:pt>
                <c:pt idx="846">
                  <c:v>-7.7456355402760133</c:v>
                </c:pt>
                <c:pt idx="847">
                  <c:v>-7.7512236481980503</c:v>
                </c:pt>
                <c:pt idx="848">
                  <c:v>-7.756811775243925</c:v>
                </c:pt>
                <c:pt idx="849">
                  <c:v>-7.7623999214130635</c:v>
                </c:pt>
                <c:pt idx="850">
                  <c:v>-7.767988086704892</c:v>
                </c:pt>
                <c:pt idx="851">
                  <c:v>-7.7735762711188379</c:v>
                </c:pt>
                <c:pt idx="852">
                  <c:v>-7.7791644746543263</c:v>
                </c:pt>
                <c:pt idx="853">
                  <c:v>-7.7847526973107843</c:v>
                </c:pt>
                <c:pt idx="854">
                  <c:v>-7.7903409390876375</c:v>
                </c:pt>
                <c:pt idx="855">
                  <c:v>-7.7959291999843128</c:v>
                </c:pt>
                <c:pt idx="856">
                  <c:v>-7.8015174800002365</c:v>
                </c:pt>
                <c:pt idx="857">
                  <c:v>-7.8071057791348348</c:v>
                </c:pt>
                <c:pt idx="858">
                  <c:v>-7.8126940973875341</c:v>
                </c:pt>
                <c:pt idx="859">
                  <c:v>-7.8182824347577604</c:v>
                </c:pt>
                <c:pt idx="860">
                  <c:v>-7.823870791244941</c:v>
                </c:pt>
                <c:pt idx="861">
                  <c:v>-7.8294591668485021</c:v>
                </c:pt>
                <c:pt idx="862">
                  <c:v>-7.8350475615678699</c:v>
                </c:pt>
                <c:pt idx="863">
                  <c:v>-7.8406359754024706</c:v>
                </c:pt>
                <c:pt idx="864">
                  <c:v>-7.8462244083517314</c:v>
                </c:pt>
                <c:pt idx="865">
                  <c:v>-7.8518128604150776</c:v>
                </c:pt>
                <c:pt idx="866">
                  <c:v>-7.8574013315919364</c:v>
                </c:pt>
                <c:pt idx="867">
                  <c:v>-7.8629898218817349</c:v>
                </c:pt>
                <c:pt idx="868">
                  <c:v>-7.8685783312838984</c:v>
                </c:pt>
                <c:pt idx="869">
                  <c:v>-7.874166859797854</c:v>
                </c:pt>
                <c:pt idx="870">
                  <c:v>-7.8797554074230289</c:v>
                </c:pt>
                <c:pt idx="871">
                  <c:v>-7.8853439741588485</c:v>
                </c:pt>
                <c:pt idx="872">
                  <c:v>-7.8909325600047406</c:v>
                </c:pt>
                <c:pt idx="873">
                  <c:v>-7.8965211649601308</c:v>
                </c:pt>
                <c:pt idx="874">
                  <c:v>-7.9021097890244461</c:v>
                </c:pt>
                <c:pt idx="875">
                  <c:v>-7.9076984321971127</c:v>
                </c:pt>
                <c:pt idx="876">
                  <c:v>-7.9132870944775577</c:v>
                </c:pt>
                <c:pt idx="877">
                  <c:v>-7.9188757758652075</c:v>
                </c:pt>
                <c:pt idx="878">
                  <c:v>-7.9244644763594891</c:v>
                </c:pt>
                <c:pt idx="879">
                  <c:v>-7.9300531959598288</c:v>
                </c:pt>
                <c:pt idx="880">
                  <c:v>-7.9356419346656537</c:v>
                </c:pt>
                <c:pt idx="881">
                  <c:v>-7.94123069247639</c:v>
                </c:pt>
                <c:pt idx="882">
                  <c:v>-7.9468194693914649</c:v>
                </c:pt>
                <c:pt idx="883">
                  <c:v>-7.9524082654103045</c:v>
                </c:pt>
                <c:pt idx="884">
                  <c:v>-7.9579970805323361</c:v>
                </c:pt>
                <c:pt idx="885">
                  <c:v>-7.9635859147569859</c:v>
                </c:pt>
                <c:pt idx="886">
                  <c:v>-7.9691747680836809</c:v>
                </c:pt>
                <c:pt idx="887">
                  <c:v>-7.9747636405118483</c:v>
                </c:pt>
                <c:pt idx="888">
                  <c:v>-7.9803525320409143</c:v>
                </c:pt>
                <c:pt idx="889">
                  <c:v>-7.9859414426703053</c:v>
                </c:pt>
                <c:pt idx="890">
                  <c:v>-7.9915303723994491</c:v>
                </c:pt>
                <c:pt idx="891">
                  <c:v>-7.997119321227772</c:v>
                </c:pt>
                <c:pt idx="892">
                  <c:v>-8.0027082891547003</c:v>
                </c:pt>
                <c:pt idx="893">
                  <c:v>-8.0082972761796629</c:v>
                </c:pt>
                <c:pt idx="894">
                  <c:v>-8.0138862823020851</c:v>
                </c:pt>
                <c:pt idx="895">
                  <c:v>-8.0194753075213931</c:v>
                </c:pt>
                <c:pt idx="896">
                  <c:v>-8.0250643518370151</c:v>
                </c:pt>
                <c:pt idx="897">
                  <c:v>-8.0306534152483771</c:v>
                </c:pt>
                <c:pt idx="898">
                  <c:v>-8.0362424977549072</c:v>
                </c:pt>
                <c:pt idx="899">
                  <c:v>-8.0418315993560316</c:v>
                </c:pt>
                <c:pt idx="900">
                  <c:v>-8.0474207200511767</c:v>
                </c:pt>
                <c:pt idx="901">
                  <c:v>-8.0530098598397704</c:v>
                </c:pt>
                <c:pt idx="902">
                  <c:v>-8.0585990187212388</c:v>
                </c:pt>
                <c:pt idx="903">
                  <c:v>-8.0641881966950102</c:v>
                </c:pt>
                <c:pt idx="904">
                  <c:v>-8.0697773937605106</c:v>
                </c:pt>
                <c:pt idx="905">
                  <c:v>-8.0753666099171664</c:v>
                </c:pt>
                <c:pt idx="906">
                  <c:v>-8.0809558451644055</c:v>
                </c:pt>
                <c:pt idx="907">
                  <c:v>-8.0865450995016559</c:v>
                </c:pt>
                <c:pt idx="908">
                  <c:v>-8.0921343729283421</c:v>
                </c:pt>
                <c:pt idx="909">
                  <c:v>-8.097723665443894</c:v>
                </c:pt>
                <c:pt idx="910">
                  <c:v>-8.1033129770477377</c:v>
                </c:pt>
                <c:pt idx="911">
                  <c:v>-8.1089023077392994</c:v>
                </c:pt>
                <c:pt idx="912">
                  <c:v>-8.1144916575180073</c:v>
                </c:pt>
                <c:pt idx="913">
                  <c:v>-8.1200810263832874</c:v>
                </c:pt>
                <c:pt idx="914">
                  <c:v>-8.1256704143345679</c:v>
                </c:pt>
                <c:pt idx="915">
                  <c:v>-8.131259821371275</c:v>
                </c:pt>
                <c:pt idx="916">
                  <c:v>-8.1368492474928367</c:v>
                </c:pt>
                <c:pt idx="917">
                  <c:v>-8.1424386926986791</c:v>
                </c:pt>
                <c:pt idx="918">
                  <c:v>-8.1480281569882305</c:v>
                </c:pt>
                <c:pt idx="919">
                  <c:v>-8.1536176403609169</c:v>
                </c:pt>
                <c:pt idx="920">
                  <c:v>-8.1592071428161663</c:v>
                </c:pt>
                <c:pt idx="921">
                  <c:v>-8.1647966643534051</c:v>
                </c:pt>
                <c:pt idx="922">
                  <c:v>-8.1703862049720613</c:v>
                </c:pt>
                <c:pt idx="923">
                  <c:v>-8.1759757646715627</c:v>
                </c:pt>
                <c:pt idx="924">
                  <c:v>-8.1815653434513358</c:v>
                </c:pt>
                <c:pt idx="925">
                  <c:v>-8.1871549413108085</c:v>
                </c:pt>
                <c:pt idx="926">
                  <c:v>-8.1927445582494069</c:v>
                </c:pt>
                <c:pt idx="927">
                  <c:v>-8.1983341942665593</c:v>
                </c:pt>
                <c:pt idx="928">
                  <c:v>-8.2039238493616935</c:v>
                </c:pt>
                <c:pt idx="929">
                  <c:v>-8.2095135235342358</c:v>
                </c:pt>
                <c:pt idx="930">
                  <c:v>-8.2151032167836142</c:v>
                </c:pt>
                <c:pt idx="931">
                  <c:v>-8.220692929109255</c:v>
                </c:pt>
                <c:pt idx="932">
                  <c:v>-8.2262826605105879</c:v>
                </c:pt>
                <c:pt idx="933">
                  <c:v>-8.2318724109870374</c:v>
                </c:pt>
                <c:pt idx="934">
                  <c:v>-8.2374621805380333</c:v>
                </c:pt>
                <c:pt idx="935">
                  <c:v>-8.2430519691630018</c:v>
                </c:pt>
                <c:pt idx="936">
                  <c:v>-8.2486417768613691</c:v>
                </c:pt>
                <c:pt idx="937">
                  <c:v>-8.2542316036325651</c:v>
                </c:pt>
                <c:pt idx="938">
                  <c:v>-8.259821449476016</c:v>
                </c:pt>
                <c:pt idx="939">
                  <c:v>-8.2654113143911498</c:v>
                </c:pt>
                <c:pt idx="940">
                  <c:v>-8.2710011983773928</c:v>
                </c:pt>
                <c:pt idx="941">
                  <c:v>-8.2765911014341729</c:v>
                </c:pt>
                <c:pt idx="942">
                  <c:v>-8.2821810235609181</c:v>
                </c:pt>
                <c:pt idx="943">
                  <c:v>-8.2877709647570565</c:v>
                </c:pt>
                <c:pt idx="944">
                  <c:v>-8.2933609250220144</c:v>
                </c:pt>
                <c:pt idx="945">
                  <c:v>-8.2989509043552196</c:v>
                </c:pt>
                <c:pt idx="946">
                  <c:v>-8.3045409027561004</c:v>
                </c:pt>
                <c:pt idx="947">
                  <c:v>-8.3101309202240845</c:v>
                </c:pt>
                <c:pt idx="948">
                  <c:v>-8.3157209567585983</c:v>
                </c:pt>
                <c:pt idx="949">
                  <c:v>-8.3213110123590699</c:v>
                </c:pt>
                <c:pt idx="950">
                  <c:v>-8.3269010870249272</c:v>
                </c:pt>
                <c:pt idx="951">
                  <c:v>-8.3324911807555981</c:v>
                </c:pt>
                <c:pt idx="952">
                  <c:v>-8.3380812935505091</c:v>
                </c:pt>
                <c:pt idx="953">
                  <c:v>-8.343671425409088</c:v>
                </c:pt>
                <c:pt idx="954">
                  <c:v>-8.3492615763307629</c:v>
                </c:pt>
                <c:pt idx="955">
                  <c:v>-8.3548517463149619</c:v>
                </c:pt>
                <c:pt idx="956">
                  <c:v>-8.3604419353611128</c:v>
                </c:pt>
                <c:pt idx="957">
                  <c:v>-8.366032143468642</c:v>
                </c:pt>
                <c:pt idx="958">
                  <c:v>-8.3716223706369792</c:v>
                </c:pt>
                <c:pt idx="959">
                  <c:v>-8.3772126168655507</c:v>
                </c:pt>
                <c:pt idx="960">
                  <c:v>-8.3828028821537846</c:v>
                </c:pt>
                <c:pt idx="961">
                  <c:v>-8.3883931665011087</c:v>
                </c:pt>
                <c:pt idx="962">
                  <c:v>-8.3939834699069493</c:v>
                </c:pt>
                <c:pt idx="963">
                  <c:v>-8.3995737923707363</c:v>
                </c:pt>
                <c:pt idx="964">
                  <c:v>-8.4051641338918959</c:v>
                </c:pt>
                <c:pt idx="965">
                  <c:v>-8.4107544944698578</c:v>
                </c:pt>
                <c:pt idx="966">
                  <c:v>-8.4163448741040483</c:v>
                </c:pt>
                <c:pt idx="967">
                  <c:v>-8.4219352727938954</c:v>
                </c:pt>
                <c:pt idx="968">
                  <c:v>-8.4275256905388272</c:v>
                </c:pt>
                <c:pt idx="969">
                  <c:v>-8.4331161273382715</c:v>
                </c:pt>
                <c:pt idx="970">
                  <c:v>-8.4387065831916566</c:v>
                </c:pt>
                <c:pt idx="971">
                  <c:v>-8.4442970580984102</c:v>
                </c:pt>
                <c:pt idx="972">
                  <c:v>-8.4498875520579606</c:v>
                </c:pt>
                <c:pt idx="973">
                  <c:v>-8.4554780650697356</c:v>
                </c:pt>
                <c:pt idx="974">
                  <c:v>-8.4610685971331616</c:v>
                </c:pt>
                <c:pt idx="975">
                  <c:v>-8.4666591482476683</c:v>
                </c:pt>
                <c:pt idx="976">
                  <c:v>-8.4722497184126819</c:v>
                </c:pt>
                <c:pt idx="977">
                  <c:v>-8.4778403076276323</c:v>
                </c:pt>
                <c:pt idx="978">
                  <c:v>-8.4834309158919474</c:v>
                </c:pt>
                <c:pt idx="979">
                  <c:v>-8.4890215432050535</c:v>
                </c:pt>
                <c:pt idx="980">
                  <c:v>-8.4946121895663804</c:v>
                </c:pt>
                <c:pt idx="981">
                  <c:v>-8.5002028549753543</c:v>
                </c:pt>
                <c:pt idx="982">
                  <c:v>-8.505793539431405</c:v>
                </c:pt>
                <c:pt idx="983">
                  <c:v>-8.5113842429339588</c:v>
                </c:pt>
                <c:pt idx="984">
                  <c:v>-8.5169749654824454</c:v>
                </c:pt>
                <c:pt idx="985">
                  <c:v>-8.5225657070762928</c:v>
                </c:pt>
                <c:pt idx="986">
                  <c:v>-8.5281564677149273</c:v>
                </c:pt>
                <c:pt idx="987">
                  <c:v>-8.5337472473977787</c:v>
                </c:pt>
                <c:pt idx="988">
                  <c:v>-8.5393380461242749</c:v>
                </c:pt>
                <c:pt idx="989">
                  <c:v>-8.5449288638938441</c:v>
                </c:pt>
                <c:pt idx="990">
                  <c:v>-8.5505197007059142</c:v>
                </c:pt>
                <c:pt idx="991">
                  <c:v>-8.5561105565599131</c:v>
                </c:pt>
                <c:pt idx="992">
                  <c:v>-8.5617014314552691</c:v>
                </c:pt>
                <c:pt idx="993">
                  <c:v>-8.5672923253914099</c:v>
                </c:pt>
                <c:pt idx="994">
                  <c:v>-8.5728832383677638</c:v>
                </c:pt>
                <c:pt idx="995">
                  <c:v>-8.5784741703837604</c:v>
                </c:pt>
                <c:pt idx="996">
                  <c:v>-8.5840651214388259</c:v>
                </c:pt>
                <c:pt idx="997">
                  <c:v>-8.5896560915323903</c:v>
                </c:pt>
                <c:pt idx="998">
                  <c:v>-8.5952470806638814</c:v>
                </c:pt>
                <c:pt idx="999">
                  <c:v>-8.6008380888327274</c:v>
                </c:pt>
                <c:pt idx="1000">
                  <c:v>-8.6064291160383561</c:v>
                </c:pt>
              </c:numCache>
            </c:numRef>
          </c:yVal>
          <c:smooth val="1"/>
        </c:ser>
        <c:ser>
          <c:idx val="1"/>
          <c:order val="2"/>
          <c:tx>
            <c:strRef>
              <c:f>Trajecto!$B$107</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16.900099999999973</c:v>
                </c:pt>
                <c:pt idx="351">
                  <c:v>16.900199999999973</c:v>
                </c:pt>
                <c:pt idx="352">
                  <c:v>16.900299999999973</c:v>
                </c:pt>
                <c:pt idx="353">
                  <c:v>16.900399999999973</c:v>
                </c:pt>
                <c:pt idx="354">
                  <c:v>16.900499999999973</c:v>
                </c:pt>
                <c:pt idx="355">
                  <c:v>16.900599999999972</c:v>
                </c:pt>
                <c:pt idx="356">
                  <c:v>16.900699999999972</c:v>
                </c:pt>
                <c:pt idx="357">
                  <c:v>16.900799999999972</c:v>
                </c:pt>
                <c:pt idx="358">
                  <c:v>16.900899999999972</c:v>
                </c:pt>
                <c:pt idx="359">
                  <c:v>16.900999999999971</c:v>
                </c:pt>
                <c:pt idx="360">
                  <c:v>16.901099999999971</c:v>
                </c:pt>
                <c:pt idx="361">
                  <c:v>16.901199999999971</c:v>
                </c:pt>
                <c:pt idx="362">
                  <c:v>16.901299999999971</c:v>
                </c:pt>
                <c:pt idx="363">
                  <c:v>16.90139999999997</c:v>
                </c:pt>
                <c:pt idx="364">
                  <c:v>16.90149999999997</c:v>
                </c:pt>
                <c:pt idx="365">
                  <c:v>16.90159999999997</c:v>
                </c:pt>
                <c:pt idx="366">
                  <c:v>16.90169999999997</c:v>
                </c:pt>
                <c:pt idx="367">
                  <c:v>16.90179999999997</c:v>
                </c:pt>
                <c:pt idx="368">
                  <c:v>16.901899999999969</c:v>
                </c:pt>
                <c:pt idx="369">
                  <c:v>16.901999999999969</c:v>
                </c:pt>
                <c:pt idx="370">
                  <c:v>16.902099999999969</c:v>
                </c:pt>
                <c:pt idx="371">
                  <c:v>16.902199999999969</c:v>
                </c:pt>
                <c:pt idx="372">
                  <c:v>16.902299999999968</c:v>
                </c:pt>
                <c:pt idx="373">
                  <c:v>16.902399999999968</c:v>
                </c:pt>
                <c:pt idx="374">
                  <c:v>16.902499999999968</c:v>
                </c:pt>
                <c:pt idx="375">
                  <c:v>16.902599999999968</c:v>
                </c:pt>
                <c:pt idx="376">
                  <c:v>16.902699999999967</c:v>
                </c:pt>
                <c:pt idx="377">
                  <c:v>16.902799999999967</c:v>
                </c:pt>
                <c:pt idx="378">
                  <c:v>16.902899999999967</c:v>
                </c:pt>
                <c:pt idx="379">
                  <c:v>16.902999999999967</c:v>
                </c:pt>
                <c:pt idx="380">
                  <c:v>16.903099999999966</c:v>
                </c:pt>
                <c:pt idx="381">
                  <c:v>16.903199999999966</c:v>
                </c:pt>
                <c:pt idx="382">
                  <c:v>16.903299999999966</c:v>
                </c:pt>
                <c:pt idx="383">
                  <c:v>16.903399999999966</c:v>
                </c:pt>
                <c:pt idx="384">
                  <c:v>16.903499999999966</c:v>
                </c:pt>
                <c:pt idx="385">
                  <c:v>16.903599999999965</c:v>
                </c:pt>
                <c:pt idx="386">
                  <c:v>16.903699999999965</c:v>
                </c:pt>
                <c:pt idx="387">
                  <c:v>16.903799999999965</c:v>
                </c:pt>
                <c:pt idx="388">
                  <c:v>16.903899999999965</c:v>
                </c:pt>
                <c:pt idx="389">
                  <c:v>16.903999999999964</c:v>
                </c:pt>
                <c:pt idx="390">
                  <c:v>16.904099999999964</c:v>
                </c:pt>
                <c:pt idx="391">
                  <c:v>16.904199999999964</c:v>
                </c:pt>
                <c:pt idx="392">
                  <c:v>16.904299999999964</c:v>
                </c:pt>
                <c:pt idx="393">
                  <c:v>16.904399999999963</c:v>
                </c:pt>
                <c:pt idx="394">
                  <c:v>16.904499999999963</c:v>
                </c:pt>
                <c:pt idx="395">
                  <c:v>16.904599999999963</c:v>
                </c:pt>
                <c:pt idx="396">
                  <c:v>16.904699999999963</c:v>
                </c:pt>
                <c:pt idx="397">
                  <c:v>16.904799999999963</c:v>
                </c:pt>
                <c:pt idx="398">
                  <c:v>16.904899999999962</c:v>
                </c:pt>
                <c:pt idx="399">
                  <c:v>16.904999999999962</c:v>
                </c:pt>
                <c:pt idx="400">
                  <c:v>16.905099999999962</c:v>
                </c:pt>
                <c:pt idx="401">
                  <c:v>16.905199999999962</c:v>
                </c:pt>
                <c:pt idx="402">
                  <c:v>16.905299999999961</c:v>
                </c:pt>
                <c:pt idx="403">
                  <c:v>16.905399999999961</c:v>
                </c:pt>
                <c:pt idx="404">
                  <c:v>16.905499999999961</c:v>
                </c:pt>
                <c:pt idx="405">
                  <c:v>16.905599999999961</c:v>
                </c:pt>
                <c:pt idx="406">
                  <c:v>16.90569999999996</c:v>
                </c:pt>
                <c:pt idx="407">
                  <c:v>16.90579999999996</c:v>
                </c:pt>
                <c:pt idx="408">
                  <c:v>16.90589999999996</c:v>
                </c:pt>
                <c:pt idx="409">
                  <c:v>16.90599999999996</c:v>
                </c:pt>
                <c:pt idx="410">
                  <c:v>16.906099999999959</c:v>
                </c:pt>
                <c:pt idx="411">
                  <c:v>16.906199999999959</c:v>
                </c:pt>
                <c:pt idx="412">
                  <c:v>16.906299999999959</c:v>
                </c:pt>
                <c:pt idx="413">
                  <c:v>16.906399999999959</c:v>
                </c:pt>
                <c:pt idx="414">
                  <c:v>16.906499999999959</c:v>
                </c:pt>
                <c:pt idx="415">
                  <c:v>16.906599999999958</c:v>
                </c:pt>
                <c:pt idx="416">
                  <c:v>16.906699999999958</c:v>
                </c:pt>
                <c:pt idx="417">
                  <c:v>16.906799999999958</c:v>
                </c:pt>
                <c:pt idx="418">
                  <c:v>16.906899999999958</c:v>
                </c:pt>
                <c:pt idx="419">
                  <c:v>16.906999999999957</c:v>
                </c:pt>
                <c:pt idx="420">
                  <c:v>16.907099999999957</c:v>
                </c:pt>
                <c:pt idx="421">
                  <c:v>16.907199999999957</c:v>
                </c:pt>
                <c:pt idx="422">
                  <c:v>16.907299999999957</c:v>
                </c:pt>
                <c:pt idx="423">
                  <c:v>16.907399999999956</c:v>
                </c:pt>
                <c:pt idx="424">
                  <c:v>16.907499999999956</c:v>
                </c:pt>
                <c:pt idx="425">
                  <c:v>16.907599999999956</c:v>
                </c:pt>
                <c:pt idx="426">
                  <c:v>16.907699999999956</c:v>
                </c:pt>
                <c:pt idx="427">
                  <c:v>16.907799999999956</c:v>
                </c:pt>
                <c:pt idx="428">
                  <c:v>16.907899999999955</c:v>
                </c:pt>
                <c:pt idx="429">
                  <c:v>16.907999999999955</c:v>
                </c:pt>
                <c:pt idx="430">
                  <c:v>16.908099999999955</c:v>
                </c:pt>
                <c:pt idx="431">
                  <c:v>16.908199999999955</c:v>
                </c:pt>
                <c:pt idx="432">
                  <c:v>16.908299999999954</c:v>
                </c:pt>
                <c:pt idx="433">
                  <c:v>16.908399999999954</c:v>
                </c:pt>
                <c:pt idx="434">
                  <c:v>16.908499999999954</c:v>
                </c:pt>
                <c:pt idx="435">
                  <c:v>16.908599999999954</c:v>
                </c:pt>
                <c:pt idx="436">
                  <c:v>16.908699999999953</c:v>
                </c:pt>
                <c:pt idx="437">
                  <c:v>16.908799999999953</c:v>
                </c:pt>
                <c:pt idx="438">
                  <c:v>16.908899999999953</c:v>
                </c:pt>
                <c:pt idx="439">
                  <c:v>16.908999999999953</c:v>
                </c:pt>
                <c:pt idx="440">
                  <c:v>16.909099999999953</c:v>
                </c:pt>
                <c:pt idx="441">
                  <c:v>16.909199999999952</c:v>
                </c:pt>
                <c:pt idx="442">
                  <c:v>16.909299999999952</c:v>
                </c:pt>
                <c:pt idx="443">
                  <c:v>16.909399999999952</c:v>
                </c:pt>
                <c:pt idx="444">
                  <c:v>16.909499999999952</c:v>
                </c:pt>
                <c:pt idx="445">
                  <c:v>16.909599999999951</c:v>
                </c:pt>
                <c:pt idx="446">
                  <c:v>16.909699999999951</c:v>
                </c:pt>
                <c:pt idx="447">
                  <c:v>16.909799999999951</c:v>
                </c:pt>
                <c:pt idx="448">
                  <c:v>16.909899999999951</c:v>
                </c:pt>
                <c:pt idx="449">
                  <c:v>16.90999999999995</c:v>
                </c:pt>
                <c:pt idx="450">
                  <c:v>16.91009999999995</c:v>
                </c:pt>
                <c:pt idx="451">
                  <c:v>16.91019999999995</c:v>
                </c:pt>
                <c:pt idx="452">
                  <c:v>16.91029999999995</c:v>
                </c:pt>
                <c:pt idx="453">
                  <c:v>16.910399999999949</c:v>
                </c:pt>
                <c:pt idx="454">
                  <c:v>16.910499999999949</c:v>
                </c:pt>
                <c:pt idx="455">
                  <c:v>16.910599999999949</c:v>
                </c:pt>
                <c:pt idx="456">
                  <c:v>16.910699999999949</c:v>
                </c:pt>
                <c:pt idx="457">
                  <c:v>16.910799999999949</c:v>
                </c:pt>
                <c:pt idx="458">
                  <c:v>16.910899999999948</c:v>
                </c:pt>
                <c:pt idx="459">
                  <c:v>16.910999999999948</c:v>
                </c:pt>
                <c:pt idx="460">
                  <c:v>16.911099999999948</c:v>
                </c:pt>
                <c:pt idx="461">
                  <c:v>16.911199999999948</c:v>
                </c:pt>
                <c:pt idx="462">
                  <c:v>16.911299999999947</c:v>
                </c:pt>
                <c:pt idx="463">
                  <c:v>16.911399999999947</c:v>
                </c:pt>
                <c:pt idx="464">
                  <c:v>16.911499999999947</c:v>
                </c:pt>
                <c:pt idx="465">
                  <c:v>16.911599999999947</c:v>
                </c:pt>
                <c:pt idx="466">
                  <c:v>16.911699999999946</c:v>
                </c:pt>
                <c:pt idx="467">
                  <c:v>16.911799999999946</c:v>
                </c:pt>
                <c:pt idx="468">
                  <c:v>16.911899999999946</c:v>
                </c:pt>
                <c:pt idx="469">
                  <c:v>16.911999999999946</c:v>
                </c:pt>
                <c:pt idx="470">
                  <c:v>16.912099999999946</c:v>
                </c:pt>
                <c:pt idx="471">
                  <c:v>16.912199999999945</c:v>
                </c:pt>
                <c:pt idx="472">
                  <c:v>16.912299999999945</c:v>
                </c:pt>
                <c:pt idx="473">
                  <c:v>16.912399999999945</c:v>
                </c:pt>
                <c:pt idx="474">
                  <c:v>16.912499999999945</c:v>
                </c:pt>
                <c:pt idx="475">
                  <c:v>16.912599999999944</c:v>
                </c:pt>
                <c:pt idx="476">
                  <c:v>16.912699999999944</c:v>
                </c:pt>
                <c:pt idx="477">
                  <c:v>16.912799999999944</c:v>
                </c:pt>
                <c:pt idx="478">
                  <c:v>16.912899999999944</c:v>
                </c:pt>
                <c:pt idx="479">
                  <c:v>16.912999999999943</c:v>
                </c:pt>
                <c:pt idx="480">
                  <c:v>16.913099999999943</c:v>
                </c:pt>
                <c:pt idx="481">
                  <c:v>16.913199999999943</c:v>
                </c:pt>
                <c:pt idx="482">
                  <c:v>16.913299999999943</c:v>
                </c:pt>
                <c:pt idx="483">
                  <c:v>16.913399999999942</c:v>
                </c:pt>
                <c:pt idx="484">
                  <c:v>16.913499999999942</c:v>
                </c:pt>
                <c:pt idx="485">
                  <c:v>16.913599999999942</c:v>
                </c:pt>
                <c:pt idx="486">
                  <c:v>16.913699999999942</c:v>
                </c:pt>
                <c:pt idx="487">
                  <c:v>16.913799999999942</c:v>
                </c:pt>
                <c:pt idx="488">
                  <c:v>16.913899999999941</c:v>
                </c:pt>
                <c:pt idx="489">
                  <c:v>16.913999999999941</c:v>
                </c:pt>
                <c:pt idx="490">
                  <c:v>16.914099999999941</c:v>
                </c:pt>
                <c:pt idx="491">
                  <c:v>16.914199999999941</c:v>
                </c:pt>
                <c:pt idx="492">
                  <c:v>16.91429999999994</c:v>
                </c:pt>
                <c:pt idx="493">
                  <c:v>16.91439999999994</c:v>
                </c:pt>
                <c:pt idx="494">
                  <c:v>16.91449999999994</c:v>
                </c:pt>
                <c:pt idx="495">
                  <c:v>16.91459999999994</c:v>
                </c:pt>
                <c:pt idx="496">
                  <c:v>16.914699999999939</c:v>
                </c:pt>
                <c:pt idx="497">
                  <c:v>16.914799999999939</c:v>
                </c:pt>
                <c:pt idx="498">
                  <c:v>16.914899999999939</c:v>
                </c:pt>
                <c:pt idx="499">
                  <c:v>16.914999999999939</c:v>
                </c:pt>
                <c:pt idx="500">
                  <c:v>16.915099999999939</c:v>
                </c:pt>
                <c:pt idx="501">
                  <c:v>16.915199999999938</c:v>
                </c:pt>
                <c:pt idx="502">
                  <c:v>16.915299999999938</c:v>
                </c:pt>
                <c:pt idx="503">
                  <c:v>16.915399999999938</c:v>
                </c:pt>
                <c:pt idx="504">
                  <c:v>16.915499999999938</c:v>
                </c:pt>
                <c:pt idx="505">
                  <c:v>16.915599999999937</c:v>
                </c:pt>
                <c:pt idx="506">
                  <c:v>16.915699999999937</c:v>
                </c:pt>
                <c:pt idx="507">
                  <c:v>16.915799999999937</c:v>
                </c:pt>
                <c:pt idx="508">
                  <c:v>16.915899999999937</c:v>
                </c:pt>
                <c:pt idx="509">
                  <c:v>16.915999999999936</c:v>
                </c:pt>
                <c:pt idx="510">
                  <c:v>16.916099999999936</c:v>
                </c:pt>
                <c:pt idx="511">
                  <c:v>16.916199999999936</c:v>
                </c:pt>
                <c:pt idx="512">
                  <c:v>16.916299999999936</c:v>
                </c:pt>
                <c:pt idx="513">
                  <c:v>16.916399999999935</c:v>
                </c:pt>
                <c:pt idx="514">
                  <c:v>16.916499999999935</c:v>
                </c:pt>
                <c:pt idx="515">
                  <c:v>16.916599999999935</c:v>
                </c:pt>
                <c:pt idx="516">
                  <c:v>16.916699999999935</c:v>
                </c:pt>
                <c:pt idx="517">
                  <c:v>16.916799999999935</c:v>
                </c:pt>
                <c:pt idx="518">
                  <c:v>16.916899999999934</c:v>
                </c:pt>
                <c:pt idx="519">
                  <c:v>16.916999999999934</c:v>
                </c:pt>
                <c:pt idx="520">
                  <c:v>16.917099999999934</c:v>
                </c:pt>
                <c:pt idx="521">
                  <c:v>16.917199999999934</c:v>
                </c:pt>
                <c:pt idx="522">
                  <c:v>16.917299999999933</c:v>
                </c:pt>
                <c:pt idx="523">
                  <c:v>16.917399999999933</c:v>
                </c:pt>
                <c:pt idx="524">
                  <c:v>16.917499999999933</c:v>
                </c:pt>
                <c:pt idx="525">
                  <c:v>16.917599999999933</c:v>
                </c:pt>
                <c:pt idx="526">
                  <c:v>16.917699999999932</c:v>
                </c:pt>
                <c:pt idx="527">
                  <c:v>16.917799999999932</c:v>
                </c:pt>
                <c:pt idx="528">
                  <c:v>16.917899999999932</c:v>
                </c:pt>
                <c:pt idx="529">
                  <c:v>16.917999999999932</c:v>
                </c:pt>
                <c:pt idx="530">
                  <c:v>16.918099999999932</c:v>
                </c:pt>
                <c:pt idx="531">
                  <c:v>16.918199999999931</c:v>
                </c:pt>
                <c:pt idx="532">
                  <c:v>16.918299999999931</c:v>
                </c:pt>
                <c:pt idx="533">
                  <c:v>16.918399999999931</c:v>
                </c:pt>
                <c:pt idx="534">
                  <c:v>16.918499999999931</c:v>
                </c:pt>
                <c:pt idx="535">
                  <c:v>16.91859999999993</c:v>
                </c:pt>
                <c:pt idx="536">
                  <c:v>16.91869999999993</c:v>
                </c:pt>
                <c:pt idx="537">
                  <c:v>16.91879999999993</c:v>
                </c:pt>
                <c:pt idx="538">
                  <c:v>16.91889999999993</c:v>
                </c:pt>
                <c:pt idx="539">
                  <c:v>16.918999999999929</c:v>
                </c:pt>
                <c:pt idx="540">
                  <c:v>16.919099999999929</c:v>
                </c:pt>
                <c:pt idx="541">
                  <c:v>16.919199999999929</c:v>
                </c:pt>
                <c:pt idx="542">
                  <c:v>16.919299999999929</c:v>
                </c:pt>
                <c:pt idx="543">
                  <c:v>16.919399999999928</c:v>
                </c:pt>
                <c:pt idx="544">
                  <c:v>16.919499999999928</c:v>
                </c:pt>
                <c:pt idx="545">
                  <c:v>16.919599999999928</c:v>
                </c:pt>
                <c:pt idx="546">
                  <c:v>16.919699999999928</c:v>
                </c:pt>
                <c:pt idx="547">
                  <c:v>16.919799999999928</c:v>
                </c:pt>
                <c:pt idx="548">
                  <c:v>16.919899999999927</c:v>
                </c:pt>
                <c:pt idx="549">
                  <c:v>16.919999999999927</c:v>
                </c:pt>
                <c:pt idx="550">
                  <c:v>16.920099999999927</c:v>
                </c:pt>
                <c:pt idx="551">
                  <c:v>16.920199999999927</c:v>
                </c:pt>
                <c:pt idx="552">
                  <c:v>16.920299999999926</c:v>
                </c:pt>
                <c:pt idx="553">
                  <c:v>16.920399999999926</c:v>
                </c:pt>
                <c:pt idx="554">
                  <c:v>16.920499999999926</c:v>
                </c:pt>
                <c:pt idx="555">
                  <c:v>16.920599999999926</c:v>
                </c:pt>
                <c:pt idx="556">
                  <c:v>16.920699999999925</c:v>
                </c:pt>
                <c:pt idx="557">
                  <c:v>16.920799999999925</c:v>
                </c:pt>
                <c:pt idx="558">
                  <c:v>16.920899999999925</c:v>
                </c:pt>
                <c:pt idx="559">
                  <c:v>16.920999999999925</c:v>
                </c:pt>
                <c:pt idx="560">
                  <c:v>16.921099999999925</c:v>
                </c:pt>
                <c:pt idx="561">
                  <c:v>16.921199999999924</c:v>
                </c:pt>
                <c:pt idx="562">
                  <c:v>16.921299999999924</c:v>
                </c:pt>
                <c:pt idx="563">
                  <c:v>16.921399999999924</c:v>
                </c:pt>
                <c:pt idx="564">
                  <c:v>16.921499999999924</c:v>
                </c:pt>
                <c:pt idx="565">
                  <c:v>16.921599999999923</c:v>
                </c:pt>
                <c:pt idx="566">
                  <c:v>16.921699999999923</c:v>
                </c:pt>
                <c:pt idx="567">
                  <c:v>16.921799999999923</c:v>
                </c:pt>
                <c:pt idx="568">
                  <c:v>16.921899999999923</c:v>
                </c:pt>
                <c:pt idx="569">
                  <c:v>16.921999999999922</c:v>
                </c:pt>
                <c:pt idx="570">
                  <c:v>16.922099999999922</c:v>
                </c:pt>
                <c:pt idx="571">
                  <c:v>16.922199999999922</c:v>
                </c:pt>
                <c:pt idx="572">
                  <c:v>16.922299999999922</c:v>
                </c:pt>
                <c:pt idx="573">
                  <c:v>16.922399999999922</c:v>
                </c:pt>
                <c:pt idx="574">
                  <c:v>16.922499999999921</c:v>
                </c:pt>
                <c:pt idx="575">
                  <c:v>16.922599999999921</c:v>
                </c:pt>
                <c:pt idx="576">
                  <c:v>16.922699999999921</c:v>
                </c:pt>
                <c:pt idx="577">
                  <c:v>16.922799999999921</c:v>
                </c:pt>
                <c:pt idx="578">
                  <c:v>16.92289999999992</c:v>
                </c:pt>
                <c:pt idx="579">
                  <c:v>16.92299999999992</c:v>
                </c:pt>
                <c:pt idx="580">
                  <c:v>16.92309999999992</c:v>
                </c:pt>
                <c:pt idx="581">
                  <c:v>16.92319999999992</c:v>
                </c:pt>
                <c:pt idx="582">
                  <c:v>16.923299999999919</c:v>
                </c:pt>
                <c:pt idx="583">
                  <c:v>16.923399999999919</c:v>
                </c:pt>
                <c:pt idx="584">
                  <c:v>16.923499999999919</c:v>
                </c:pt>
                <c:pt idx="585">
                  <c:v>16.923599999999919</c:v>
                </c:pt>
                <c:pt idx="586">
                  <c:v>16.923699999999918</c:v>
                </c:pt>
                <c:pt idx="587">
                  <c:v>16.923799999999918</c:v>
                </c:pt>
                <c:pt idx="588">
                  <c:v>16.923899999999918</c:v>
                </c:pt>
                <c:pt idx="589">
                  <c:v>16.923999999999918</c:v>
                </c:pt>
                <c:pt idx="590">
                  <c:v>16.924099999999918</c:v>
                </c:pt>
                <c:pt idx="591">
                  <c:v>16.924199999999917</c:v>
                </c:pt>
                <c:pt idx="592">
                  <c:v>16.924299999999917</c:v>
                </c:pt>
                <c:pt idx="593">
                  <c:v>16.924399999999917</c:v>
                </c:pt>
                <c:pt idx="594">
                  <c:v>16.924499999999917</c:v>
                </c:pt>
                <c:pt idx="595">
                  <c:v>16.924599999999916</c:v>
                </c:pt>
                <c:pt idx="596">
                  <c:v>16.924699999999916</c:v>
                </c:pt>
                <c:pt idx="597">
                  <c:v>16.924799999999916</c:v>
                </c:pt>
                <c:pt idx="598">
                  <c:v>16.924899999999916</c:v>
                </c:pt>
                <c:pt idx="599">
                  <c:v>16.924999999999915</c:v>
                </c:pt>
                <c:pt idx="600">
                  <c:v>16.925099999999915</c:v>
                </c:pt>
                <c:pt idx="601">
                  <c:v>16.925199999999915</c:v>
                </c:pt>
                <c:pt idx="602">
                  <c:v>16.925299999999915</c:v>
                </c:pt>
                <c:pt idx="603">
                  <c:v>16.925399999999915</c:v>
                </c:pt>
                <c:pt idx="604">
                  <c:v>16.925499999999914</c:v>
                </c:pt>
                <c:pt idx="605">
                  <c:v>16.925599999999914</c:v>
                </c:pt>
                <c:pt idx="606">
                  <c:v>16.925699999999914</c:v>
                </c:pt>
                <c:pt idx="607">
                  <c:v>16.925799999999914</c:v>
                </c:pt>
                <c:pt idx="608">
                  <c:v>16.925899999999913</c:v>
                </c:pt>
                <c:pt idx="609">
                  <c:v>16.925999999999913</c:v>
                </c:pt>
                <c:pt idx="610">
                  <c:v>16.926099999999913</c:v>
                </c:pt>
                <c:pt idx="611">
                  <c:v>16.926199999999913</c:v>
                </c:pt>
                <c:pt idx="612">
                  <c:v>16.926299999999912</c:v>
                </c:pt>
                <c:pt idx="613">
                  <c:v>16.926399999999912</c:v>
                </c:pt>
                <c:pt idx="614">
                  <c:v>16.926499999999912</c:v>
                </c:pt>
                <c:pt idx="615">
                  <c:v>16.926599999999912</c:v>
                </c:pt>
                <c:pt idx="616">
                  <c:v>16.926699999999911</c:v>
                </c:pt>
                <c:pt idx="617">
                  <c:v>16.926799999999911</c:v>
                </c:pt>
                <c:pt idx="618">
                  <c:v>16.926899999999911</c:v>
                </c:pt>
                <c:pt idx="619">
                  <c:v>16.926999999999911</c:v>
                </c:pt>
                <c:pt idx="620">
                  <c:v>16.927099999999911</c:v>
                </c:pt>
                <c:pt idx="621">
                  <c:v>16.92719999999991</c:v>
                </c:pt>
                <c:pt idx="622">
                  <c:v>16.92729999999991</c:v>
                </c:pt>
                <c:pt idx="623">
                  <c:v>16.92739999999991</c:v>
                </c:pt>
                <c:pt idx="624">
                  <c:v>16.92749999999991</c:v>
                </c:pt>
                <c:pt idx="625">
                  <c:v>16.927599999999909</c:v>
                </c:pt>
                <c:pt idx="626">
                  <c:v>16.927699999999909</c:v>
                </c:pt>
                <c:pt idx="627">
                  <c:v>16.927799999999909</c:v>
                </c:pt>
                <c:pt idx="628">
                  <c:v>16.927899999999909</c:v>
                </c:pt>
                <c:pt idx="629">
                  <c:v>16.927999999999908</c:v>
                </c:pt>
                <c:pt idx="630">
                  <c:v>16.928099999999908</c:v>
                </c:pt>
                <c:pt idx="631">
                  <c:v>16.928199999999908</c:v>
                </c:pt>
                <c:pt idx="632">
                  <c:v>16.928299999999908</c:v>
                </c:pt>
                <c:pt idx="633">
                  <c:v>16.928399999999908</c:v>
                </c:pt>
                <c:pt idx="634">
                  <c:v>16.928499999999907</c:v>
                </c:pt>
                <c:pt idx="635">
                  <c:v>16.928599999999907</c:v>
                </c:pt>
                <c:pt idx="636">
                  <c:v>16.928699999999907</c:v>
                </c:pt>
                <c:pt idx="637">
                  <c:v>16.928799999999907</c:v>
                </c:pt>
                <c:pt idx="638">
                  <c:v>16.928899999999906</c:v>
                </c:pt>
                <c:pt idx="639">
                  <c:v>16.928999999999906</c:v>
                </c:pt>
                <c:pt idx="640">
                  <c:v>16.929099999999906</c:v>
                </c:pt>
                <c:pt idx="641">
                  <c:v>16.929199999999906</c:v>
                </c:pt>
                <c:pt idx="642">
                  <c:v>16.929299999999905</c:v>
                </c:pt>
                <c:pt idx="643">
                  <c:v>16.929399999999905</c:v>
                </c:pt>
                <c:pt idx="644">
                  <c:v>16.929499999999905</c:v>
                </c:pt>
                <c:pt idx="645">
                  <c:v>16.929599999999905</c:v>
                </c:pt>
                <c:pt idx="646">
                  <c:v>16.929699999999904</c:v>
                </c:pt>
                <c:pt idx="647">
                  <c:v>16.929799999999904</c:v>
                </c:pt>
                <c:pt idx="648">
                  <c:v>16.929899999999904</c:v>
                </c:pt>
                <c:pt idx="649">
                  <c:v>16.929999999999904</c:v>
                </c:pt>
                <c:pt idx="650">
                  <c:v>16.930099999999904</c:v>
                </c:pt>
                <c:pt idx="651">
                  <c:v>16.930199999999903</c:v>
                </c:pt>
                <c:pt idx="652">
                  <c:v>16.930299999999903</c:v>
                </c:pt>
                <c:pt idx="653">
                  <c:v>16.930399999999903</c:v>
                </c:pt>
                <c:pt idx="654">
                  <c:v>16.930499999999903</c:v>
                </c:pt>
                <c:pt idx="655">
                  <c:v>16.930599999999902</c:v>
                </c:pt>
                <c:pt idx="656">
                  <c:v>16.930699999999902</c:v>
                </c:pt>
                <c:pt idx="657">
                  <c:v>16.930799999999902</c:v>
                </c:pt>
                <c:pt idx="658">
                  <c:v>16.930899999999902</c:v>
                </c:pt>
                <c:pt idx="659">
                  <c:v>16.930999999999901</c:v>
                </c:pt>
                <c:pt idx="660">
                  <c:v>16.931099999999901</c:v>
                </c:pt>
                <c:pt idx="661">
                  <c:v>16.931199999999901</c:v>
                </c:pt>
                <c:pt idx="662">
                  <c:v>16.931299999999901</c:v>
                </c:pt>
                <c:pt idx="663">
                  <c:v>16.931399999999901</c:v>
                </c:pt>
                <c:pt idx="664">
                  <c:v>16.9314999999999</c:v>
                </c:pt>
                <c:pt idx="665">
                  <c:v>16.9315999999999</c:v>
                </c:pt>
                <c:pt idx="666">
                  <c:v>16.9316999999999</c:v>
                </c:pt>
                <c:pt idx="667">
                  <c:v>16.9317999999999</c:v>
                </c:pt>
                <c:pt idx="668">
                  <c:v>16.931899999999899</c:v>
                </c:pt>
                <c:pt idx="669">
                  <c:v>16.931999999999899</c:v>
                </c:pt>
                <c:pt idx="670">
                  <c:v>16.932099999999899</c:v>
                </c:pt>
                <c:pt idx="671">
                  <c:v>16.932199999999899</c:v>
                </c:pt>
                <c:pt idx="672">
                  <c:v>16.932299999999898</c:v>
                </c:pt>
                <c:pt idx="673">
                  <c:v>16.932399999999898</c:v>
                </c:pt>
                <c:pt idx="674">
                  <c:v>16.932499999999898</c:v>
                </c:pt>
                <c:pt idx="675">
                  <c:v>16.932599999999898</c:v>
                </c:pt>
                <c:pt idx="676">
                  <c:v>16.932699999999897</c:v>
                </c:pt>
                <c:pt idx="677">
                  <c:v>16.932799999999897</c:v>
                </c:pt>
                <c:pt idx="678">
                  <c:v>16.932899999999897</c:v>
                </c:pt>
                <c:pt idx="679">
                  <c:v>16.932999999999897</c:v>
                </c:pt>
                <c:pt idx="680">
                  <c:v>16.933099999999897</c:v>
                </c:pt>
                <c:pt idx="681">
                  <c:v>16.933199999999896</c:v>
                </c:pt>
                <c:pt idx="682">
                  <c:v>16.933299999999896</c:v>
                </c:pt>
                <c:pt idx="683">
                  <c:v>16.933399999999896</c:v>
                </c:pt>
                <c:pt idx="684">
                  <c:v>16.933499999999896</c:v>
                </c:pt>
                <c:pt idx="685">
                  <c:v>16.933599999999895</c:v>
                </c:pt>
                <c:pt idx="686">
                  <c:v>16.933699999999895</c:v>
                </c:pt>
                <c:pt idx="687">
                  <c:v>16.933799999999895</c:v>
                </c:pt>
                <c:pt idx="688">
                  <c:v>16.933899999999895</c:v>
                </c:pt>
                <c:pt idx="689">
                  <c:v>16.933999999999894</c:v>
                </c:pt>
                <c:pt idx="690">
                  <c:v>16.934099999999894</c:v>
                </c:pt>
                <c:pt idx="691">
                  <c:v>16.934199999999894</c:v>
                </c:pt>
                <c:pt idx="692">
                  <c:v>16.934299999999894</c:v>
                </c:pt>
                <c:pt idx="693">
                  <c:v>16.934399999999894</c:v>
                </c:pt>
                <c:pt idx="694">
                  <c:v>16.934499999999893</c:v>
                </c:pt>
                <c:pt idx="695">
                  <c:v>16.934599999999893</c:v>
                </c:pt>
                <c:pt idx="696">
                  <c:v>16.934699999999893</c:v>
                </c:pt>
                <c:pt idx="697">
                  <c:v>16.934799999999893</c:v>
                </c:pt>
                <c:pt idx="698">
                  <c:v>16.934899999999892</c:v>
                </c:pt>
                <c:pt idx="699">
                  <c:v>16.934999999999892</c:v>
                </c:pt>
                <c:pt idx="700">
                  <c:v>16.935099999999892</c:v>
                </c:pt>
                <c:pt idx="701">
                  <c:v>16.935199999999892</c:v>
                </c:pt>
                <c:pt idx="702">
                  <c:v>16.935299999999891</c:v>
                </c:pt>
                <c:pt idx="703">
                  <c:v>16.935399999999891</c:v>
                </c:pt>
                <c:pt idx="704">
                  <c:v>16.935499999999891</c:v>
                </c:pt>
                <c:pt idx="705">
                  <c:v>16.935599999999891</c:v>
                </c:pt>
                <c:pt idx="706">
                  <c:v>16.935699999999891</c:v>
                </c:pt>
                <c:pt idx="707">
                  <c:v>16.93579999999989</c:v>
                </c:pt>
                <c:pt idx="708">
                  <c:v>16.93589999999989</c:v>
                </c:pt>
                <c:pt idx="709">
                  <c:v>16.93599999999989</c:v>
                </c:pt>
                <c:pt idx="710">
                  <c:v>16.93609999999989</c:v>
                </c:pt>
                <c:pt idx="711">
                  <c:v>16.936199999999889</c:v>
                </c:pt>
                <c:pt idx="712">
                  <c:v>16.936299999999889</c:v>
                </c:pt>
                <c:pt idx="713">
                  <c:v>16.936399999999889</c:v>
                </c:pt>
                <c:pt idx="714">
                  <c:v>16.936499999999889</c:v>
                </c:pt>
                <c:pt idx="715">
                  <c:v>16.936599999999888</c:v>
                </c:pt>
                <c:pt idx="716">
                  <c:v>16.936699999999888</c:v>
                </c:pt>
                <c:pt idx="717">
                  <c:v>16.936799999999888</c:v>
                </c:pt>
                <c:pt idx="718">
                  <c:v>16.936899999999888</c:v>
                </c:pt>
                <c:pt idx="719">
                  <c:v>16.936999999999887</c:v>
                </c:pt>
                <c:pt idx="720">
                  <c:v>16.937099999999887</c:v>
                </c:pt>
                <c:pt idx="721">
                  <c:v>16.937199999999887</c:v>
                </c:pt>
                <c:pt idx="722">
                  <c:v>16.937299999999887</c:v>
                </c:pt>
                <c:pt idx="723">
                  <c:v>16.937399999999887</c:v>
                </c:pt>
                <c:pt idx="724">
                  <c:v>16.937499999999886</c:v>
                </c:pt>
                <c:pt idx="725">
                  <c:v>16.937599999999886</c:v>
                </c:pt>
                <c:pt idx="726">
                  <c:v>16.937699999999886</c:v>
                </c:pt>
                <c:pt idx="727">
                  <c:v>16.937799999999886</c:v>
                </c:pt>
                <c:pt idx="728">
                  <c:v>16.937899999999885</c:v>
                </c:pt>
                <c:pt idx="729">
                  <c:v>16.937999999999885</c:v>
                </c:pt>
                <c:pt idx="730">
                  <c:v>16.938099999999885</c:v>
                </c:pt>
                <c:pt idx="731">
                  <c:v>16.938199999999885</c:v>
                </c:pt>
                <c:pt idx="732">
                  <c:v>16.938299999999884</c:v>
                </c:pt>
                <c:pt idx="733">
                  <c:v>16.938399999999884</c:v>
                </c:pt>
                <c:pt idx="734">
                  <c:v>16.938499999999884</c:v>
                </c:pt>
                <c:pt idx="735">
                  <c:v>16.938599999999884</c:v>
                </c:pt>
                <c:pt idx="736">
                  <c:v>16.938699999999884</c:v>
                </c:pt>
                <c:pt idx="737">
                  <c:v>16.938799999999883</c:v>
                </c:pt>
                <c:pt idx="738">
                  <c:v>16.938899999999883</c:v>
                </c:pt>
                <c:pt idx="739">
                  <c:v>16.938999999999883</c:v>
                </c:pt>
                <c:pt idx="740">
                  <c:v>16.939099999999883</c:v>
                </c:pt>
                <c:pt idx="741">
                  <c:v>16.939199999999882</c:v>
                </c:pt>
                <c:pt idx="742">
                  <c:v>16.939299999999882</c:v>
                </c:pt>
                <c:pt idx="743">
                  <c:v>16.939399999999882</c:v>
                </c:pt>
                <c:pt idx="744">
                  <c:v>16.939499999999882</c:v>
                </c:pt>
                <c:pt idx="745">
                  <c:v>16.939599999999881</c:v>
                </c:pt>
                <c:pt idx="746">
                  <c:v>16.939699999999881</c:v>
                </c:pt>
                <c:pt idx="747">
                  <c:v>16.939799999999881</c:v>
                </c:pt>
                <c:pt idx="748">
                  <c:v>16.939899999999881</c:v>
                </c:pt>
                <c:pt idx="749">
                  <c:v>16.93999999999988</c:v>
                </c:pt>
                <c:pt idx="750">
                  <c:v>16.94009999999988</c:v>
                </c:pt>
                <c:pt idx="751">
                  <c:v>16.94019999999988</c:v>
                </c:pt>
                <c:pt idx="752">
                  <c:v>16.94029999999988</c:v>
                </c:pt>
                <c:pt idx="753">
                  <c:v>16.94039999999988</c:v>
                </c:pt>
                <c:pt idx="754">
                  <c:v>16.940499999999879</c:v>
                </c:pt>
                <c:pt idx="755">
                  <c:v>16.940599999999879</c:v>
                </c:pt>
                <c:pt idx="756">
                  <c:v>16.940699999999879</c:v>
                </c:pt>
                <c:pt idx="757">
                  <c:v>16.940799999999879</c:v>
                </c:pt>
                <c:pt idx="758">
                  <c:v>16.940899999999878</c:v>
                </c:pt>
                <c:pt idx="759">
                  <c:v>16.940999999999878</c:v>
                </c:pt>
                <c:pt idx="760">
                  <c:v>16.941099999999878</c:v>
                </c:pt>
                <c:pt idx="761">
                  <c:v>16.941199999999878</c:v>
                </c:pt>
                <c:pt idx="762">
                  <c:v>16.941299999999877</c:v>
                </c:pt>
                <c:pt idx="763">
                  <c:v>16.941399999999877</c:v>
                </c:pt>
                <c:pt idx="764">
                  <c:v>16.941499999999877</c:v>
                </c:pt>
                <c:pt idx="765">
                  <c:v>16.941599999999877</c:v>
                </c:pt>
                <c:pt idx="766">
                  <c:v>16.941699999999877</c:v>
                </c:pt>
                <c:pt idx="767">
                  <c:v>16.941799999999876</c:v>
                </c:pt>
                <c:pt idx="768">
                  <c:v>16.941899999999876</c:v>
                </c:pt>
                <c:pt idx="769">
                  <c:v>16.941999999999876</c:v>
                </c:pt>
                <c:pt idx="770">
                  <c:v>16.942099999999876</c:v>
                </c:pt>
                <c:pt idx="771">
                  <c:v>16.942199999999875</c:v>
                </c:pt>
                <c:pt idx="772">
                  <c:v>16.942299999999875</c:v>
                </c:pt>
                <c:pt idx="773">
                  <c:v>16.942399999999875</c:v>
                </c:pt>
                <c:pt idx="774">
                  <c:v>16.942499999999875</c:v>
                </c:pt>
                <c:pt idx="775">
                  <c:v>16.942599999999874</c:v>
                </c:pt>
                <c:pt idx="776">
                  <c:v>16.942699999999874</c:v>
                </c:pt>
                <c:pt idx="777">
                  <c:v>16.942799999999874</c:v>
                </c:pt>
                <c:pt idx="778">
                  <c:v>16.942899999999874</c:v>
                </c:pt>
                <c:pt idx="779">
                  <c:v>16.942999999999873</c:v>
                </c:pt>
                <c:pt idx="780">
                  <c:v>16.943099999999873</c:v>
                </c:pt>
                <c:pt idx="781">
                  <c:v>16.943199999999873</c:v>
                </c:pt>
                <c:pt idx="782">
                  <c:v>16.943299999999873</c:v>
                </c:pt>
                <c:pt idx="783">
                  <c:v>16.943399999999873</c:v>
                </c:pt>
                <c:pt idx="784">
                  <c:v>16.943499999999872</c:v>
                </c:pt>
                <c:pt idx="785">
                  <c:v>16.943599999999872</c:v>
                </c:pt>
                <c:pt idx="786">
                  <c:v>16.943699999999872</c:v>
                </c:pt>
                <c:pt idx="787">
                  <c:v>16.943799999999872</c:v>
                </c:pt>
                <c:pt idx="788">
                  <c:v>16.943899999999871</c:v>
                </c:pt>
                <c:pt idx="789">
                  <c:v>16.943999999999871</c:v>
                </c:pt>
                <c:pt idx="790">
                  <c:v>16.944099999999871</c:v>
                </c:pt>
                <c:pt idx="791">
                  <c:v>16.944199999999871</c:v>
                </c:pt>
                <c:pt idx="792">
                  <c:v>16.94429999999987</c:v>
                </c:pt>
                <c:pt idx="793">
                  <c:v>16.94439999999987</c:v>
                </c:pt>
                <c:pt idx="794">
                  <c:v>16.94449999999987</c:v>
                </c:pt>
                <c:pt idx="795">
                  <c:v>16.94459999999987</c:v>
                </c:pt>
                <c:pt idx="796">
                  <c:v>16.94469999999987</c:v>
                </c:pt>
                <c:pt idx="797">
                  <c:v>16.944799999999869</c:v>
                </c:pt>
                <c:pt idx="798">
                  <c:v>16.944899999999869</c:v>
                </c:pt>
                <c:pt idx="799">
                  <c:v>16.944999999999869</c:v>
                </c:pt>
                <c:pt idx="800">
                  <c:v>16.945099999999869</c:v>
                </c:pt>
                <c:pt idx="801">
                  <c:v>16.945199999999868</c:v>
                </c:pt>
                <c:pt idx="802">
                  <c:v>16.945299999999868</c:v>
                </c:pt>
                <c:pt idx="803">
                  <c:v>16.945399999999868</c:v>
                </c:pt>
                <c:pt idx="804">
                  <c:v>16.945499999999868</c:v>
                </c:pt>
                <c:pt idx="805">
                  <c:v>16.945599999999867</c:v>
                </c:pt>
                <c:pt idx="806">
                  <c:v>16.945699999999867</c:v>
                </c:pt>
                <c:pt idx="807">
                  <c:v>16.945799999999867</c:v>
                </c:pt>
                <c:pt idx="808">
                  <c:v>16.945899999999867</c:v>
                </c:pt>
                <c:pt idx="809">
                  <c:v>16.945999999999867</c:v>
                </c:pt>
                <c:pt idx="810">
                  <c:v>16.946099999999866</c:v>
                </c:pt>
                <c:pt idx="811">
                  <c:v>16.946199999999866</c:v>
                </c:pt>
                <c:pt idx="812">
                  <c:v>16.946299999999866</c:v>
                </c:pt>
                <c:pt idx="813">
                  <c:v>16.946399999999866</c:v>
                </c:pt>
                <c:pt idx="814">
                  <c:v>16.946499999999865</c:v>
                </c:pt>
                <c:pt idx="815">
                  <c:v>16.946599999999865</c:v>
                </c:pt>
                <c:pt idx="816">
                  <c:v>16.946699999999865</c:v>
                </c:pt>
                <c:pt idx="817">
                  <c:v>16.946799999999865</c:v>
                </c:pt>
                <c:pt idx="818">
                  <c:v>16.946899999999864</c:v>
                </c:pt>
                <c:pt idx="819">
                  <c:v>16.946999999999864</c:v>
                </c:pt>
                <c:pt idx="820">
                  <c:v>16.947099999999864</c:v>
                </c:pt>
                <c:pt idx="821">
                  <c:v>16.947199999999864</c:v>
                </c:pt>
                <c:pt idx="822">
                  <c:v>16.947299999999863</c:v>
                </c:pt>
                <c:pt idx="823">
                  <c:v>16.947399999999863</c:v>
                </c:pt>
                <c:pt idx="824">
                  <c:v>16.947499999999863</c:v>
                </c:pt>
                <c:pt idx="825">
                  <c:v>16.947599999999863</c:v>
                </c:pt>
                <c:pt idx="826">
                  <c:v>16.947699999999863</c:v>
                </c:pt>
                <c:pt idx="827">
                  <c:v>16.947799999999862</c:v>
                </c:pt>
                <c:pt idx="828">
                  <c:v>16.947899999999862</c:v>
                </c:pt>
                <c:pt idx="829">
                  <c:v>16.947999999999862</c:v>
                </c:pt>
                <c:pt idx="830">
                  <c:v>16.948099999999862</c:v>
                </c:pt>
                <c:pt idx="831">
                  <c:v>16.948199999999861</c:v>
                </c:pt>
                <c:pt idx="832">
                  <c:v>16.948299999999861</c:v>
                </c:pt>
                <c:pt idx="833">
                  <c:v>16.948399999999861</c:v>
                </c:pt>
                <c:pt idx="834">
                  <c:v>16.948499999999861</c:v>
                </c:pt>
                <c:pt idx="835">
                  <c:v>16.94859999999986</c:v>
                </c:pt>
                <c:pt idx="836">
                  <c:v>16.94869999999986</c:v>
                </c:pt>
                <c:pt idx="837">
                  <c:v>16.94879999999986</c:v>
                </c:pt>
                <c:pt idx="838">
                  <c:v>16.94889999999986</c:v>
                </c:pt>
                <c:pt idx="839">
                  <c:v>16.94899999999986</c:v>
                </c:pt>
                <c:pt idx="840">
                  <c:v>16.949099999999859</c:v>
                </c:pt>
                <c:pt idx="841">
                  <c:v>16.949199999999859</c:v>
                </c:pt>
                <c:pt idx="842">
                  <c:v>16.949299999999859</c:v>
                </c:pt>
                <c:pt idx="843">
                  <c:v>16.949399999999859</c:v>
                </c:pt>
                <c:pt idx="844">
                  <c:v>16.949499999999858</c:v>
                </c:pt>
                <c:pt idx="845">
                  <c:v>16.949599999999858</c:v>
                </c:pt>
                <c:pt idx="846">
                  <c:v>16.949699999999858</c:v>
                </c:pt>
                <c:pt idx="847">
                  <c:v>16.949799999999858</c:v>
                </c:pt>
                <c:pt idx="848">
                  <c:v>16.949899999999857</c:v>
                </c:pt>
                <c:pt idx="849">
                  <c:v>16.949999999999857</c:v>
                </c:pt>
                <c:pt idx="850">
                  <c:v>16.950099999999857</c:v>
                </c:pt>
                <c:pt idx="851">
                  <c:v>16.950199999999857</c:v>
                </c:pt>
                <c:pt idx="852">
                  <c:v>16.950299999999856</c:v>
                </c:pt>
                <c:pt idx="853">
                  <c:v>16.950399999999856</c:v>
                </c:pt>
                <c:pt idx="854">
                  <c:v>16.950499999999856</c:v>
                </c:pt>
                <c:pt idx="855">
                  <c:v>16.950599999999856</c:v>
                </c:pt>
                <c:pt idx="856">
                  <c:v>16.950699999999856</c:v>
                </c:pt>
                <c:pt idx="857">
                  <c:v>16.950799999999855</c:v>
                </c:pt>
                <c:pt idx="858">
                  <c:v>16.950899999999855</c:v>
                </c:pt>
                <c:pt idx="859">
                  <c:v>16.950999999999855</c:v>
                </c:pt>
                <c:pt idx="860">
                  <c:v>16.951099999999855</c:v>
                </c:pt>
                <c:pt idx="861">
                  <c:v>16.951199999999854</c:v>
                </c:pt>
                <c:pt idx="862">
                  <c:v>16.951299999999854</c:v>
                </c:pt>
                <c:pt idx="863">
                  <c:v>16.951399999999854</c:v>
                </c:pt>
                <c:pt idx="864">
                  <c:v>16.951499999999854</c:v>
                </c:pt>
                <c:pt idx="865">
                  <c:v>16.951599999999853</c:v>
                </c:pt>
                <c:pt idx="866">
                  <c:v>16.951699999999853</c:v>
                </c:pt>
                <c:pt idx="867">
                  <c:v>16.951799999999853</c:v>
                </c:pt>
                <c:pt idx="868">
                  <c:v>16.951899999999853</c:v>
                </c:pt>
                <c:pt idx="869">
                  <c:v>16.951999999999853</c:v>
                </c:pt>
                <c:pt idx="870">
                  <c:v>16.952099999999852</c:v>
                </c:pt>
                <c:pt idx="871">
                  <c:v>16.952199999999852</c:v>
                </c:pt>
                <c:pt idx="872">
                  <c:v>16.952299999999852</c:v>
                </c:pt>
                <c:pt idx="873">
                  <c:v>16.952399999999852</c:v>
                </c:pt>
                <c:pt idx="874">
                  <c:v>16.952499999999851</c:v>
                </c:pt>
                <c:pt idx="875">
                  <c:v>16.952599999999851</c:v>
                </c:pt>
                <c:pt idx="876">
                  <c:v>16.952699999999851</c:v>
                </c:pt>
                <c:pt idx="877">
                  <c:v>16.952799999999851</c:v>
                </c:pt>
                <c:pt idx="878">
                  <c:v>16.95289999999985</c:v>
                </c:pt>
                <c:pt idx="879">
                  <c:v>16.95299999999985</c:v>
                </c:pt>
                <c:pt idx="880">
                  <c:v>16.95309999999985</c:v>
                </c:pt>
                <c:pt idx="881">
                  <c:v>16.95319999999985</c:v>
                </c:pt>
                <c:pt idx="882">
                  <c:v>16.953299999999849</c:v>
                </c:pt>
                <c:pt idx="883">
                  <c:v>16.953399999999849</c:v>
                </c:pt>
                <c:pt idx="884">
                  <c:v>16.953499999999849</c:v>
                </c:pt>
                <c:pt idx="885">
                  <c:v>16.953599999999849</c:v>
                </c:pt>
                <c:pt idx="886">
                  <c:v>16.953699999999849</c:v>
                </c:pt>
                <c:pt idx="887">
                  <c:v>16.953799999999848</c:v>
                </c:pt>
                <c:pt idx="888">
                  <c:v>16.953899999999848</c:v>
                </c:pt>
                <c:pt idx="889">
                  <c:v>16.953999999999848</c:v>
                </c:pt>
                <c:pt idx="890">
                  <c:v>16.954099999999848</c:v>
                </c:pt>
                <c:pt idx="891">
                  <c:v>16.954199999999847</c:v>
                </c:pt>
                <c:pt idx="892">
                  <c:v>16.954299999999847</c:v>
                </c:pt>
                <c:pt idx="893">
                  <c:v>16.954399999999847</c:v>
                </c:pt>
                <c:pt idx="894">
                  <c:v>16.954499999999847</c:v>
                </c:pt>
                <c:pt idx="895">
                  <c:v>16.954599999999846</c:v>
                </c:pt>
                <c:pt idx="896">
                  <c:v>16.954699999999846</c:v>
                </c:pt>
                <c:pt idx="897">
                  <c:v>16.954799999999846</c:v>
                </c:pt>
                <c:pt idx="898">
                  <c:v>16.954899999999846</c:v>
                </c:pt>
                <c:pt idx="899">
                  <c:v>16.954999999999846</c:v>
                </c:pt>
                <c:pt idx="900">
                  <c:v>16.955099999999845</c:v>
                </c:pt>
                <c:pt idx="901">
                  <c:v>16.955199999999845</c:v>
                </c:pt>
                <c:pt idx="902">
                  <c:v>16.955299999999845</c:v>
                </c:pt>
                <c:pt idx="903">
                  <c:v>16.955399999999845</c:v>
                </c:pt>
                <c:pt idx="904">
                  <c:v>16.955499999999844</c:v>
                </c:pt>
                <c:pt idx="905">
                  <c:v>16.955599999999844</c:v>
                </c:pt>
                <c:pt idx="906">
                  <c:v>16.955699999999844</c:v>
                </c:pt>
                <c:pt idx="907">
                  <c:v>16.955799999999844</c:v>
                </c:pt>
                <c:pt idx="908">
                  <c:v>16.955899999999843</c:v>
                </c:pt>
                <c:pt idx="909">
                  <c:v>16.955999999999843</c:v>
                </c:pt>
                <c:pt idx="910">
                  <c:v>16.956099999999843</c:v>
                </c:pt>
                <c:pt idx="911">
                  <c:v>16.956199999999843</c:v>
                </c:pt>
                <c:pt idx="912">
                  <c:v>16.956299999999842</c:v>
                </c:pt>
                <c:pt idx="913">
                  <c:v>16.956399999999842</c:v>
                </c:pt>
                <c:pt idx="914">
                  <c:v>16.956499999999842</c:v>
                </c:pt>
                <c:pt idx="915">
                  <c:v>16.956599999999842</c:v>
                </c:pt>
                <c:pt idx="916">
                  <c:v>16.956699999999842</c:v>
                </c:pt>
                <c:pt idx="917">
                  <c:v>16.956799999999841</c:v>
                </c:pt>
                <c:pt idx="918">
                  <c:v>16.956899999999841</c:v>
                </c:pt>
                <c:pt idx="919">
                  <c:v>16.956999999999841</c:v>
                </c:pt>
                <c:pt idx="920">
                  <c:v>16.957099999999841</c:v>
                </c:pt>
                <c:pt idx="921">
                  <c:v>16.95719999999984</c:v>
                </c:pt>
                <c:pt idx="922">
                  <c:v>16.95729999999984</c:v>
                </c:pt>
                <c:pt idx="923">
                  <c:v>16.95739999999984</c:v>
                </c:pt>
                <c:pt idx="924">
                  <c:v>16.95749999999984</c:v>
                </c:pt>
                <c:pt idx="925">
                  <c:v>16.957599999999839</c:v>
                </c:pt>
                <c:pt idx="926">
                  <c:v>16.957699999999839</c:v>
                </c:pt>
                <c:pt idx="927">
                  <c:v>16.957799999999839</c:v>
                </c:pt>
                <c:pt idx="928">
                  <c:v>16.957899999999839</c:v>
                </c:pt>
                <c:pt idx="929">
                  <c:v>16.957999999999839</c:v>
                </c:pt>
                <c:pt idx="930">
                  <c:v>16.958099999999838</c:v>
                </c:pt>
                <c:pt idx="931">
                  <c:v>16.958199999999838</c:v>
                </c:pt>
                <c:pt idx="932">
                  <c:v>16.958299999999838</c:v>
                </c:pt>
                <c:pt idx="933">
                  <c:v>16.958399999999838</c:v>
                </c:pt>
                <c:pt idx="934">
                  <c:v>16.958499999999837</c:v>
                </c:pt>
                <c:pt idx="935">
                  <c:v>16.958599999999837</c:v>
                </c:pt>
                <c:pt idx="936">
                  <c:v>16.958699999999837</c:v>
                </c:pt>
                <c:pt idx="937">
                  <c:v>16.958799999999837</c:v>
                </c:pt>
                <c:pt idx="938">
                  <c:v>16.958899999999836</c:v>
                </c:pt>
                <c:pt idx="939">
                  <c:v>16.958999999999836</c:v>
                </c:pt>
                <c:pt idx="940">
                  <c:v>16.959099999999836</c:v>
                </c:pt>
                <c:pt idx="941">
                  <c:v>16.959199999999836</c:v>
                </c:pt>
                <c:pt idx="942">
                  <c:v>16.959299999999836</c:v>
                </c:pt>
                <c:pt idx="943">
                  <c:v>16.959399999999835</c:v>
                </c:pt>
                <c:pt idx="944">
                  <c:v>16.959499999999835</c:v>
                </c:pt>
                <c:pt idx="945">
                  <c:v>16.959599999999835</c:v>
                </c:pt>
                <c:pt idx="946">
                  <c:v>16.959699999999835</c:v>
                </c:pt>
                <c:pt idx="947">
                  <c:v>16.959799999999834</c:v>
                </c:pt>
                <c:pt idx="948">
                  <c:v>16.959899999999834</c:v>
                </c:pt>
                <c:pt idx="949">
                  <c:v>16.959999999999834</c:v>
                </c:pt>
                <c:pt idx="950">
                  <c:v>16.960099999999834</c:v>
                </c:pt>
                <c:pt idx="951">
                  <c:v>16.960199999999833</c:v>
                </c:pt>
                <c:pt idx="952">
                  <c:v>16.960299999999833</c:v>
                </c:pt>
                <c:pt idx="953">
                  <c:v>16.960399999999833</c:v>
                </c:pt>
                <c:pt idx="954">
                  <c:v>16.960499999999833</c:v>
                </c:pt>
                <c:pt idx="955">
                  <c:v>16.960599999999832</c:v>
                </c:pt>
                <c:pt idx="956">
                  <c:v>16.960699999999832</c:v>
                </c:pt>
                <c:pt idx="957">
                  <c:v>16.960799999999832</c:v>
                </c:pt>
                <c:pt idx="958">
                  <c:v>16.960899999999832</c:v>
                </c:pt>
                <c:pt idx="959">
                  <c:v>16.960999999999832</c:v>
                </c:pt>
                <c:pt idx="960">
                  <c:v>16.961099999999831</c:v>
                </c:pt>
                <c:pt idx="961">
                  <c:v>16.961199999999831</c:v>
                </c:pt>
                <c:pt idx="962">
                  <c:v>16.961299999999831</c:v>
                </c:pt>
                <c:pt idx="963">
                  <c:v>16.961399999999831</c:v>
                </c:pt>
                <c:pt idx="964">
                  <c:v>16.96149999999983</c:v>
                </c:pt>
                <c:pt idx="965">
                  <c:v>16.96159999999983</c:v>
                </c:pt>
                <c:pt idx="966">
                  <c:v>16.96169999999983</c:v>
                </c:pt>
                <c:pt idx="967">
                  <c:v>16.96179999999983</c:v>
                </c:pt>
                <c:pt idx="968">
                  <c:v>16.961899999999829</c:v>
                </c:pt>
                <c:pt idx="969">
                  <c:v>16.961999999999829</c:v>
                </c:pt>
                <c:pt idx="970">
                  <c:v>16.962099999999829</c:v>
                </c:pt>
                <c:pt idx="971">
                  <c:v>16.962199999999829</c:v>
                </c:pt>
                <c:pt idx="972">
                  <c:v>16.962299999999829</c:v>
                </c:pt>
                <c:pt idx="973">
                  <c:v>16.962399999999828</c:v>
                </c:pt>
                <c:pt idx="974">
                  <c:v>16.962499999999828</c:v>
                </c:pt>
                <c:pt idx="975">
                  <c:v>16.962599999999828</c:v>
                </c:pt>
                <c:pt idx="976">
                  <c:v>16.962699999999828</c:v>
                </c:pt>
                <c:pt idx="977">
                  <c:v>16.962799999999827</c:v>
                </c:pt>
                <c:pt idx="978">
                  <c:v>16.962899999999827</c:v>
                </c:pt>
                <c:pt idx="979">
                  <c:v>16.962999999999827</c:v>
                </c:pt>
                <c:pt idx="980">
                  <c:v>16.963099999999827</c:v>
                </c:pt>
                <c:pt idx="981">
                  <c:v>16.963199999999826</c:v>
                </c:pt>
                <c:pt idx="982">
                  <c:v>16.963299999999826</c:v>
                </c:pt>
                <c:pt idx="983">
                  <c:v>16.963399999999826</c:v>
                </c:pt>
                <c:pt idx="984">
                  <c:v>16.963499999999826</c:v>
                </c:pt>
                <c:pt idx="985">
                  <c:v>16.963599999999825</c:v>
                </c:pt>
                <c:pt idx="986">
                  <c:v>16.963699999999825</c:v>
                </c:pt>
                <c:pt idx="987">
                  <c:v>16.963799999999825</c:v>
                </c:pt>
                <c:pt idx="988">
                  <c:v>16.963899999999825</c:v>
                </c:pt>
                <c:pt idx="989">
                  <c:v>16.963999999999825</c:v>
                </c:pt>
                <c:pt idx="990">
                  <c:v>16.964099999999824</c:v>
                </c:pt>
                <c:pt idx="991">
                  <c:v>16.964199999999824</c:v>
                </c:pt>
                <c:pt idx="992">
                  <c:v>16.964299999999824</c:v>
                </c:pt>
                <c:pt idx="993">
                  <c:v>16.964399999999824</c:v>
                </c:pt>
                <c:pt idx="994">
                  <c:v>16.964499999999823</c:v>
                </c:pt>
                <c:pt idx="995">
                  <c:v>16.964599999999823</c:v>
                </c:pt>
                <c:pt idx="996">
                  <c:v>16.964699999999823</c:v>
                </c:pt>
                <c:pt idx="997">
                  <c:v>16.964799999999823</c:v>
                </c:pt>
                <c:pt idx="998">
                  <c:v>16.964899999999822</c:v>
                </c:pt>
                <c:pt idx="999">
                  <c:v>16.964999999999822</c:v>
                </c:pt>
                <c:pt idx="1000">
                  <c:v>16.965099999999822</c:v>
                </c:pt>
              </c:numCache>
            </c:numRef>
          </c:xVal>
          <c:yVal>
            <c:numRef>
              <c:f>Calculs!$K$4:$K$1004</c:f>
              <c:numCache>
                <c:formatCode>0.00</c:formatCode>
                <c:ptCount val="1001"/>
                <c:pt idx="0">
                  <c:v>0</c:v>
                </c:pt>
                <c:pt idx="1">
                  <c:v>1.072892741762712E-3</c:v>
                </c:pt>
                <c:pt idx="2">
                  <c:v>7.2351927811420786E-3</c:v>
                </c:pt>
                <c:pt idx="3">
                  <c:v>2.3530778934193496E-2</c:v>
                </c:pt>
                <c:pt idx="4">
                  <c:v>5.0766950166213465E-2</c:v>
                </c:pt>
                <c:pt idx="5">
                  <c:v>8.635542859419712E-2</c:v>
                </c:pt>
                <c:pt idx="6">
                  <c:v>0.12818107940988069</c:v>
                </c:pt>
                <c:pt idx="7">
                  <c:v>0.17535088098540064</c:v>
                </c:pt>
                <c:pt idx="8">
                  <c:v>0.22789845747226903</c:v>
                </c:pt>
                <c:pt idx="9">
                  <c:v>0.28603749780814081</c:v>
                </c:pt>
                <c:pt idx="10">
                  <c:v>0.34998174114909841</c:v>
                </c:pt>
                <c:pt idx="11">
                  <c:v>0.41987674107719297</c:v>
                </c:pt>
                <c:pt idx="12">
                  <c:v>0.49579979276688169</c:v>
                </c:pt>
                <c:pt idx="13">
                  <c:v>0.57782808871137048</c:v>
                </c:pt>
                <c:pt idx="14">
                  <c:v>0.66603871299013173</c:v>
                </c:pt>
                <c:pt idx="15">
                  <c:v>0.7605086354537719</c:v>
                </c:pt>
                <c:pt idx="16">
                  <c:v>0.86131470582715164</c:v>
                </c:pt>
                <c:pt idx="17">
                  <c:v>0.96853364773170481</c:v>
                </c:pt>
                <c:pt idx="18">
                  <c:v>1.0822420526279484</c:v>
                </c:pt>
                <c:pt idx="19">
                  <c:v>1.2025163736792197</c:v>
                </c:pt>
                <c:pt idx="20">
                  <c:v>1.3294329195377239</c:v>
                </c:pt>
                <c:pt idx="21">
                  <c:v>1.4630678480540187</c:v>
                </c:pt>
                <c:pt idx="22">
                  <c:v>1.6034889803670815</c:v>
                </c:pt>
                <c:pt idx="23">
                  <c:v>1.7507366943596958</c:v>
                </c:pt>
                <c:pt idx="24">
                  <c:v>1.9048320799354088</c:v>
                </c:pt>
                <c:pt idx="25">
                  <c:v>2.0657960170354097</c:v>
                </c:pt>
                <c:pt idx="26">
                  <c:v>2.2336491735297295</c:v>
                </c:pt>
                <c:pt idx="27">
                  <c:v>2.4084120031271685</c:v>
                </c:pt>
                <c:pt idx="28">
                  <c:v>2.5901047433045332</c:v>
                </c:pt>
                <c:pt idx="29">
                  <c:v>2.7787326159599739</c:v>
                </c:pt>
                <c:pt idx="30">
                  <c:v>2.9743000181727588</c:v>
                </c:pt>
                <c:pt idx="31">
                  <c:v>3.1768253225665628</c:v>
                </c:pt>
                <c:pt idx="32">
                  <c:v>3.3863266944319115</c:v>
                </c:pt>
                <c:pt idx="33">
                  <c:v>3.6028220959421331</c:v>
                </c:pt>
                <c:pt idx="34">
                  <c:v>3.8263292829822326</c:v>
                </c:pt>
                <c:pt idx="35">
                  <c:v>4.0568636750422051</c:v>
                </c:pt>
                <c:pt idx="36">
                  <c:v>4.2944192020993182</c:v>
                </c:pt>
                <c:pt idx="37">
                  <c:v>4.5389704290437773</c:v>
                </c:pt>
                <c:pt idx="38">
                  <c:v>4.7904917052703091</c:v>
                </c:pt>
                <c:pt idx="39">
                  <c:v>5.0489571659514167</c:v>
                </c:pt>
                <c:pt idx="40">
                  <c:v>5.3143407334395389</c:v>
                </c:pt>
                <c:pt idx="41">
                  <c:v>5.5866161187868544</c:v>
                </c:pt>
                <c:pt idx="42">
                  <c:v>5.8657568233728172</c:v>
                </c:pt>
                <c:pt idx="43">
                  <c:v>6.1517361406306446</c:v>
                </c:pt>
                <c:pt idx="44">
                  <c:v>6.4445271578649379</c:v>
                </c:pt>
                <c:pt idx="45">
                  <c:v>6.744102758153466</c:v>
                </c:pt>
                <c:pt idx="46">
                  <c:v>7.0504356223268356</c:v>
                </c:pt>
                <c:pt idx="47">
                  <c:v>7.363498231020392</c:v>
                </c:pt>
                <c:pt idx="48">
                  <c:v>7.6832628667932452</c:v>
                </c:pt>
                <c:pt idx="49">
                  <c:v>8.0097016163097514</c:v>
                </c:pt>
                <c:pt idx="50">
                  <c:v>8.3427863725792104</c:v>
                </c:pt>
                <c:pt idx="51">
                  <c:v>8.6824888372498776</c:v>
                </c:pt>
                <c:pt idx="52">
                  <c:v>9.0287805229537099</c:v>
                </c:pt>
                <c:pt idx="53">
                  <c:v>9.3816327556985435</c:v>
                </c:pt>
                <c:pt idx="54">
                  <c:v>9.7410166773046196</c:v>
                </c:pt>
                <c:pt idx="55">
                  <c:v>10.106903247882626</c:v>
                </c:pt>
                <c:pt idx="56">
                  <c:v>10.479263248350573</c:v>
                </c:pt>
                <c:pt idx="57">
                  <c:v>10.858067282987053</c:v>
                </c:pt>
                <c:pt idx="58">
                  <c:v>11.243285782018482</c:v>
                </c:pt>
                <c:pt idx="59">
                  <c:v>11.634889004238197</c:v>
                </c:pt>
                <c:pt idx="60">
                  <c:v>12.032847039655268</c:v>
                </c:pt>
                <c:pt idx="61">
                  <c:v>12.437129812171102</c:v>
                </c:pt>
                <c:pt idx="62">
                  <c:v>12.847707082281946</c:v>
                </c:pt>
                <c:pt idx="63">
                  <c:v>13.264548449805515</c:v>
                </c:pt>
                <c:pt idx="64">
                  <c:v>13.68762335663007</c:v>
                </c:pt>
                <c:pt idx="65">
                  <c:v>14.116901089484308</c:v>
                </c:pt>
                <c:pt idx="66">
                  <c:v>14.552350782726517</c:v>
                </c:pt>
                <c:pt idx="67">
                  <c:v>14.993941421151517</c:v>
                </c:pt>
                <c:pt idx="68">
                  <c:v>15.441641842813945</c:v>
                </c:pt>
                <c:pt idx="69">
                  <c:v>15.895420741866532</c:v>
                </c:pt>
                <c:pt idx="70">
                  <c:v>16.355246671412008</c:v>
                </c:pt>
                <c:pt idx="71">
                  <c:v>16.821088046367397</c:v>
                </c:pt>
                <c:pt idx="72">
                  <c:v>17.292913146339416</c:v>
                </c:pt>
                <c:pt idx="73">
                  <c:v>17.770690118509833</c:v>
                </c:pt>
                <c:pt idx="74">
                  <c:v>18.254386980529581</c:v>
                </c:pt>
                <c:pt idx="75">
                  <c:v>18.74397162342051</c:v>
                </c:pt>
                <c:pt idx="76">
                  <c:v>19.239411814483692</c:v>
                </c:pt>
                <c:pt idx="77">
                  <c:v>19.740675200213207</c:v>
                </c:pt>
                <c:pt idx="78">
                  <c:v>20.247729309214396</c:v>
                </c:pt>
                <c:pt idx="79">
                  <c:v>20.760541555125531</c:v>
                </c:pt>
                <c:pt idx="80">
                  <c:v>21.279079239541964</c:v>
                </c:pt>
                <c:pt idx="81">
                  <c:v>21.803309554941777</c:v>
                </c:pt>
                <c:pt idx="82">
                  <c:v>22.333199587612018</c:v>
                </c:pt>
                <c:pt idx="83">
                  <c:v>22.868716320574592</c:v>
                </c:pt>
                <c:pt idx="84">
                  <c:v>23.409826636510946</c:v>
                </c:pt>
                <c:pt idx="85">
                  <c:v>23.956497320684655</c:v>
                </c:pt>
                <c:pt idx="86">
                  <c:v>24.508695063861097</c:v>
                </c:pt>
                <c:pt idx="87">
                  <c:v>25.066386465223367</c:v>
                </c:pt>
                <c:pt idx="88">
                  <c:v>25.629538035283634</c:v>
                </c:pt>
                <c:pt idx="89">
                  <c:v>26.198116198789158</c:v>
                </c:pt>
                <c:pt idx="90">
                  <c:v>26.772087297622189</c:v>
                </c:pt>
                <c:pt idx="91">
                  <c:v>27.351417593693007</c:v>
                </c:pt>
                <c:pt idx="92">
                  <c:v>27.936073271825379</c:v>
                </c:pt>
                <c:pt idx="93">
                  <c:v>28.526020442633673</c:v>
                </c:pt>
                <c:pt idx="94">
                  <c:v>29.121225145391008</c:v>
                </c:pt>
                <c:pt idx="95">
                  <c:v>29.721653350887667</c:v>
                </c:pt>
                <c:pt idx="96">
                  <c:v>30.327270964279183</c:v>
                </c:pt>
                <c:pt idx="97">
                  <c:v>30.938043827923391</c:v>
                </c:pt>
                <c:pt idx="98">
                  <c:v>31.553937724205856</c:v>
                </c:pt>
                <c:pt idx="99">
                  <c:v>32.17491837835302</c:v>
                </c:pt>
                <c:pt idx="100">
                  <c:v>32.800951461232479</c:v>
                </c:pt>
                <c:pt idx="101">
                  <c:v>33.432002592139817</c:v>
                </c:pt>
                <c:pt idx="102">
                  <c:v>34.068037341571383</c:v>
                </c:pt>
                <c:pt idx="103">
                  <c:v>34.709021233982483</c:v>
                </c:pt>
                <c:pt idx="104">
                  <c:v>35.354919750530435</c:v>
                </c:pt>
                <c:pt idx="105">
                  <c:v>36.005698331801931</c:v>
                </c:pt>
                <c:pt idx="106">
                  <c:v>36.66132238052424</c:v>
                </c:pt>
                <c:pt idx="107">
                  <c:v>37.321757264259674</c:v>
                </c:pt>
                <c:pt idx="108">
                  <c:v>37.986968318082909</c:v>
                </c:pt>
                <c:pt idx="109">
                  <c:v>38.656920847240627</c:v>
                </c:pt>
                <c:pt idx="110">
                  <c:v>39.331580129793032</c:v>
                </c:pt>
                <c:pt idx="111">
                  <c:v>40.010911419236784</c:v>
                </c:pt>
                <c:pt idx="112">
                  <c:v>40.694879947108959</c:v>
                </c:pt>
                <c:pt idx="113">
                  <c:v>41.38345092557153</c:v>
                </c:pt>
                <c:pt idx="114">
                  <c:v>42.076589549976063</c:v>
                </c:pt>
                <c:pt idx="115">
                  <c:v>42.774261001408121</c:v>
                </c:pt>
                <c:pt idx="116">
                  <c:v>43.476430449211072</c:v>
                </c:pt>
                <c:pt idx="117">
                  <c:v>44.183063053488922</c:v>
                </c:pt>
                <c:pt idx="118">
                  <c:v>44.894123967587774</c:v>
                </c:pt>
                <c:pt idx="119">
                  <c:v>45.609578340555593</c:v>
                </c:pt>
                <c:pt idx="120">
                  <c:v>46.329391319579969</c:v>
                </c:pt>
                <c:pt idx="121">
                  <c:v>47.053528052403493</c:v>
                </c:pt>
                <c:pt idx="122">
                  <c:v>47.781953689716495</c:v>
                </c:pt>
                <c:pt idx="123">
                  <c:v>48.51463338752685</c:v>
                </c:pt>
                <c:pt idx="124">
                  <c:v>49.251532309506494</c:v>
                </c:pt>
                <c:pt idx="125">
                  <c:v>49.992615629314471</c:v>
                </c:pt>
                <c:pt idx="126">
                  <c:v>50.737848532896201</c:v>
                </c:pt>
                <c:pt idx="127">
                  <c:v>51.487196220758705</c:v>
                </c:pt>
                <c:pt idx="128">
                  <c:v>52.240623910221601</c:v>
                </c:pt>
                <c:pt idx="129">
                  <c:v>52.998096837643573</c:v>
                </c:pt>
                <c:pt idx="130">
                  <c:v>53.75958026062419</c:v>
                </c:pt>
                <c:pt idx="131">
                  <c:v>54.525039460180786</c:v>
                </c:pt>
                <c:pt idx="132">
                  <c:v>55.294439742900238</c:v>
                </c:pt>
                <c:pt idx="133">
                  <c:v>56.067746443065488</c:v>
                </c:pt>
                <c:pt idx="134">
                  <c:v>56.844924924756583</c:v>
                </c:pt>
                <c:pt idx="135">
                  <c:v>57.625940583926138</c:v>
                </c:pt>
                <c:pt idx="136">
                  <c:v>58.410758850449</c:v>
                </c:pt>
                <c:pt idx="137">
                  <c:v>59.199345190146033</c:v>
                </c:pt>
                <c:pt idx="138">
                  <c:v>59.991665106781845</c:v>
                </c:pt>
                <c:pt idx="139">
                  <c:v>60.78768414403639</c:v>
                </c:pt>
                <c:pt idx="140">
                  <c:v>61.587367887450284</c:v>
                </c:pt>
                <c:pt idx="141">
                  <c:v>62.390681966343777</c:v>
                </c:pt>
                <c:pt idx="142">
                  <c:v>63.197592055709251</c:v>
                </c:pt>
                <c:pt idx="143">
                  <c:v>64.008063878077195</c:v>
                </c:pt>
                <c:pt idx="144">
                  <c:v>64.822063205355548</c:v>
                </c:pt>
                <c:pt idx="145">
                  <c:v>65.639555860642417</c:v>
                </c:pt>
                <c:pt idx="146">
                  <c:v>66.46050772001206</c:v>
                </c:pt>
                <c:pt idx="147">
                  <c:v>67.284884714274057</c:v>
                </c:pt>
                <c:pt idx="148">
                  <c:v>68.112652830705727</c:v>
                </c:pt>
                <c:pt idx="149">
                  <c:v>68.943778114757677</c:v>
                </c:pt>
                <c:pt idx="150">
                  <c:v>69.778226671732568</c:v>
                </c:pt>
                <c:pt idx="151">
                  <c:v>70.615964668436916</c:v>
                </c:pt>
                <c:pt idx="152">
                  <c:v>71.456958334806131</c:v>
                </c:pt>
                <c:pt idx="153">
                  <c:v>72.301173965502642</c:v>
                </c:pt>
                <c:pt idx="154">
                  <c:v>73.148577921487203</c:v>
                </c:pt>
                <c:pt idx="155">
                  <c:v>73.999136631563331</c:v>
                </c:pt>
                <c:pt idx="156">
                  <c:v>74.852816593895056</c:v>
                </c:pt>
                <c:pt idx="157">
                  <c:v>75.709584377497791</c:v>
                </c:pt>
                <c:pt idx="158">
                  <c:v>76.56942584895377</c:v>
                </c:pt>
                <c:pt idx="159">
                  <c:v>77.432350912947911</c:v>
                </c:pt>
                <c:pt idx="160">
                  <c:v>78.298374201905489</c:v>
                </c:pt>
                <c:pt idx="161">
                  <c:v>79.167510250941604</c:v>
                </c:pt>
                <c:pt idx="162">
                  <c:v>80.039773497604742</c:v>
                </c:pt>
                <c:pt idx="163">
                  <c:v>80.915178281623454</c:v>
                </c:pt>
                <c:pt idx="164">
                  <c:v>81.793710585891262</c:v>
                </c:pt>
                <c:pt idx="165">
                  <c:v>82.675285738968839</c:v>
                </c:pt>
                <c:pt idx="166">
                  <c:v>83.559776934887225</c:v>
                </c:pt>
                <c:pt idx="167">
                  <c:v>84.447028980639615</c:v>
                </c:pt>
                <c:pt idx="168">
                  <c:v>85.336743127732262</c:v>
                </c:pt>
                <c:pt idx="169">
                  <c:v>86.228506457019563</c:v>
                </c:pt>
                <c:pt idx="170">
                  <c:v>87.121907639794912</c:v>
                </c:pt>
                <c:pt idx="171">
                  <c:v>88.016536973746426</c:v>
                </c:pt>
                <c:pt idx="172">
                  <c:v>88.911986415933924</c:v>
                </c:pt>
                <c:pt idx="173">
                  <c:v>89.807849612823077</c:v>
                </c:pt>
                <c:pt idx="174">
                  <c:v>90.703721927414378</c:v>
                </c:pt>
                <c:pt idx="175">
                  <c:v>91.599200463506833</c:v>
                </c:pt>
                <c:pt idx="176">
                  <c:v>92.493884087137914</c:v>
                </c:pt>
                <c:pt idx="177">
                  <c:v>93.387373445243014</c:v>
                </c:pt>
                <c:pt idx="178">
                  <c:v>94.279270981578861</c:v>
                </c:pt>
                <c:pt idx="179">
                  <c:v>95.169180949957124</c:v>
                </c:pt>
                <c:pt idx="180">
                  <c:v>96.056814500661389</c:v>
                </c:pt>
                <c:pt idx="181">
                  <c:v>96.941989187631137</c:v>
                </c:pt>
                <c:pt idx="182">
                  <c:v>97.824523393133248</c:v>
                </c:pt>
                <c:pt idx="183">
                  <c:v>98.704236323425704</c:v>
                </c:pt>
                <c:pt idx="184">
                  <c:v>99.581015459762511</c:v>
                </c:pt>
                <c:pt idx="185">
                  <c:v>100.45484513987745</c:v>
                </c:pt>
                <c:pt idx="186">
                  <c:v>101.32573864070235</c:v>
                </c:pt>
                <c:pt idx="187">
                  <c:v>102.19370913345134</c:v>
                </c:pt>
                <c:pt idx="188">
                  <c:v>103.05876968472141</c:v>
                </c:pt>
                <c:pt idx="189">
                  <c:v>103.92093325757882</c:v>
                </c:pt>
                <c:pt idx="190">
                  <c:v>104.78021271263111</c:v>
                </c:pt>
                <c:pt idx="191">
                  <c:v>105.63662080908526</c:v>
                </c:pt>
                <c:pt idx="192">
                  <c:v>106.49017020579207</c:v>
                </c:pt>
                <c:pt idx="193">
                  <c:v>107.34087346227705</c:v>
                </c:pt>
                <c:pt idx="194">
                  <c:v>108.18874303975794</c:v>
                </c:pt>
                <c:pt idx="195">
                  <c:v>109.03379130214917</c:v>
                </c:pt>
                <c:pt idx="196">
                  <c:v>109.87603051705337</c:v>
                </c:pt>
                <c:pt idx="197">
                  <c:v>110.71547285674016</c:v>
                </c:pt>
                <c:pt idx="198">
                  <c:v>111.55213039911251</c:v>
                </c:pt>
                <c:pt idx="199">
                  <c:v>112.38601512866065</c:v>
                </c:pt>
                <c:pt idx="200">
                  <c:v>113.21713893740392</c:v>
                </c:pt>
                <c:pt idx="201">
                  <c:v>121.37743989300272</c:v>
                </c:pt>
                <c:pt idx="202">
                  <c:v>129.26915840943906</c:v>
                </c:pt>
                <c:pt idx="203">
                  <c:v>136.90335100801678</c:v>
                </c:pt>
                <c:pt idx="204">
                  <c:v>144.29026049480095</c:v>
                </c:pt>
                <c:pt idx="205">
                  <c:v>151.43939243205682</c:v>
                </c:pt>
                <c:pt idx="206">
                  <c:v>158.35958270172321</c:v>
                </c:pt>
                <c:pt idx="207">
                  <c:v>165.05905738090735</c:v>
                </c:pt>
                <c:pt idx="208">
                  <c:v>171.54548595799542</c:v>
                </c:pt>
                <c:pt idx="209">
                  <c:v>177.82602876024026</c:v>
                </c:pt>
                <c:pt idx="210">
                  <c:v>183.90737933308407</c:v>
                </c:pt>
                <c:pt idx="211">
                  <c:v>189.79580240284557</c:v>
                </c:pt>
                <c:pt idx="212">
                  <c:v>195.49716796366587</c:v>
                </c:pt>
                <c:pt idx="213">
                  <c:v>201.01698195350619</c:v>
                </c:pt>
                <c:pt idx="214">
                  <c:v>206.36041391991728</c:v>
                </c:pt>
                <c:pt idx="215">
                  <c:v>211.53232202215091</c:v>
                </c:pt>
                <c:pt idx="216">
                  <c:v>216.53727567025916</c:v>
                </c:pt>
                <c:pt idx="217">
                  <c:v>221.37957606274551</c:v>
                </c:pt>
                <c:pt idx="218">
                  <c:v>226.06327485096458</c:v>
                </c:pt>
                <c:pt idx="219">
                  <c:v>230.59219112989055</c:v>
                </c:pt>
                <c:pt idx="220">
                  <c:v>234.96992693032703</c:v>
                </c:pt>
                <c:pt idx="221">
                  <c:v>239.19988136648496</c:v>
                </c:pt>
                <c:pt idx="222">
                  <c:v>243.28526357459015</c:v>
                </c:pt>
                <c:pt idx="223">
                  <c:v>247.22910456236411</c:v>
                </c:pt>
                <c:pt idx="224">
                  <c:v>251.03426807549025</c:v>
                </c:pt>
                <c:pt idx="225">
                  <c:v>254.70346057523042</c:v>
                </c:pt>
                <c:pt idx="226">
                  <c:v>258.23924041094114</c:v>
                </c:pt>
                <c:pt idx="227">
                  <c:v>261.64402626213899</c:v>
                </c:pt>
                <c:pt idx="228">
                  <c:v>264.92010491680662</c:v>
                </c:pt>
                <c:pt idx="229">
                  <c:v>268.06963844565797</c:v>
                </c:pt>
                <c:pt idx="230">
                  <c:v>271.09467082597052</c:v>
                </c:pt>
                <c:pt idx="231">
                  <c:v>273.99713406323673</c:v>
                </c:pt>
                <c:pt idx="232">
                  <c:v>276.77885385419501</c:v>
                </c:pt>
                <c:pt idx="233">
                  <c:v>279.4415548307017</c:v>
                </c:pt>
                <c:pt idx="234">
                  <c:v>281.98686542033994</c:v>
                </c:pt>
                <c:pt idx="235">
                  <c:v>284.41632235657846</c:v>
                </c:pt>
                <c:pt idx="236">
                  <c:v>286.73137486866523</c:v>
                </c:pt>
                <c:pt idx="237">
                  <c:v>288.93338857923601</c:v>
                </c:pt>
                <c:pt idx="238">
                  <c:v>291.02364913583546</c:v>
                </c:pt>
                <c:pt idx="239">
                  <c:v>293.00336560118114</c:v>
                </c:pt>
                <c:pt idx="240">
                  <c:v>294.87367362607557</c:v>
                </c:pt>
                <c:pt idx="241">
                  <c:v>296.63563842841364</c:v>
                </c:pt>
                <c:pt idx="242">
                  <c:v>298.29025760179991</c:v>
                </c:pt>
                <c:pt idx="243">
                  <c:v>299.83846377795135</c:v>
                </c:pt>
                <c:pt idx="244">
                  <c:v>301.28112716841173</c:v>
                </c:pt>
                <c:pt idx="245">
                  <c:v>302.61905801325429</c:v>
                </c:pt>
                <c:pt idx="246">
                  <c:v>303.85300896752813</c:v>
                </c:pt>
                <c:pt idx="247">
                  <c:v>304.98367746033074</c:v>
                </c:pt>
                <c:pt idx="248">
                  <c:v>306.01170806664669</c:v>
                </c:pt>
                <c:pt idx="249">
                  <c:v>306.93769493846571</c:v>
                </c:pt>
                <c:pt idx="250">
                  <c:v>307.76218434896589</c:v>
                </c:pt>
                <c:pt idx="251">
                  <c:v>308.48567741115079</c:v>
                </c:pt>
                <c:pt idx="252">
                  <c:v>309.10863303915647</c:v>
                </c:pt>
                <c:pt idx="253">
                  <c:v>309.6314712246342</c:v>
                </c:pt>
                <c:pt idx="254">
                  <c:v>310.05457669944644</c:v>
                </c:pt>
                <c:pt idx="255">
                  <c:v>310.37830304596787</c:v>
                </c:pt>
                <c:pt idx="256">
                  <c:v>310.60297729410752</c:v>
                </c:pt>
                <c:pt idx="257">
                  <c:v>310.72890500764521</c:v>
                </c:pt>
                <c:pt idx="258">
                  <c:v>310.75637581267</c:v>
                </c:pt>
                <c:pt idx="259">
                  <c:v>310.68566926365179</c:v>
                </c:pt>
                <c:pt idx="260">
                  <c:v>310.5170608885864</c:v>
                </c:pt>
                <c:pt idx="261">
                  <c:v>310.25082821658748</c:v>
                </c:pt>
                <c:pt idx="262">
                  <c:v>309.88725657968848</c:v>
                </c:pt>
                <c:pt idx="263">
                  <c:v>309.42664449891976</c:v>
                </c:pt>
                <c:pt idx="264">
                  <c:v>308.86930850777571</c:v>
                </c:pt>
                <c:pt idx="265">
                  <c:v>308.21558732254641</c:v>
                </c:pt>
                <c:pt idx="266">
                  <c:v>307.4658453257897</c:v>
                </c:pt>
                <c:pt idx="267">
                  <c:v>306.6204753765939</c:v>
                </c:pt>
                <c:pt idx="268">
                  <c:v>305.67990099441533</c:v>
                </c:pt>
                <c:pt idx="269">
                  <c:v>304.64457798197571</c:v>
                </c:pt>
                <c:pt idx="270">
                  <c:v>303.51499555962681</c:v>
                </c:pt>
                <c:pt idx="271">
                  <c:v>302.29167708237981</c:v>
                </c:pt>
                <c:pt idx="272">
                  <c:v>300.97518040485863</c:v>
                </c:pt>
                <c:pt idx="273">
                  <c:v>299.56609795135751</c:v>
                </c:pt>
                <c:pt idx="274">
                  <c:v>298.0650565396615</c:v>
                </c:pt>
                <c:pt idx="275">
                  <c:v>296.47271699929297</c:v>
                </c:pt>
                <c:pt idx="276">
                  <c:v>294.78977361782506</c:v>
                </c:pt>
                <c:pt idx="277">
                  <c:v>293.01695344299378</c:v>
                </c:pt>
                <c:pt idx="278">
                  <c:v>291.15501546349572</c:v>
                </c:pt>
                <c:pt idx="279">
                  <c:v>289.20474968746134</c:v>
                </c:pt>
                <c:pt idx="280">
                  <c:v>287.16697613448918</c:v>
                </c:pt>
                <c:pt idx="281">
                  <c:v>285.04254375467031</c:v>
                </c:pt>
                <c:pt idx="282">
                  <c:v>282.83232928609323</c:v>
                </c:pt>
                <c:pt idx="283">
                  <c:v>280.53723606078285</c:v>
                </c:pt>
                <c:pt idx="284">
                  <c:v>278.1581927678082</c:v>
                </c:pt>
                <c:pt idx="285">
                  <c:v>275.69615218131446</c:v>
                </c:pt>
                <c:pt idx="286">
                  <c:v>273.15208986044325</c:v>
                </c:pt>
                <c:pt idx="287">
                  <c:v>270.52700282745371</c:v>
                </c:pt>
                <c:pt idx="288">
                  <c:v>267.82190822981352</c:v>
                </c:pt>
                <c:pt idx="289">
                  <c:v>265.03784199156678</c:v>
                </c:pt>
                <c:pt idx="290">
                  <c:v>262.17585745888522</c:v>
                </c:pt>
                <c:pt idx="291">
                  <c:v>259.23702404435397</c:v>
                </c:pt>
                <c:pt idx="292">
                  <c:v>256.22242587422426</c:v>
                </c:pt>
                <c:pt idx="293">
                  <c:v>253.13316044257104</c:v>
                </c:pt>
                <c:pt idx="294">
                  <c:v>249.9703372760207</c:v>
                </c:pt>
                <c:pt idx="295">
                  <c:v>246.73507661245498</c:v>
                </c:pt>
                <c:pt idx="296">
                  <c:v>243.42850809685083</c:v>
                </c:pt>
                <c:pt idx="297">
                  <c:v>240.0517694971787</c:v>
                </c:pt>
                <c:pt idx="298">
                  <c:v>236.60600544305149</c:v>
                </c:pt>
                <c:pt idx="299">
                  <c:v>233.09236618959417</c:v>
                </c:pt>
                <c:pt idx="300">
                  <c:v>229.51200640878608</c:v>
                </c:pt>
                <c:pt idx="301">
                  <c:v>225.86608401031683</c:v>
                </c:pt>
                <c:pt idx="302">
                  <c:v>222.15575899379058</c:v>
                </c:pt>
                <c:pt idx="303">
                  <c:v>218.38219233391257</c:v>
                </c:pt>
                <c:pt idx="304">
                  <c:v>214.54654490009733</c:v>
                </c:pt>
                <c:pt idx="305">
                  <c:v>210.64997641174872</c:v>
                </c:pt>
                <c:pt idx="306">
                  <c:v>206.69364443027945</c:v>
                </c:pt>
                <c:pt idx="307">
                  <c:v>202.67870338876145</c:v>
                </c:pt>
                <c:pt idx="308">
                  <c:v>198.60630365992955</c:v>
                </c:pt>
                <c:pt idx="309">
                  <c:v>194.47759066309794</c:v>
                </c:pt>
                <c:pt idx="310">
                  <c:v>190.29370401039509</c:v>
                </c:pt>
                <c:pt idx="311">
                  <c:v>186.05577669257505</c:v>
                </c:pt>
                <c:pt idx="312">
                  <c:v>181.76493430452365</c:v>
                </c:pt>
                <c:pt idx="313">
                  <c:v>177.42229431044723</c:v>
                </c:pt>
                <c:pt idx="314">
                  <c:v>173.0289653486075</c:v>
                </c:pt>
                <c:pt idx="315">
                  <c:v>168.58604657535133</c:v>
                </c:pt>
                <c:pt idx="316">
                  <c:v>164.09462704807689</c:v>
                </c:pt>
                <c:pt idx="317">
                  <c:v>159.55578514667843</c:v>
                </c:pt>
                <c:pt idx="318">
                  <c:v>154.97058803292109</c:v>
                </c:pt>
                <c:pt idx="319">
                  <c:v>150.3400911471133</c:v>
                </c:pt>
                <c:pt idx="320">
                  <c:v>145.66533774136951</c:v>
                </c:pt>
                <c:pt idx="321">
                  <c:v>140.94735844868768</c:v>
                </c:pt>
                <c:pt idx="322">
                  <c:v>136.1871708870049</c:v>
                </c:pt>
                <c:pt idx="323">
                  <c:v>131.38577929734174</c:v>
                </c:pt>
                <c:pt idx="324">
                  <c:v>126.54417421509872</c:v>
                </c:pt>
                <c:pt idx="325">
                  <c:v>121.66333217352781</c:v>
                </c:pt>
                <c:pt idx="326">
                  <c:v>116.74421543836885</c:v>
                </c:pt>
                <c:pt idx="327">
                  <c:v>111.7877717726121</c:v>
                </c:pt>
                <c:pt idx="328">
                  <c:v>106.79493423032601</c:v>
                </c:pt>
                <c:pt idx="329">
                  <c:v>101.7666209784726</c:v>
                </c:pt>
                <c:pt idx="330">
                  <c:v>96.703735145620769</c:v>
                </c:pt>
                <c:pt idx="331">
                  <c:v>91.607164696460373</c:v>
                </c:pt>
                <c:pt idx="332">
                  <c:v>86.477782331017437</c:v>
                </c:pt>
                <c:pt idx="333">
                  <c:v>81.316445407471775</c:v>
                </c:pt>
                <c:pt idx="334">
                  <c:v>76.123995887483105</c:v>
                </c:pt>
                <c:pt idx="335">
                  <c:v>70.901260302940429</c:v>
                </c:pt>
                <c:pt idx="336">
                  <c:v>65.649049743060388</c:v>
                </c:pt>
                <c:pt idx="337">
                  <c:v>60.368159860774938</c:v>
                </c:pt>
                <c:pt idx="338">
                  <c:v>55.059370897365326</c:v>
                </c:pt>
                <c:pt idx="339">
                  <c:v>49.723447724318461</c:v>
                </c:pt>
                <c:pt idx="340">
                  <c:v>44.361139901402865</c:v>
                </c:pt>
                <c:pt idx="341">
                  <c:v>38.973181749984256</c:v>
                </c:pt>
                <c:pt idx="342">
                  <c:v>33.56029244062524</c:v>
                </c:pt>
                <c:pt idx="343">
                  <c:v>28.123176094039209</c:v>
                </c:pt>
                <c:pt idx="344">
                  <c:v>22.662521894495509</c:v>
                </c:pt>
                <c:pt idx="345">
                  <c:v>17.179004214800511</c:v>
                </c:pt>
                <c:pt idx="346">
                  <c:v>11.673282752007784</c:v>
                </c:pt>
                <c:pt idx="347">
                  <c:v>6.146002673039499</c:v>
                </c:pt>
                <c:pt idx="348">
                  <c:v>0.59779476943062004</c:v>
                </c:pt>
                <c:pt idx="349">
                  <c:v>-4.9707243795628928</c:v>
                </c:pt>
                <c:pt idx="350">
                  <c:v>-4.9763029116613193</c:v>
                </c:pt>
                <c:pt idx="351">
                  <c:v>-4.9818814631703825</c:v>
                </c:pt>
                <c:pt idx="352">
                  <c:v>-4.9874600340895032</c:v>
                </c:pt>
                <c:pt idx="353">
                  <c:v>-4.9930386244180998</c:v>
                </c:pt>
                <c:pt idx="354">
                  <c:v>-4.998617234155593</c:v>
                </c:pt>
                <c:pt idx="355">
                  <c:v>-5.0041958633014021</c:v>
                </c:pt>
                <c:pt idx="356">
                  <c:v>-5.0097745118549462</c:v>
                </c:pt>
                <c:pt idx="357">
                  <c:v>-5.0153531798156452</c:v>
                </c:pt>
                <c:pt idx="358">
                  <c:v>-5.0209318671829193</c:v>
                </c:pt>
                <c:pt idx="359">
                  <c:v>-5.0265105739561875</c:v>
                </c:pt>
                <c:pt idx="360">
                  <c:v>-5.0320893001348699</c:v>
                </c:pt>
                <c:pt idx="361">
                  <c:v>-5.0376680457183864</c:v>
                </c:pt>
                <c:pt idx="362">
                  <c:v>-5.0432468107061572</c:v>
                </c:pt>
                <c:pt idx="363">
                  <c:v>-5.0488255950976013</c:v>
                </c:pt>
                <c:pt idx="364">
                  <c:v>-5.0544043988921388</c:v>
                </c:pt>
                <c:pt idx="365">
                  <c:v>-5.0599832220891887</c:v>
                </c:pt>
                <c:pt idx="366">
                  <c:v>-5.0655620646881721</c:v>
                </c:pt>
                <c:pt idx="367">
                  <c:v>-5.0711409266885079</c:v>
                </c:pt>
                <c:pt idx="368">
                  <c:v>-5.0767198080896163</c:v>
                </c:pt>
                <c:pt idx="369">
                  <c:v>-5.0822987088909173</c:v>
                </c:pt>
                <c:pt idx="370">
                  <c:v>-5.0878776290918299</c:v>
                </c:pt>
                <c:pt idx="371">
                  <c:v>-5.0934565686917752</c:v>
                </c:pt>
                <c:pt idx="372">
                  <c:v>-5.0990355276901722</c:v>
                </c:pt>
                <c:pt idx="373">
                  <c:v>-5.104614506086441</c:v>
                </c:pt>
                <c:pt idx="374">
                  <c:v>-5.1101935038800015</c:v>
                </c:pt>
                <c:pt idx="375">
                  <c:v>-5.1157725210702738</c:v>
                </c:pt>
                <c:pt idx="376">
                  <c:v>-5.1213515576566779</c:v>
                </c:pt>
                <c:pt idx="377">
                  <c:v>-5.1269306136386339</c:v>
                </c:pt>
                <c:pt idx="378">
                  <c:v>-5.1325096890155617</c:v>
                </c:pt>
                <c:pt idx="379">
                  <c:v>-5.1380887837868805</c:v>
                </c:pt>
                <c:pt idx="380">
                  <c:v>-5.1436678979520112</c:v>
                </c:pt>
                <c:pt idx="381">
                  <c:v>-5.1492470315103738</c:v>
                </c:pt>
                <c:pt idx="382">
                  <c:v>-5.1548261844613874</c:v>
                </c:pt>
                <c:pt idx="383">
                  <c:v>-5.160405356804473</c:v>
                </c:pt>
                <c:pt idx="384">
                  <c:v>-5.1659845485390505</c:v>
                </c:pt>
                <c:pt idx="385">
                  <c:v>-5.1715637596645392</c:v>
                </c:pt>
                <c:pt idx="386">
                  <c:v>-5.1771429901803598</c:v>
                </c:pt>
                <c:pt idx="387">
                  <c:v>-5.1827222400859325</c:v>
                </c:pt>
                <c:pt idx="388">
                  <c:v>-5.1883015093806772</c:v>
                </c:pt>
                <c:pt idx="389">
                  <c:v>-5.193880798064014</c:v>
                </c:pt>
                <c:pt idx="390">
                  <c:v>-5.1994601061353629</c:v>
                </c:pt>
                <c:pt idx="391">
                  <c:v>-5.2050394335941448</c:v>
                </c:pt>
                <c:pt idx="392">
                  <c:v>-5.2106187804397788</c:v>
                </c:pt>
                <c:pt idx="393">
                  <c:v>-5.2161981466716858</c:v>
                </c:pt>
                <c:pt idx="394">
                  <c:v>-5.2217775322892859</c:v>
                </c:pt>
                <c:pt idx="395">
                  <c:v>-5.227356937291999</c:v>
                </c:pt>
                <c:pt idx="396">
                  <c:v>-5.2329363616792453</c:v>
                </c:pt>
                <c:pt idx="397">
                  <c:v>-5.2385158054504446</c:v>
                </c:pt>
                <c:pt idx="398">
                  <c:v>-5.244095268605018</c:v>
                </c:pt>
                <c:pt idx="399">
                  <c:v>-5.2496747511423854</c:v>
                </c:pt>
                <c:pt idx="400">
                  <c:v>-5.2552542530619668</c:v>
                </c:pt>
                <c:pt idx="401">
                  <c:v>-5.2608337743631832</c:v>
                </c:pt>
                <c:pt idx="402">
                  <c:v>-5.2664133150454546</c:v>
                </c:pt>
                <c:pt idx="403">
                  <c:v>-5.271992875108201</c:v>
                </c:pt>
                <c:pt idx="404">
                  <c:v>-5.2775724545508425</c:v>
                </c:pt>
                <c:pt idx="405">
                  <c:v>-5.2831520533727998</c:v>
                </c:pt>
                <c:pt idx="406">
                  <c:v>-5.2887316715734931</c:v>
                </c:pt>
                <c:pt idx="407">
                  <c:v>-5.2943113091523433</c:v>
                </c:pt>
                <c:pt idx="408">
                  <c:v>-5.2998909661087703</c:v>
                </c:pt>
                <c:pt idx="409">
                  <c:v>-5.3054706424421942</c:v>
                </c:pt>
                <c:pt idx="410">
                  <c:v>-5.311050338152036</c:v>
                </c:pt>
                <c:pt idx="411">
                  <c:v>-5.3166300532377155</c:v>
                </c:pt>
                <c:pt idx="412">
                  <c:v>-5.3222097876986538</c:v>
                </c:pt>
                <c:pt idx="413">
                  <c:v>-5.3277895415342709</c:v>
                </c:pt>
                <c:pt idx="414">
                  <c:v>-5.3333693147439876</c:v>
                </c:pt>
                <c:pt idx="415">
                  <c:v>-5.3389491073272239</c:v>
                </c:pt>
                <c:pt idx="416">
                  <c:v>-5.3445289192834</c:v>
                </c:pt>
                <c:pt idx="417">
                  <c:v>-5.3501087506119376</c:v>
                </c:pt>
                <c:pt idx="418">
                  <c:v>-5.3556886013122558</c:v>
                </c:pt>
                <c:pt idx="419">
                  <c:v>-5.3612684713837764</c:v>
                </c:pt>
                <c:pt idx="420">
                  <c:v>-5.3668483608259194</c:v>
                </c:pt>
                <c:pt idx="421">
                  <c:v>-5.3724282696381049</c:v>
                </c:pt>
                <c:pt idx="422">
                  <c:v>-5.3780081978197538</c:v>
                </c:pt>
                <c:pt idx="423">
                  <c:v>-5.383588145370287</c:v>
                </c:pt>
                <c:pt idx="424">
                  <c:v>-5.3891681122891244</c:v>
                </c:pt>
                <c:pt idx="425">
                  <c:v>-5.394748098575687</c:v>
                </c:pt>
                <c:pt idx="426">
                  <c:v>-5.4003281042293958</c:v>
                </c:pt>
                <c:pt idx="427">
                  <c:v>-5.4059081292496707</c:v>
                </c:pt>
                <c:pt idx="428">
                  <c:v>-5.4114881736359326</c:v>
                </c:pt>
                <c:pt idx="429">
                  <c:v>-5.4170682373876025</c:v>
                </c:pt>
                <c:pt idx="430">
                  <c:v>-5.4226483205041003</c:v>
                </c:pt>
                <c:pt idx="431">
                  <c:v>-5.4282284229848479</c:v>
                </c:pt>
                <c:pt idx="432">
                  <c:v>-5.4338085448292643</c:v>
                </c:pt>
                <c:pt idx="433">
                  <c:v>-5.4393886860367715</c:v>
                </c:pt>
                <c:pt idx="434">
                  <c:v>-5.4449688466067903</c:v>
                </c:pt>
                <c:pt idx="435">
                  <c:v>-5.4505490265387406</c:v>
                </c:pt>
                <c:pt idx="436">
                  <c:v>-5.4561292258320435</c:v>
                </c:pt>
                <c:pt idx="437">
                  <c:v>-5.4617094444861198</c:v>
                </c:pt>
                <c:pt idx="438">
                  <c:v>-5.4672896825003905</c:v>
                </c:pt>
                <c:pt idx="439">
                  <c:v>-5.4728699398742764</c:v>
                </c:pt>
                <c:pt idx="440">
                  <c:v>-5.4784502166071976</c:v>
                </c:pt>
                <c:pt idx="441">
                  <c:v>-5.4840305126985758</c:v>
                </c:pt>
                <c:pt idx="442">
                  <c:v>-5.4896108281478311</c:v>
                </c:pt>
                <c:pt idx="443">
                  <c:v>-5.4951911629543844</c:v>
                </c:pt>
                <c:pt idx="444">
                  <c:v>-5.5007715171176566</c:v>
                </c:pt>
                <c:pt idx="445">
                  <c:v>-5.5063518906370694</c:v>
                </c:pt>
                <c:pt idx="446">
                  <c:v>-5.511932283512043</c:v>
                </c:pt>
                <c:pt idx="447">
                  <c:v>-5.5175126957419982</c:v>
                </c:pt>
                <c:pt idx="448">
                  <c:v>-5.5230931273263559</c:v>
                </c:pt>
                <c:pt idx="449">
                  <c:v>-5.5286735782645371</c:v>
                </c:pt>
                <c:pt idx="450">
                  <c:v>-5.5342540485559626</c:v>
                </c:pt>
                <c:pt idx="451">
                  <c:v>-5.5398345382000533</c:v>
                </c:pt>
                <c:pt idx="452">
                  <c:v>-5.5454150471962311</c:v>
                </c:pt>
                <c:pt idx="453">
                  <c:v>-5.550995575543916</c:v>
                </c:pt>
                <c:pt idx="454">
                  <c:v>-5.5565761232425288</c:v>
                </c:pt>
                <c:pt idx="455">
                  <c:v>-5.5621566902914914</c:v>
                </c:pt>
                <c:pt idx="456">
                  <c:v>-5.5677372766902247</c:v>
                </c:pt>
                <c:pt idx="457">
                  <c:v>-5.5733178824381486</c:v>
                </c:pt>
                <c:pt idx="458">
                  <c:v>-5.5788985075346851</c:v>
                </c:pt>
                <c:pt idx="459">
                  <c:v>-5.5844791519792549</c:v>
                </c:pt>
                <c:pt idx="460">
                  <c:v>-5.59005981577128</c:v>
                </c:pt>
                <c:pt idx="461">
                  <c:v>-5.5956404989101802</c:v>
                </c:pt>
                <c:pt idx="462">
                  <c:v>-5.6012212013953775</c:v>
                </c:pt>
                <c:pt idx="463">
                  <c:v>-5.6068019232262927</c:v>
                </c:pt>
                <c:pt idx="464">
                  <c:v>-5.6123826644023467</c:v>
                </c:pt>
                <c:pt idx="465">
                  <c:v>-5.6179634249229604</c:v>
                </c:pt>
                <c:pt idx="466">
                  <c:v>-5.6235442047875557</c:v>
                </c:pt>
                <c:pt idx="467">
                  <c:v>-5.6291250039955534</c:v>
                </c:pt>
                <c:pt idx="468">
                  <c:v>-5.6347058225463744</c:v>
                </c:pt>
                <c:pt idx="469">
                  <c:v>-5.6402866604394397</c:v>
                </c:pt>
                <c:pt idx="470">
                  <c:v>-5.6458675176741711</c:v>
                </c:pt>
                <c:pt idx="471">
                  <c:v>-5.6514483942499902</c:v>
                </c:pt>
                <c:pt idx="472">
                  <c:v>-5.6570292901663173</c:v>
                </c:pt>
                <c:pt idx="473">
                  <c:v>-5.662610205422574</c:v>
                </c:pt>
                <c:pt idx="474">
                  <c:v>-5.6681911400181813</c:v>
                </c:pt>
                <c:pt idx="475">
                  <c:v>-5.6737720939525609</c:v>
                </c:pt>
                <c:pt idx="476">
                  <c:v>-5.6793530672251338</c:v>
                </c:pt>
                <c:pt idx="477">
                  <c:v>-5.6849340598353217</c:v>
                </c:pt>
                <c:pt idx="478">
                  <c:v>-5.6905150717825457</c:v>
                </c:pt>
                <c:pt idx="479">
                  <c:v>-5.6960961030662274</c:v>
                </c:pt>
                <c:pt idx="480">
                  <c:v>-5.7016771536857878</c:v>
                </c:pt>
                <c:pt idx="481">
                  <c:v>-5.7072582236406477</c:v>
                </c:pt>
                <c:pt idx="482">
                  <c:v>-5.7128393129302291</c:v>
                </c:pt>
                <c:pt idx="483">
                  <c:v>-5.7184204215539536</c:v>
                </c:pt>
                <c:pt idx="484">
                  <c:v>-5.7240015495112422</c:v>
                </c:pt>
                <c:pt idx="485">
                  <c:v>-5.7295826968015158</c:v>
                </c:pt>
                <c:pt idx="486">
                  <c:v>-5.7351638634241962</c:v>
                </c:pt>
                <c:pt idx="487">
                  <c:v>-5.7407450493787051</c:v>
                </c:pt>
                <c:pt idx="488">
                  <c:v>-5.7463262546644645</c:v>
                </c:pt>
                <c:pt idx="489">
                  <c:v>-5.7519074792808951</c:v>
                </c:pt>
                <c:pt idx="490">
                  <c:v>-5.7574887232274179</c:v>
                </c:pt>
                <c:pt idx="491">
                  <c:v>-5.7630699865034556</c:v>
                </c:pt>
                <c:pt idx="492">
                  <c:v>-5.7686512691084291</c:v>
                </c:pt>
                <c:pt idx="493">
                  <c:v>-5.7742325710417592</c:v>
                </c:pt>
                <c:pt idx="494">
                  <c:v>-5.7798138923028679</c:v>
                </c:pt>
                <c:pt idx="495">
                  <c:v>-5.7853952328911777</c:v>
                </c:pt>
                <c:pt idx="496">
                  <c:v>-5.7909765928061088</c:v>
                </c:pt>
                <c:pt idx="497">
                  <c:v>-5.7965579720470837</c:v>
                </c:pt>
                <c:pt idx="498">
                  <c:v>-5.8021393706135234</c:v>
                </c:pt>
                <c:pt idx="499">
                  <c:v>-5.8077207885048496</c:v>
                </c:pt>
                <c:pt idx="500">
                  <c:v>-5.8133022257204843</c:v>
                </c:pt>
                <c:pt idx="501">
                  <c:v>-5.8188836822598482</c:v>
                </c:pt>
                <c:pt idx="502">
                  <c:v>-5.8244651581223641</c:v>
                </c:pt>
                <c:pt idx="503">
                  <c:v>-5.8300466533074529</c:v>
                </c:pt>
                <c:pt idx="504">
                  <c:v>-5.8356281678145363</c:v>
                </c:pt>
                <c:pt idx="505">
                  <c:v>-5.8412097016430362</c:v>
                </c:pt>
                <c:pt idx="506">
                  <c:v>-5.8467912547923744</c:v>
                </c:pt>
                <c:pt idx="507">
                  <c:v>-5.8523728272619717</c:v>
                </c:pt>
                <c:pt idx="508">
                  <c:v>-5.8579544190512509</c:v>
                </c:pt>
                <c:pt idx="509">
                  <c:v>-5.8635360301596329</c:v>
                </c:pt>
                <c:pt idx="510">
                  <c:v>-5.8691176605865403</c:v>
                </c:pt>
                <c:pt idx="511">
                  <c:v>-5.874699310331394</c:v>
                </c:pt>
                <c:pt idx="512">
                  <c:v>-5.8802809793936168</c:v>
                </c:pt>
                <c:pt idx="513">
                  <c:v>-5.8858626677726296</c:v>
                </c:pt>
                <c:pt idx="514">
                  <c:v>-5.891444375467854</c:v>
                </c:pt>
                <c:pt idx="515">
                  <c:v>-5.897026102478713</c:v>
                </c:pt>
                <c:pt idx="516">
                  <c:v>-5.9026078488046272</c:v>
                </c:pt>
                <c:pt idx="517">
                  <c:v>-5.9081896144450186</c:v>
                </c:pt>
                <c:pt idx="518">
                  <c:v>-5.9137713993993097</c:v>
                </c:pt>
                <c:pt idx="519">
                  <c:v>-5.9193532036669216</c:v>
                </c:pt>
                <c:pt idx="520">
                  <c:v>-5.9249350272472769</c:v>
                </c:pt>
                <c:pt idx="521">
                  <c:v>-5.9305168701397974</c:v>
                </c:pt>
                <c:pt idx="522">
                  <c:v>-5.9360987323439041</c:v>
                </c:pt>
                <c:pt idx="523">
                  <c:v>-5.9416806138590195</c:v>
                </c:pt>
                <c:pt idx="524">
                  <c:v>-5.9472625146845655</c:v>
                </c:pt>
                <c:pt idx="525">
                  <c:v>-5.9528444348199647</c:v>
                </c:pt>
                <c:pt idx="526">
                  <c:v>-5.9584263742646382</c:v>
                </c:pt>
                <c:pt idx="527">
                  <c:v>-5.9640083330180085</c:v>
                </c:pt>
                <c:pt idx="528">
                  <c:v>-5.9695903110794966</c:v>
                </c:pt>
                <c:pt idx="529">
                  <c:v>-5.9751723084485251</c:v>
                </c:pt>
                <c:pt idx="530">
                  <c:v>-5.9807543251245168</c:v>
                </c:pt>
                <c:pt idx="531">
                  <c:v>-5.9863363611068925</c:v>
                </c:pt>
                <c:pt idx="532">
                  <c:v>-5.9919184163950749</c:v>
                </c:pt>
                <c:pt idx="533">
                  <c:v>-5.9975004909884859</c:v>
                </c:pt>
                <c:pt idx="534">
                  <c:v>-6.0030825848865472</c:v>
                </c:pt>
                <c:pt idx="535">
                  <c:v>-6.0086646980886815</c:v>
                </c:pt>
                <c:pt idx="536">
                  <c:v>-6.0142468305943106</c:v>
                </c:pt>
                <c:pt idx="537">
                  <c:v>-6.0198289824028564</c:v>
                </c:pt>
                <c:pt idx="538">
                  <c:v>-6.0254111535137413</c:v>
                </c:pt>
                <c:pt idx="539">
                  <c:v>-6.0309933439263874</c:v>
                </c:pt>
                <c:pt idx="540">
                  <c:v>-6.0365755536402164</c:v>
                </c:pt>
                <c:pt idx="541">
                  <c:v>-6.0421577826546509</c:v>
                </c:pt>
                <c:pt idx="542">
                  <c:v>-6.0477400309691127</c:v>
                </c:pt>
                <c:pt idx="543">
                  <c:v>-6.0533222985830246</c:v>
                </c:pt>
                <c:pt idx="544">
                  <c:v>-6.0589045854958083</c:v>
                </c:pt>
                <c:pt idx="545">
                  <c:v>-6.0644868917068866</c:v>
                </c:pt>
                <c:pt idx="546">
                  <c:v>-6.0700692172156812</c:v>
                </c:pt>
                <c:pt idx="547">
                  <c:v>-6.0756515620216138</c:v>
                </c:pt>
                <c:pt idx="548">
                  <c:v>-6.0812339261241073</c:v>
                </c:pt>
                <c:pt idx="549">
                  <c:v>-6.0868163095225842</c:v>
                </c:pt>
                <c:pt idx="550">
                  <c:v>-6.0923987122164664</c:v>
                </c:pt>
                <c:pt idx="551">
                  <c:v>-6.0979811342051766</c:v>
                </c:pt>
                <c:pt idx="552">
                  <c:v>-6.1035635754881366</c:v>
                </c:pt>
                <c:pt idx="553">
                  <c:v>-6.1091460360647689</c:v>
                </c:pt>
                <c:pt idx="554">
                  <c:v>-6.1147285159344955</c:v>
                </c:pt>
                <c:pt idx="555">
                  <c:v>-6.120311015096739</c:v>
                </c:pt>
                <c:pt idx="556">
                  <c:v>-6.1258935335509221</c:v>
                </c:pt>
                <c:pt idx="557">
                  <c:v>-6.1314760712964667</c:v>
                </c:pt>
                <c:pt idx="558">
                  <c:v>-6.1370586283327953</c:v>
                </c:pt>
                <c:pt idx="559">
                  <c:v>-6.1426412046593306</c:v>
                </c:pt>
                <c:pt idx="560">
                  <c:v>-6.1482238002754945</c:v>
                </c:pt>
                <c:pt idx="561">
                  <c:v>-6.1538064151807097</c:v>
                </c:pt>
                <c:pt idx="562">
                  <c:v>-6.1593890493743988</c:v>
                </c:pt>
                <c:pt idx="563">
                  <c:v>-6.1649717028559836</c:v>
                </c:pt>
                <c:pt idx="564">
                  <c:v>-6.1705543756248868</c:v>
                </c:pt>
                <c:pt idx="565">
                  <c:v>-6.1761370676805312</c:v>
                </c:pt>
                <c:pt idx="566">
                  <c:v>-6.1817197790223393</c:v>
                </c:pt>
                <c:pt idx="567">
                  <c:v>-6.1873025096497338</c:v>
                </c:pt>
                <c:pt idx="568">
                  <c:v>-6.1928852595621366</c:v>
                </c:pt>
                <c:pt idx="569">
                  <c:v>-6.1984680287589704</c:v>
                </c:pt>
                <c:pt idx="570">
                  <c:v>-6.2040508172396578</c:v>
                </c:pt>
                <c:pt idx="571">
                  <c:v>-6.2096336250036215</c:v>
                </c:pt>
                <c:pt idx="572">
                  <c:v>-6.2152164520502842</c:v>
                </c:pt>
                <c:pt idx="573">
                  <c:v>-6.2207992983790676</c:v>
                </c:pt>
                <c:pt idx="574">
                  <c:v>-6.2263821639893955</c:v>
                </c:pt>
                <c:pt idx="575">
                  <c:v>-6.2319650488806895</c:v>
                </c:pt>
                <c:pt idx="576">
                  <c:v>-6.2375479530523723</c:v>
                </c:pt>
                <c:pt idx="577">
                  <c:v>-6.2431308765038676</c:v>
                </c:pt>
                <c:pt idx="578">
                  <c:v>-6.248713819234597</c:v>
                </c:pt>
                <c:pt idx="579">
                  <c:v>-6.2542967812439834</c:v>
                </c:pt>
                <c:pt idx="580">
                  <c:v>-6.2598797625314493</c:v>
                </c:pt>
                <c:pt idx="581">
                  <c:v>-6.2654627630964175</c:v>
                </c:pt>
                <c:pt idx="582">
                  <c:v>-6.2710457829383115</c:v>
                </c:pt>
                <c:pt idx="583">
                  <c:v>-6.2766288220565531</c:v>
                </c:pt>
                <c:pt idx="584">
                  <c:v>-6.2822118804505651</c:v>
                </c:pt>
                <c:pt idx="585">
                  <c:v>-6.287794958119771</c:v>
                </c:pt>
                <c:pt idx="586">
                  <c:v>-6.2933780550635925</c:v>
                </c:pt>
                <c:pt idx="587">
                  <c:v>-6.2989611712814533</c:v>
                </c:pt>
                <c:pt idx="588">
                  <c:v>-6.3045443067727751</c:v>
                </c:pt>
                <c:pt idx="589">
                  <c:v>-6.3101274615369816</c:v>
                </c:pt>
                <c:pt idx="590">
                  <c:v>-6.3157106355734953</c:v>
                </c:pt>
                <c:pt idx="591">
                  <c:v>-6.3212938288817391</c:v>
                </c:pt>
                <c:pt idx="592">
                  <c:v>-6.3268770414611355</c:v>
                </c:pt>
                <c:pt idx="593">
                  <c:v>-6.3324602733111073</c:v>
                </c:pt>
                <c:pt idx="594">
                  <c:v>-6.338043524431078</c:v>
                </c:pt>
                <c:pt idx="595">
                  <c:v>-6.3436267948204703</c:v>
                </c:pt>
                <c:pt idx="596">
                  <c:v>-6.3492100844787069</c:v>
                </c:pt>
                <c:pt idx="597">
                  <c:v>-6.3547933934052105</c:v>
                </c:pt>
                <c:pt idx="598">
                  <c:v>-6.3603767215994047</c:v>
                </c:pt>
                <c:pt idx="599">
                  <c:v>-6.3659600690607121</c:v>
                </c:pt>
                <c:pt idx="600">
                  <c:v>-6.3715434357885554</c:v>
                </c:pt>
                <c:pt idx="601">
                  <c:v>-6.3771268217823573</c:v>
                </c:pt>
                <c:pt idx="602">
                  <c:v>-6.3827102270415415</c:v>
                </c:pt>
                <c:pt idx="603">
                  <c:v>-6.3882936515655304</c:v>
                </c:pt>
                <c:pt idx="604">
                  <c:v>-6.3938770953537469</c:v>
                </c:pt>
                <c:pt idx="605">
                  <c:v>-6.3994605584056146</c:v>
                </c:pt>
                <c:pt idx="606">
                  <c:v>-6.405044040720556</c:v>
                </c:pt>
                <c:pt idx="607">
                  <c:v>-6.4106275422979948</c:v>
                </c:pt>
                <c:pt idx="608">
                  <c:v>-6.4162110631373537</c:v>
                </c:pt>
                <c:pt idx="609">
                  <c:v>-6.4217946032380553</c:v>
                </c:pt>
                <c:pt idx="610">
                  <c:v>-6.4273781625995232</c:v>
                </c:pt>
                <c:pt idx="611">
                  <c:v>-6.4329617412211801</c:v>
                </c:pt>
                <c:pt idx="612">
                  <c:v>-6.4385453391024496</c:v>
                </c:pt>
                <c:pt idx="613">
                  <c:v>-6.4441289562427544</c:v>
                </c:pt>
                <c:pt idx="614">
                  <c:v>-6.449712592641518</c:v>
                </c:pt>
                <c:pt idx="615">
                  <c:v>-6.4552962482981631</c:v>
                </c:pt>
                <c:pt idx="616">
                  <c:v>-6.4608799232121132</c:v>
                </c:pt>
                <c:pt idx="617">
                  <c:v>-6.4664636173827912</c:v>
                </c:pt>
                <c:pt idx="618">
                  <c:v>-6.4720473308096205</c:v>
                </c:pt>
                <c:pt idx="619">
                  <c:v>-6.4776310634920247</c:v>
                </c:pt>
                <c:pt idx="620">
                  <c:v>-6.4832148154294265</c:v>
                </c:pt>
                <c:pt idx="621">
                  <c:v>-6.4887985866212485</c:v>
                </c:pt>
                <c:pt idx="622">
                  <c:v>-6.4943823770669153</c:v>
                </c:pt>
                <c:pt idx="623">
                  <c:v>-6.4999661867658487</c:v>
                </c:pt>
                <c:pt idx="624">
                  <c:v>-6.505550015717473</c:v>
                </c:pt>
                <c:pt idx="625">
                  <c:v>-6.5111338639212111</c:v>
                </c:pt>
                <c:pt idx="626">
                  <c:v>-6.5167177313764864</c:v>
                </c:pt>
                <c:pt idx="627">
                  <c:v>-6.5223016180827225</c:v>
                </c:pt>
                <c:pt idx="628">
                  <c:v>-6.5278855240393421</c:v>
                </c:pt>
                <c:pt idx="629">
                  <c:v>-6.5334694492457688</c:v>
                </c:pt>
                <c:pt idx="630">
                  <c:v>-6.5390533937014261</c:v>
                </c:pt>
                <c:pt idx="631">
                  <c:v>-6.5446373574057368</c:v>
                </c:pt>
                <c:pt idx="632">
                  <c:v>-6.5502213403581253</c:v>
                </c:pt>
                <c:pt idx="633">
                  <c:v>-6.5558053425580143</c:v>
                </c:pt>
                <c:pt idx="634">
                  <c:v>-6.5613893640048273</c:v>
                </c:pt>
                <c:pt idx="635">
                  <c:v>-6.5669734046979871</c:v>
                </c:pt>
                <c:pt idx="636">
                  <c:v>-6.572557464636918</c:v>
                </c:pt>
                <c:pt idx="637">
                  <c:v>-6.5781415438210429</c:v>
                </c:pt>
                <c:pt idx="638">
                  <c:v>-6.5837256422497861</c:v>
                </c:pt>
                <c:pt idx="639">
                  <c:v>-6.5893097599225703</c:v>
                </c:pt>
                <c:pt idx="640">
                  <c:v>-6.5948938968388191</c:v>
                </c:pt>
                <c:pt idx="641">
                  <c:v>-6.6004780529979561</c:v>
                </c:pt>
                <c:pt idx="642">
                  <c:v>-6.6060622283994039</c:v>
                </c:pt>
                <c:pt idx="643">
                  <c:v>-6.6116464230425871</c:v>
                </c:pt>
                <c:pt idx="644">
                  <c:v>-6.6172306369269291</c:v>
                </c:pt>
                <c:pt idx="645">
                  <c:v>-6.6228148700518537</c:v>
                </c:pt>
                <c:pt idx="646">
                  <c:v>-6.6283991224167833</c:v>
                </c:pt>
                <c:pt idx="647">
                  <c:v>-6.6339833940211426</c:v>
                </c:pt>
                <c:pt idx="648">
                  <c:v>-6.639567684864355</c:v>
                </c:pt>
                <c:pt idx="649">
                  <c:v>-6.6451519949458433</c:v>
                </c:pt>
                <c:pt idx="650">
                  <c:v>-6.6507363242650319</c:v>
                </c:pt>
                <c:pt idx="651">
                  <c:v>-6.6563206728213444</c:v>
                </c:pt>
                <c:pt idx="652">
                  <c:v>-6.6619050406142044</c:v>
                </c:pt>
                <c:pt idx="653">
                  <c:v>-6.6674894276430354</c:v>
                </c:pt>
                <c:pt idx="654">
                  <c:v>-6.6730738339072611</c:v>
                </c:pt>
                <c:pt idx="655">
                  <c:v>-6.6786582594063049</c:v>
                </c:pt>
                <c:pt idx="656">
                  <c:v>-6.6842427041395904</c:v>
                </c:pt>
                <c:pt idx="657">
                  <c:v>-6.6898271681065422</c:v>
                </c:pt>
                <c:pt idx="658">
                  <c:v>-6.6954116513065829</c:v>
                </c:pt>
                <c:pt idx="659">
                  <c:v>-6.7009961537391369</c:v>
                </c:pt>
                <c:pt idx="660">
                  <c:v>-6.7065806754036279</c:v>
                </c:pt>
                <c:pt idx="661">
                  <c:v>-6.7121652162994794</c:v>
                </c:pt>
                <c:pt idx="662">
                  <c:v>-6.7177497764261158</c:v>
                </c:pt>
                <c:pt idx="663">
                  <c:v>-6.7233343557829599</c:v>
                </c:pt>
                <c:pt idx="664">
                  <c:v>-6.7289189543694361</c:v>
                </c:pt>
                <c:pt idx="665">
                  <c:v>-6.7345035721849689</c:v>
                </c:pt>
                <c:pt idx="666">
                  <c:v>-6.7400882092289809</c:v>
                </c:pt>
                <c:pt idx="667">
                  <c:v>-6.7456728655008966</c:v>
                </c:pt>
                <c:pt idx="668">
                  <c:v>-6.7512575410001396</c:v>
                </c:pt>
                <c:pt idx="669">
                  <c:v>-6.7568422357261335</c:v>
                </c:pt>
                <c:pt idx="670">
                  <c:v>-6.7624269496783027</c:v>
                </c:pt>
                <c:pt idx="671">
                  <c:v>-6.7680116828560708</c:v>
                </c:pt>
                <c:pt idx="672">
                  <c:v>-6.7735964352588622</c:v>
                </c:pt>
                <c:pt idx="673">
                  <c:v>-6.7791812068860997</c:v>
                </c:pt>
                <c:pt idx="674">
                  <c:v>-6.7847659977372086</c:v>
                </c:pt>
                <c:pt idx="675">
                  <c:v>-6.7903508078116115</c:v>
                </c:pt>
                <c:pt idx="676">
                  <c:v>-6.7959356371087329</c:v>
                </c:pt>
                <c:pt idx="677">
                  <c:v>-6.8015204856279974</c:v>
                </c:pt>
                <c:pt idx="678">
                  <c:v>-6.8071053533688284</c:v>
                </c:pt>
                <c:pt idx="679">
                  <c:v>-6.8126902403306504</c:v>
                </c:pt>
                <c:pt idx="680">
                  <c:v>-6.818275146512887</c:v>
                </c:pt>
                <c:pt idx="681">
                  <c:v>-6.8238600719149618</c:v>
                </c:pt>
                <c:pt idx="682">
                  <c:v>-6.8294450165362992</c:v>
                </c:pt>
                <c:pt idx="683">
                  <c:v>-6.8350299803763237</c:v>
                </c:pt>
                <c:pt idx="684">
                  <c:v>-6.8406149634344589</c:v>
                </c:pt>
                <c:pt idx="685">
                  <c:v>-6.8461999657101282</c:v>
                </c:pt>
                <c:pt idx="686">
                  <c:v>-6.8517849872027572</c:v>
                </c:pt>
                <c:pt idx="687">
                  <c:v>-6.8573700279117693</c:v>
                </c:pt>
                <c:pt idx="688">
                  <c:v>-6.8629550878365881</c:v>
                </c:pt>
                <c:pt idx="689">
                  <c:v>-6.8685401669766382</c:v>
                </c:pt>
                <c:pt idx="690">
                  <c:v>-6.8741252653313438</c:v>
                </c:pt>
                <c:pt idx="691">
                  <c:v>-6.8797103829001287</c:v>
                </c:pt>
                <c:pt idx="692">
                  <c:v>-6.8852955196824173</c:v>
                </c:pt>
                <c:pt idx="693">
                  <c:v>-6.890880675677634</c:v>
                </c:pt>
                <c:pt idx="694">
                  <c:v>-6.8964658508852033</c:v>
                </c:pt>
                <c:pt idx="695">
                  <c:v>-6.9020510453045487</c:v>
                </c:pt>
                <c:pt idx="696">
                  <c:v>-6.9076362589350948</c:v>
                </c:pt>
                <c:pt idx="697">
                  <c:v>-6.9132214917762651</c:v>
                </c:pt>
                <c:pt idx="698">
                  <c:v>-6.918806743827485</c:v>
                </c:pt>
                <c:pt idx="699">
                  <c:v>-6.9243920150881779</c:v>
                </c:pt>
                <c:pt idx="700">
                  <c:v>-6.9299773055577685</c:v>
                </c:pt>
                <c:pt idx="701">
                  <c:v>-6.9355626152356811</c:v>
                </c:pt>
                <c:pt idx="702">
                  <c:v>-6.9411479441213402</c:v>
                </c:pt>
                <c:pt idx="703">
                  <c:v>-6.9467332922141694</c:v>
                </c:pt>
                <c:pt idx="704">
                  <c:v>-6.9523186595135931</c:v>
                </c:pt>
                <c:pt idx="705">
                  <c:v>-6.9579040460190367</c:v>
                </c:pt>
                <c:pt idx="706">
                  <c:v>-6.9634894517299237</c:v>
                </c:pt>
                <c:pt idx="707">
                  <c:v>-6.9690748766456787</c:v>
                </c:pt>
                <c:pt idx="708">
                  <c:v>-6.9746603207657261</c:v>
                </c:pt>
                <c:pt idx="709">
                  <c:v>-6.9802457840894894</c:v>
                </c:pt>
                <c:pt idx="710">
                  <c:v>-6.985831266616394</c:v>
                </c:pt>
                <c:pt idx="711">
                  <c:v>-6.9914167683458643</c:v>
                </c:pt>
                <c:pt idx="712">
                  <c:v>-6.9970022892773249</c:v>
                </c:pt>
                <c:pt idx="713">
                  <c:v>-7.0025878294101993</c:v>
                </c:pt>
                <c:pt idx="714">
                  <c:v>-7.0081733887439128</c:v>
                </c:pt>
                <c:pt idx="715">
                  <c:v>-7.0137589672778899</c:v>
                </c:pt>
                <c:pt idx="716">
                  <c:v>-7.0193445650115542</c:v>
                </c:pt>
                <c:pt idx="717">
                  <c:v>-7.0249301819443311</c:v>
                </c:pt>
                <c:pt idx="718">
                  <c:v>-7.0305158180756449</c:v>
                </c:pt>
                <c:pt idx="719">
                  <c:v>-7.0361014734049201</c:v>
                </c:pt>
                <c:pt idx="720">
                  <c:v>-7.0416871479315812</c:v>
                </c:pt>
                <c:pt idx="721">
                  <c:v>-7.0472728416550527</c:v>
                </c:pt>
                <c:pt idx="722">
                  <c:v>-7.05285855457476</c:v>
                </c:pt>
                <c:pt idx="723">
                  <c:v>-7.0584442866901265</c:v>
                </c:pt>
                <c:pt idx="724">
                  <c:v>-7.0640300380005776</c:v>
                </c:pt>
                <c:pt idx="725">
                  <c:v>-7.0696158085055369</c:v>
                </c:pt>
                <c:pt idx="726">
                  <c:v>-7.0752015982044298</c:v>
                </c:pt>
                <c:pt idx="727">
                  <c:v>-7.0807874070966808</c:v>
                </c:pt>
                <c:pt idx="728">
                  <c:v>-7.086373235181715</c:v>
                </c:pt>
                <c:pt idx="729">
                  <c:v>-7.0919590824589562</c:v>
                </c:pt>
                <c:pt idx="730">
                  <c:v>-7.0975449489278297</c:v>
                </c:pt>
                <c:pt idx="731">
                  <c:v>-7.10313083458776</c:v>
                </c:pt>
                <c:pt idx="732">
                  <c:v>-7.1087167394381723</c:v>
                </c:pt>
                <c:pt idx="733">
                  <c:v>-7.1143026634784903</c:v>
                </c:pt>
                <c:pt idx="734">
                  <c:v>-7.1198886067081393</c:v>
                </c:pt>
                <c:pt idx="735">
                  <c:v>-7.1254745691265438</c:v>
                </c:pt>
                <c:pt idx="736">
                  <c:v>-7.1310605507331291</c:v>
                </c:pt>
                <c:pt idx="737">
                  <c:v>-7.1366465515273196</c:v>
                </c:pt>
                <c:pt idx="738">
                  <c:v>-7.14223257150854</c:v>
                </c:pt>
                <c:pt idx="739">
                  <c:v>-7.1478186106762154</c:v>
                </c:pt>
                <c:pt idx="740">
                  <c:v>-7.1534046690297703</c:v>
                </c:pt>
                <c:pt idx="741">
                  <c:v>-7.1589907465686302</c:v>
                </c:pt>
                <c:pt idx="742">
                  <c:v>-7.1645768432922186</c:v>
                </c:pt>
                <c:pt idx="743">
                  <c:v>-7.1701629591999616</c:v>
                </c:pt>
                <c:pt idx="744">
                  <c:v>-7.1757490942912838</c:v>
                </c:pt>
                <c:pt idx="745">
                  <c:v>-7.1813352485656097</c:v>
                </c:pt>
                <c:pt idx="746">
                  <c:v>-7.1869214220223645</c:v>
                </c:pt>
                <c:pt idx="747">
                  <c:v>-7.1925076146609728</c:v>
                </c:pt>
                <c:pt idx="748">
                  <c:v>-7.1980938264808598</c:v>
                </c:pt>
                <c:pt idx="749">
                  <c:v>-7.2036800574814501</c:v>
                </c:pt>
                <c:pt idx="750">
                  <c:v>-7.209266307662169</c:v>
                </c:pt>
                <c:pt idx="751">
                  <c:v>-7.214852577022441</c:v>
                </c:pt>
                <c:pt idx="752">
                  <c:v>-7.2204388655616913</c:v>
                </c:pt>
                <c:pt idx="753">
                  <c:v>-7.2260251732793455</c:v>
                </c:pt>
                <c:pt idx="754">
                  <c:v>-7.2316115001748278</c:v>
                </c:pt>
                <c:pt idx="755">
                  <c:v>-7.2371978462475637</c:v>
                </c:pt>
                <c:pt idx="756">
                  <c:v>-7.2427842114969776</c:v>
                </c:pt>
                <c:pt idx="757">
                  <c:v>-7.2483705959224958</c:v>
                </c:pt>
                <c:pt idx="758">
                  <c:v>-7.2539569995235418</c:v>
                </c:pt>
                <c:pt idx="759">
                  <c:v>-7.2595434222995419</c:v>
                </c:pt>
                <c:pt idx="760">
                  <c:v>-7.2651298642499205</c:v>
                </c:pt>
                <c:pt idx="761">
                  <c:v>-7.270716325374103</c:v>
                </c:pt>
                <c:pt idx="762">
                  <c:v>-7.2763028056715138</c:v>
                </c:pt>
                <c:pt idx="763">
                  <c:v>-7.2818893051415792</c:v>
                </c:pt>
                <c:pt idx="764">
                  <c:v>-7.2874758237837236</c:v>
                </c:pt>
                <c:pt idx="765">
                  <c:v>-7.2930623615973724</c:v>
                </c:pt>
                <c:pt idx="766">
                  <c:v>-7.2986489185819501</c:v>
                </c:pt>
                <c:pt idx="767">
                  <c:v>-7.3042354947368828</c:v>
                </c:pt>
                <c:pt idx="768">
                  <c:v>-7.3098220900615951</c:v>
                </c:pt>
                <c:pt idx="769">
                  <c:v>-7.3154087045555123</c:v>
                </c:pt>
                <c:pt idx="770">
                  <c:v>-7.3209953382180597</c:v>
                </c:pt>
                <c:pt idx="771">
                  <c:v>-7.3265819910486627</c:v>
                </c:pt>
                <c:pt idx="772">
                  <c:v>-7.3321686630467457</c:v>
                </c:pt>
                <c:pt idx="773">
                  <c:v>-7.3377553542117351</c:v>
                </c:pt>
                <c:pt idx="774">
                  <c:v>-7.3433420645430552</c:v>
                </c:pt>
                <c:pt idx="775">
                  <c:v>-7.3489287940401322</c:v>
                </c:pt>
                <c:pt idx="776">
                  <c:v>-7.3545155427023907</c:v>
                </c:pt>
                <c:pt idx="777">
                  <c:v>-7.360102310529256</c:v>
                </c:pt>
                <c:pt idx="778">
                  <c:v>-7.3656890975201543</c:v>
                </c:pt>
                <c:pt idx="779">
                  <c:v>-7.3712759036745101</c:v>
                </c:pt>
                <c:pt idx="780">
                  <c:v>-7.3768627289917488</c:v>
                </c:pt>
                <c:pt idx="781">
                  <c:v>-7.3824495734712956</c:v>
                </c:pt>
                <c:pt idx="782">
                  <c:v>-7.3880364371125768</c:v>
                </c:pt>
                <c:pt idx="783">
                  <c:v>-7.393623319915017</c:v>
                </c:pt>
                <c:pt idx="784">
                  <c:v>-7.3992102218780413</c:v>
                </c:pt>
                <c:pt idx="785">
                  <c:v>-7.4047971430010762</c:v>
                </c:pt>
                <c:pt idx="786">
                  <c:v>-7.4103840832835459</c:v>
                </c:pt>
                <c:pt idx="787">
                  <c:v>-7.4159710427248768</c:v>
                </c:pt>
                <c:pt idx="788">
                  <c:v>-7.4215580213244943</c:v>
                </c:pt>
                <c:pt idx="789">
                  <c:v>-7.4271450190818227</c:v>
                </c:pt>
                <c:pt idx="790">
                  <c:v>-7.4327320359962883</c:v>
                </c:pt>
                <c:pt idx="791">
                  <c:v>-7.4383190720673174</c:v>
                </c:pt>
                <c:pt idx="792">
                  <c:v>-7.4439061272943343</c:v>
                </c:pt>
                <c:pt idx="793">
                  <c:v>-7.4494932016767645</c:v>
                </c:pt>
                <c:pt idx="794">
                  <c:v>-7.4550802952140343</c:v>
                </c:pt>
                <c:pt idx="795">
                  <c:v>-7.4606674079055688</c:v>
                </c:pt>
                <c:pt idx="796">
                  <c:v>-7.4662545397507936</c:v>
                </c:pt>
                <c:pt idx="797">
                  <c:v>-7.4718416907491347</c:v>
                </c:pt>
                <c:pt idx="798">
                  <c:v>-7.4774288609000177</c:v>
                </c:pt>
                <c:pt idx="799">
                  <c:v>-7.4830160502028678</c:v>
                </c:pt>
                <c:pt idx="800">
                  <c:v>-7.4886032586571103</c:v>
                </c:pt>
                <c:pt idx="801">
                  <c:v>-7.4941904862621707</c:v>
                </c:pt>
                <c:pt idx="802">
                  <c:v>-7.4997777330174751</c:v>
                </c:pt>
                <c:pt idx="803">
                  <c:v>-7.5053649989224498</c:v>
                </c:pt>
                <c:pt idx="804">
                  <c:v>-7.5109522839765193</c:v>
                </c:pt>
                <c:pt idx="805">
                  <c:v>-7.5165395881791097</c:v>
                </c:pt>
                <c:pt idx="806">
                  <c:v>-7.5221269115296474</c:v>
                </c:pt>
                <c:pt idx="807">
                  <c:v>-7.5277142540275568</c:v>
                </c:pt>
                <c:pt idx="808">
                  <c:v>-7.533301615672265</c:v>
                </c:pt>
                <c:pt idx="809">
                  <c:v>-7.5388889964631964</c:v>
                </c:pt>
                <c:pt idx="810">
                  <c:v>-7.5444763963997774</c:v>
                </c:pt>
                <c:pt idx="811">
                  <c:v>-7.5500638154814341</c:v>
                </c:pt>
                <c:pt idx="812">
                  <c:v>-7.5556512537075919</c:v>
                </c:pt>
                <c:pt idx="813">
                  <c:v>-7.5612387110776762</c:v>
                </c:pt>
                <c:pt idx="814">
                  <c:v>-7.5668261875911131</c:v>
                </c:pt>
                <c:pt idx="815">
                  <c:v>-7.572413683247329</c:v>
                </c:pt>
                <c:pt idx="816">
                  <c:v>-7.5780011980457491</c:v>
                </c:pt>
                <c:pt idx="817">
                  <c:v>-7.5835887319857997</c:v>
                </c:pt>
                <c:pt idx="818">
                  <c:v>-7.5891762850669062</c:v>
                </c:pt>
                <c:pt idx="819">
                  <c:v>-7.5947638572884948</c:v>
                </c:pt>
                <c:pt idx="820">
                  <c:v>-7.6003514486499908</c:v>
                </c:pt>
                <c:pt idx="821">
                  <c:v>-7.6059390591508205</c:v>
                </c:pt>
                <c:pt idx="822">
                  <c:v>-7.6115266887904101</c:v>
                </c:pt>
                <c:pt idx="823">
                  <c:v>-7.6171143375681849</c:v>
                </c:pt>
                <c:pt idx="824">
                  <c:v>-7.6227020054835712</c:v>
                </c:pt>
                <c:pt idx="825">
                  <c:v>-7.6282896925359944</c:v>
                </c:pt>
                <c:pt idx="826">
                  <c:v>-7.6338773987248816</c:v>
                </c:pt>
                <c:pt idx="827">
                  <c:v>-7.6394651240496581</c:v>
                </c:pt>
                <c:pt idx="828">
                  <c:v>-7.6450528685097492</c:v>
                </c:pt>
                <c:pt idx="829">
                  <c:v>-7.6506406321045821</c:v>
                </c:pt>
                <c:pt idx="830">
                  <c:v>-7.6562284148335822</c:v>
                </c:pt>
                <c:pt idx="831">
                  <c:v>-7.6618162166961756</c:v>
                </c:pt>
                <c:pt idx="832">
                  <c:v>-7.6674040376917887</c:v>
                </c:pt>
                <c:pt idx="833">
                  <c:v>-7.6729918778198467</c:v>
                </c:pt>
                <c:pt idx="834">
                  <c:v>-7.6785797370797759</c:v>
                </c:pt>
                <c:pt idx="835">
                  <c:v>-7.6841676154710035</c:v>
                </c:pt>
                <c:pt idx="836">
                  <c:v>-7.6897555129929547</c:v>
                </c:pt>
                <c:pt idx="837">
                  <c:v>-7.6953434296450549</c:v>
                </c:pt>
                <c:pt idx="838">
                  <c:v>-7.7009313654267313</c:v>
                </c:pt>
                <c:pt idx="839">
                  <c:v>-7.7065193203374101</c:v>
                </c:pt>
                <c:pt idx="840">
                  <c:v>-7.7121072943765165</c:v>
                </c:pt>
                <c:pt idx="841">
                  <c:v>-7.7176952875434779</c:v>
                </c:pt>
                <c:pt idx="842">
                  <c:v>-7.7232832998377194</c:v>
                </c:pt>
                <c:pt idx="843">
                  <c:v>-7.7288713312586674</c:v>
                </c:pt>
                <c:pt idx="844">
                  <c:v>-7.7344593818057481</c:v>
                </c:pt>
                <c:pt idx="845">
                  <c:v>-7.7400474514783877</c:v>
                </c:pt>
                <c:pt idx="846">
                  <c:v>-7.7456355402760133</c:v>
                </c:pt>
                <c:pt idx="847">
                  <c:v>-7.7512236481980503</c:v>
                </c:pt>
                <c:pt idx="848">
                  <c:v>-7.756811775243925</c:v>
                </c:pt>
                <c:pt idx="849">
                  <c:v>-7.7623999214130635</c:v>
                </c:pt>
                <c:pt idx="850">
                  <c:v>-7.767988086704892</c:v>
                </c:pt>
                <c:pt idx="851">
                  <c:v>-7.7735762711188379</c:v>
                </c:pt>
                <c:pt idx="852">
                  <c:v>-7.7791644746543263</c:v>
                </c:pt>
                <c:pt idx="853">
                  <c:v>-7.7847526973107843</c:v>
                </c:pt>
                <c:pt idx="854">
                  <c:v>-7.7903409390876375</c:v>
                </c:pt>
                <c:pt idx="855">
                  <c:v>-7.7959291999843128</c:v>
                </c:pt>
                <c:pt idx="856">
                  <c:v>-7.8015174800002365</c:v>
                </c:pt>
                <c:pt idx="857">
                  <c:v>-7.8071057791348348</c:v>
                </c:pt>
                <c:pt idx="858">
                  <c:v>-7.8126940973875341</c:v>
                </c:pt>
                <c:pt idx="859">
                  <c:v>-7.8182824347577604</c:v>
                </c:pt>
                <c:pt idx="860">
                  <c:v>-7.823870791244941</c:v>
                </c:pt>
                <c:pt idx="861">
                  <c:v>-7.8294591668485021</c:v>
                </c:pt>
                <c:pt idx="862">
                  <c:v>-7.8350475615678699</c:v>
                </c:pt>
                <c:pt idx="863">
                  <c:v>-7.8406359754024706</c:v>
                </c:pt>
                <c:pt idx="864">
                  <c:v>-7.8462244083517314</c:v>
                </c:pt>
                <c:pt idx="865">
                  <c:v>-7.8518128604150776</c:v>
                </c:pt>
                <c:pt idx="866">
                  <c:v>-7.8574013315919364</c:v>
                </c:pt>
                <c:pt idx="867">
                  <c:v>-7.8629898218817349</c:v>
                </c:pt>
                <c:pt idx="868">
                  <c:v>-7.8685783312838984</c:v>
                </c:pt>
                <c:pt idx="869">
                  <c:v>-7.874166859797854</c:v>
                </c:pt>
                <c:pt idx="870">
                  <c:v>-7.8797554074230289</c:v>
                </c:pt>
                <c:pt idx="871">
                  <c:v>-7.8853439741588485</c:v>
                </c:pt>
                <c:pt idx="872">
                  <c:v>-7.8909325600047406</c:v>
                </c:pt>
                <c:pt idx="873">
                  <c:v>-7.8965211649601308</c:v>
                </c:pt>
                <c:pt idx="874">
                  <c:v>-7.9021097890244461</c:v>
                </c:pt>
                <c:pt idx="875">
                  <c:v>-7.9076984321971127</c:v>
                </c:pt>
                <c:pt idx="876">
                  <c:v>-7.9132870944775577</c:v>
                </c:pt>
                <c:pt idx="877">
                  <c:v>-7.9188757758652075</c:v>
                </c:pt>
                <c:pt idx="878">
                  <c:v>-7.9244644763594891</c:v>
                </c:pt>
                <c:pt idx="879">
                  <c:v>-7.9300531959598288</c:v>
                </c:pt>
                <c:pt idx="880">
                  <c:v>-7.9356419346656537</c:v>
                </c:pt>
                <c:pt idx="881">
                  <c:v>-7.94123069247639</c:v>
                </c:pt>
                <c:pt idx="882">
                  <c:v>-7.9468194693914649</c:v>
                </c:pt>
                <c:pt idx="883">
                  <c:v>-7.9524082654103045</c:v>
                </c:pt>
                <c:pt idx="884">
                  <c:v>-7.9579970805323361</c:v>
                </c:pt>
                <c:pt idx="885">
                  <c:v>-7.9635859147569859</c:v>
                </c:pt>
                <c:pt idx="886">
                  <c:v>-7.9691747680836809</c:v>
                </c:pt>
                <c:pt idx="887">
                  <c:v>-7.9747636405118483</c:v>
                </c:pt>
                <c:pt idx="888">
                  <c:v>-7.9803525320409143</c:v>
                </c:pt>
                <c:pt idx="889">
                  <c:v>-7.9859414426703053</c:v>
                </c:pt>
                <c:pt idx="890">
                  <c:v>-7.9915303723994491</c:v>
                </c:pt>
                <c:pt idx="891">
                  <c:v>-7.997119321227772</c:v>
                </c:pt>
                <c:pt idx="892">
                  <c:v>-8.0027082891547003</c:v>
                </c:pt>
                <c:pt idx="893">
                  <c:v>-8.0082972761796629</c:v>
                </c:pt>
                <c:pt idx="894">
                  <c:v>-8.0138862823020851</c:v>
                </c:pt>
                <c:pt idx="895">
                  <c:v>-8.0194753075213931</c:v>
                </c:pt>
                <c:pt idx="896">
                  <c:v>-8.0250643518370151</c:v>
                </c:pt>
                <c:pt idx="897">
                  <c:v>-8.0306534152483771</c:v>
                </c:pt>
                <c:pt idx="898">
                  <c:v>-8.0362424977549072</c:v>
                </c:pt>
                <c:pt idx="899">
                  <c:v>-8.0418315993560316</c:v>
                </c:pt>
                <c:pt idx="900">
                  <c:v>-8.0474207200511767</c:v>
                </c:pt>
                <c:pt idx="901">
                  <c:v>-8.0530098598397704</c:v>
                </c:pt>
                <c:pt idx="902">
                  <c:v>-8.0585990187212388</c:v>
                </c:pt>
                <c:pt idx="903">
                  <c:v>-8.0641881966950102</c:v>
                </c:pt>
                <c:pt idx="904">
                  <c:v>-8.0697773937605106</c:v>
                </c:pt>
                <c:pt idx="905">
                  <c:v>-8.0753666099171664</c:v>
                </c:pt>
                <c:pt idx="906">
                  <c:v>-8.0809558451644055</c:v>
                </c:pt>
                <c:pt idx="907">
                  <c:v>-8.0865450995016559</c:v>
                </c:pt>
                <c:pt idx="908">
                  <c:v>-8.0921343729283421</c:v>
                </c:pt>
                <c:pt idx="909">
                  <c:v>-8.097723665443894</c:v>
                </c:pt>
                <c:pt idx="910">
                  <c:v>-8.1033129770477377</c:v>
                </c:pt>
                <c:pt idx="911">
                  <c:v>-8.1089023077392994</c:v>
                </c:pt>
                <c:pt idx="912">
                  <c:v>-8.1144916575180073</c:v>
                </c:pt>
                <c:pt idx="913">
                  <c:v>-8.1200810263832874</c:v>
                </c:pt>
                <c:pt idx="914">
                  <c:v>-8.1256704143345679</c:v>
                </c:pt>
                <c:pt idx="915">
                  <c:v>-8.131259821371275</c:v>
                </c:pt>
                <c:pt idx="916">
                  <c:v>-8.1368492474928367</c:v>
                </c:pt>
                <c:pt idx="917">
                  <c:v>-8.1424386926986791</c:v>
                </c:pt>
                <c:pt idx="918">
                  <c:v>-8.1480281569882305</c:v>
                </c:pt>
                <c:pt idx="919">
                  <c:v>-8.1536176403609169</c:v>
                </c:pt>
                <c:pt idx="920">
                  <c:v>-8.1592071428161663</c:v>
                </c:pt>
                <c:pt idx="921">
                  <c:v>-8.1647966643534051</c:v>
                </c:pt>
                <c:pt idx="922">
                  <c:v>-8.1703862049720613</c:v>
                </c:pt>
                <c:pt idx="923">
                  <c:v>-8.1759757646715627</c:v>
                </c:pt>
                <c:pt idx="924">
                  <c:v>-8.1815653434513358</c:v>
                </c:pt>
                <c:pt idx="925">
                  <c:v>-8.1871549413108085</c:v>
                </c:pt>
                <c:pt idx="926">
                  <c:v>-8.1927445582494069</c:v>
                </c:pt>
                <c:pt idx="927">
                  <c:v>-8.1983341942665593</c:v>
                </c:pt>
                <c:pt idx="928">
                  <c:v>-8.2039238493616935</c:v>
                </c:pt>
                <c:pt idx="929">
                  <c:v>-8.2095135235342358</c:v>
                </c:pt>
                <c:pt idx="930">
                  <c:v>-8.2151032167836142</c:v>
                </c:pt>
                <c:pt idx="931">
                  <c:v>-8.220692929109255</c:v>
                </c:pt>
                <c:pt idx="932">
                  <c:v>-8.2262826605105879</c:v>
                </c:pt>
                <c:pt idx="933">
                  <c:v>-8.2318724109870374</c:v>
                </c:pt>
                <c:pt idx="934">
                  <c:v>-8.2374621805380333</c:v>
                </c:pt>
                <c:pt idx="935">
                  <c:v>-8.2430519691630018</c:v>
                </c:pt>
                <c:pt idx="936">
                  <c:v>-8.2486417768613691</c:v>
                </c:pt>
                <c:pt idx="937">
                  <c:v>-8.2542316036325651</c:v>
                </c:pt>
                <c:pt idx="938">
                  <c:v>-8.259821449476016</c:v>
                </c:pt>
                <c:pt idx="939">
                  <c:v>-8.2654113143911498</c:v>
                </c:pt>
                <c:pt idx="940">
                  <c:v>-8.2710011983773928</c:v>
                </c:pt>
                <c:pt idx="941">
                  <c:v>-8.2765911014341729</c:v>
                </c:pt>
                <c:pt idx="942">
                  <c:v>-8.2821810235609181</c:v>
                </c:pt>
                <c:pt idx="943">
                  <c:v>-8.2877709647570565</c:v>
                </c:pt>
                <c:pt idx="944">
                  <c:v>-8.2933609250220144</c:v>
                </c:pt>
                <c:pt idx="945">
                  <c:v>-8.2989509043552196</c:v>
                </c:pt>
                <c:pt idx="946">
                  <c:v>-8.3045409027561004</c:v>
                </c:pt>
                <c:pt idx="947">
                  <c:v>-8.3101309202240845</c:v>
                </c:pt>
                <c:pt idx="948">
                  <c:v>-8.3157209567585983</c:v>
                </c:pt>
                <c:pt idx="949">
                  <c:v>-8.3213110123590699</c:v>
                </c:pt>
                <c:pt idx="950">
                  <c:v>-8.3269010870249272</c:v>
                </c:pt>
                <c:pt idx="951">
                  <c:v>-8.3324911807555981</c:v>
                </c:pt>
                <c:pt idx="952">
                  <c:v>-8.3380812935505091</c:v>
                </c:pt>
                <c:pt idx="953">
                  <c:v>-8.343671425409088</c:v>
                </c:pt>
                <c:pt idx="954">
                  <c:v>-8.3492615763307629</c:v>
                </c:pt>
                <c:pt idx="955">
                  <c:v>-8.3548517463149619</c:v>
                </c:pt>
                <c:pt idx="956">
                  <c:v>-8.3604419353611128</c:v>
                </c:pt>
                <c:pt idx="957">
                  <c:v>-8.366032143468642</c:v>
                </c:pt>
                <c:pt idx="958">
                  <c:v>-8.3716223706369792</c:v>
                </c:pt>
                <c:pt idx="959">
                  <c:v>-8.3772126168655507</c:v>
                </c:pt>
                <c:pt idx="960">
                  <c:v>-8.3828028821537846</c:v>
                </c:pt>
                <c:pt idx="961">
                  <c:v>-8.3883931665011087</c:v>
                </c:pt>
                <c:pt idx="962">
                  <c:v>-8.3939834699069493</c:v>
                </c:pt>
                <c:pt idx="963">
                  <c:v>-8.3995737923707363</c:v>
                </c:pt>
                <c:pt idx="964">
                  <c:v>-8.4051641338918959</c:v>
                </c:pt>
                <c:pt idx="965">
                  <c:v>-8.4107544944698578</c:v>
                </c:pt>
                <c:pt idx="966">
                  <c:v>-8.4163448741040483</c:v>
                </c:pt>
                <c:pt idx="967">
                  <c:v>-8.4219352727938954</c:v>
                </c:pt>
                <c:pt idx="968">
                  <c:v>-8.4275256905388272</c:v>
                </c:pt>
                <c:pt idx="969">
                  <c:v>-8.4331161273382715</c:v>
                </c:pt>
                <c:pt idx="970">
                  <c:v>-8.4387065831916566</c:v>
                </c:pt>
                <c:pt idx="971">
                  <c:v>-8.4442970580984102</c:v>
                </c:pt>
                <c:pt idx="972">
                  <c:v>-8.4498875520579606</c:v>
                </c:pt>
                <c:pt idx="973">
                  <c:v>-8.4554780650697356</c:v>
                </c:pt>
                <c:pt idx="974">
                  <c:v>-8.4610685971331616</c:v>
                </c:pt>
                <c:pt idx="975">
                  <c:v>-8.4666591482476683</c:v>
                </c:pt>
                <c:pt idx="976">
                  <c:v>-8.4722497184126819</c:v>
                </c:pt>
                <c:pt idx="977">
                  <c:v>-8.4778403076276323</c:v>
                </c:pt>
                <c:pt idx="978">
                  <c:v>-8.4834309158919474</c:v>
                </c:pt>
                <c:pt idx="979">
                  <c:v>-8.4890215432050535</c:v>
                </c:pt>
                <c:pt idx="980">
                  <c:v>-8.4946121895663804</c:v>
                </c:pt>
                <c:pt idx="981">
                  <c:v>-8.5002028549753543</c:v>
                </c:pt>
                <c:pt idx="982">
                  <c:v>-8.505793539431405</c:v>
                </c:pt>
                <c:pt idx="983">
                  <c:v>-8.5113842429339588</c:v>
                </c:pt>
                <c:pt idx="984">
                  <c:v>-8.5169749654824454</c:v>
                </c:pt>
                <c:pt idx="985">
                  <c:v>-8.5225657070762928</c:v>
                </c:pt>
                <c:pt idx="986">
                  <c:v>-8.5281564677149273</c:v>
                </c:pt>
                <c:pt idx="987">
                  <c:v>-8.5337472473977787</c:v>
                </c:pt>
                <c:pt idx="988">
                  <c:v>-8.5393380461242749</c:v>
                </c:pt>
                <c:pt idx="989">
                  <c:v>-8.5449288638938441</c:v>
                </c:pt>
                <c:pt idx="990">
                  <c:v>-8.5505197007059142</c:v>
                </c:pt>
                <c:pt idx="991">
                  <c:v>-8.5561105565599131</c:v>
                </c:pt>
                <c:pt idx="992">
                  <c:v>-8.5617014314552691</c:v>
                </c:pt>
                <c:pt idx="993">
                  <c:v>-8.5672923253914099</c:v>
                </c:pt>
                <c:pt idx="994">
                  <c:v>-8.5728832383677638</c:v>
                </c:pt>
                <c:pt idx="995">
                  <c:v>-8.5784741703837604</c:v>
                </c:pt>
                <c:pt idx="996">
                  <c:v>-8.5840651214388259</c:v>
                </c:pt>
                <c:pt idx="997">
                  <c:v>-8.5896560915323903</c:v>
                </c:pt>
                <c:pt idx="998">
                  <c:v>-8.5952470806638814</c:v>
                </c:pt>
                <c:pt idx="999">
                  <c:v>-8.6008380888327274</c:v>
                </c:pt>
                <c:pt idx="1000">
                  <c:v>-8.6064291160383561</c:v>
                </c:pt>
              </c:numCache>
            </c:numRef>
          </c:yVal>
          <c:smooth val="1"/>
        </c:ser>
        <c:ser>
          <c:idx val="2"/>
          <c:order val="3"/>
          <c:tx>
            <c:strRef>
              <c:f>Trajecto!$B$108</c:f>
              <c:strCache>
                <c:ptCount val="1"/>
                <c:pt idx="0">
                  <c:v>Fusée sous parachute</c:v>
                </c:pt>
              </c:strCache>
            </c:strRef>
          </c:tx>
          <c:spPr>
            <a:ln w="25400">
              <a:solidFill>
                <a:srgbClr val="008000"/>
              </a:solidFill>
              <a:prstDash val="solid"/>
            </a:ln>
          </c:spPr>
          <c:marker>
            <c:symbol val="none"/>
          </c:marker>
          <c:dLbls>
            <c:dLbl>
              <c:idx val="1"/>
              <c:layout/>
              <c:spPr>
                <a:noFill/>
                <a:ln w="25400">
                  <a:noFill/>
                </a:ln>
              </c:spPr>
              <c:txPr>
                <a:bodyPr/>
                <a:lstStyle/>
                <a:p>
                  <a:pPr>
                    <a:defRPr sz="700" b="1" i="0" u="none" strike="noStrike" baseline="0">
                      <a:solidFill>
                        <a:srgbClr val="008000"/>
                      </a:solidFill>
                      <a:latin typeface="Arial"/>
                      <a:ea typeface="Arial"/>
                      <a:cs typeface="Arial"/>
                    </a:defRPr>
                  </a:pPr>
                  <a:endParaRPr lang="fr-FR"/>
                </a:p>
              </c:txPr>
              <c:showSerName val="1"/>
            </c:dLbl>
            <c:delete val="1"/>
          </c:dLbls>
          <c:xVal>
            <c:numRef>
              <c:f>Trajecto!$B$131:$B$137</c:f>
              <c:numCache>
                <c:formatCode>0.0</c:formatCode>
                <c:ptCount val="7"/>
                <c:pt idx="0">
                  <c:v>8</c:v>
                </c:pt>
                <c:pt idx="1">
                  <c:v>38.213649492141506</c:v>
                </c:pt>
                <c:pt idx="2">
                  <c:v>68.427298984283013</c:v>
                </c:pt>
                <c:pt idx="3">
                  <c:v>67.779880946463123</c:v>
                </c:pt>
                <c:pt idx="4">
                  <c:v>68.427298984283013</c:v>
                </c:pt>
                <c:pt idx="5">
                  <c:v>66.089880946463126</c:v>
                </c:pt>
                <c:pt idx="6">
                  <c:v>68.427298984283013</c:v>
                </c:pt>
              </c:numCache>
            </c:numRef>
          </c:xVal>
          <c:yVal>
            <c:numRef>
              <c:f>Trajecto!$C$129:$C$135</c:f>
              <c:numCache>
                <c:formatCode>0</c:formatCode>
                <c:ptCount val="7"/>
                <c:pt idx="0">
                  <c:v>310.5170608885864</c:v>
                </c:pt>
                <c:pt idx="1">
                  <c:v>155.2585304442932</c:v>
                </c:pt>
                <c:pt idx="2">
                  <c:v>0</c:v>
                </c:pt>
                <c:pt idx="3">
                  <c:v>11.062844391819549</c:v>
                </c:pt>
                <c:pt idx="4">
                  <c:v>0</c:v>
                </c:pt>
                <c:pt idx="5">
                  <c:v>4.2857622975526697</c:v>
                </c:pt>
                <c:pt idx="6">
                  <c:v>0</c:v>
                </c:pt>
              </c:numCache>
            </c:numRef>
          </c:yVal>
        </c:ser>
        <c:ser>
          <c:idx val="3"/>
          <c:order val="4"/>
          <c:tx>
            <c:strRef>
              <c:f>Trajecto!$B$109</c:f>
              <c:strCache>
                <c:ptCount val="1"/>
              </c:strCache>
            </c:strRef>
          </c:tx>
          <c:spPr>
            <a:ln w="25400">
              <a:solidFill>
                <a:srgbClr val="FF6600"/>
              </a:solidFill>
              <a:prstDash val="solid"/>
            </a:ln>
          </c:spPr>
          <c:marker>
            <c:symbol val="none"/>
          </c:marker>
          <c:dLbls>
            <c:dLbl>
              <c:idx val="1"/>
              <c:layout/>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SerName val="1"/>
            </c:dLbl>
            <c:delete val="1"/>
          </c:dLbls>
          <c:xVal>
            <c:numRef>
              <c:f>Trajecto!$B$148:$B$154</c:f>
              <c:numCache>
                <c:formatCode>0.0</c:formatCode>
                <c:ptCount val="7"/>
                <c:pt idx="0">
                  <c:v>0</c:v>
                </c:pt>
                <c:pt idx="1">
                  <c:v>0</c:v>
                </c:pt>
                <c:pt idx="2">
                  <c:v>0</c:v>
                </c:pt>
                <c:pt idx="3">
                  <c:v>0</c:v>
                </c:pt>
                <c:pt idx="4">
                  <c:v>0</c:v>
                </c:pt>
                <c:pt idx="5">
                  <c:v>0</c:v>
                </c:pt>
                <c:pt idx="6">
                  <c:v>0</c:v>
                </c:pt>
              </c:numCache>
            </c:numRef>
          </c:xVal>
          <c:yVal>
            <c:numRef>
              <c:f>Trajecto!$C$146:$C$152</c:f>
              <c:numCache>
                <c:formatCode>0</c:formatCode>
                <c:ptCount val="7"/>
                <c:pt idx="0">
                  <c:v>0</c:v>
                </c:pt>
                <c:pt idx="1">
                  <c:v>0</c:v>
                </c:pt>
                <c:pt idx="2">
                  <c:v>0</c:v>
                </c:pt>
                <c:pt idx="3">
                  <c:v>0</c:v>
                </c:pt>
                <c:pt idx="4">
                  <c:v>0</c:v>
                </c:pt>
                <c:pt idx="5">
                  <c:v>0</c:v>
                </c:pt>
                <c:pt idx="6">
                  <c:v>0</c:v>
                </c:pt>
              </c:numCache>
            </c:numRef>
          </c:yVal>
        </c:ser>
        <c:ser>
          <c:idx val="5"/>
          <c:order val="5"/>
          <c:tx>
            <c:strRef>
              <c:f>Trajecto!$B$106</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16.900099999999973</c:v>
                </c:pt>
                <c:pt idx="351">
                  <c:v>16.900199999999973</c:v>
                </c:pt>
                <c:pt idx="352">
                  <c:v>16.900299999999973</c:v>
                </c:pt>
                <c:pt idx="353">
                  <c:v>16.900399999999973</c:v>
                </c:pt>
                <c:pt idx="354">
                  <c:v>16.900499999999973</c:v>
                </c:pt>
                <c:pt idx="355">
                  <c:v>16.900599999999972</c:v>
                </c:pt>
                <c:pt idx="356">
                  <c:v>16.900699999999972</c:v>
                </c:pt>
                <c:pt idx="357">
                  <c:v>16.900799999999972</c:v>
                </c:pt>
                <c:pt idx="358">
                  <c:v>16.900899999999972</c:v>
                </c:pt>
                <c:pt idx="359">
                  <c:v>16.900999999999971</c:v>
                </c:pt>
                <c:pt idx="360">
                  <c:v>16.901099999999971</c:v>
                </c:pt>
                <c:pt idx="361">
                  <c:v>16.901199999999971</c:v>
                </c:pt>
                <c:pt idx="362">
                  <c:v>16.901299999999971</c:v>
                </c:pt>
                <c:pt idx="363">
                  <c:v>16.90139999999997</c:v>
                </c:pt>
                <c:pt idx="364">
                  <c:v>16.90149999999997</c:v>
                </c:pt>
                <c:pt idx="365">
                  <c:v>16.90159999999997</c:v>
                </c:pt>
                <c:pt idx="366">
                  <c:v>16.90169999999997</c:v>
                </c:pt>
                <c:pt idx="367">
                  <c:v>16.90179999999997</c:v>
                </c:pt>
                <c:pt idx="368">
                  <c:v>16.901899999999969</c:v>
                </c:pt>
                <c:pt idx="369">
                  <c:v>16.901999999999969</c:v>
                </c:pt>
                <c:pt idx="370">
                  <c:v>16.902099999999969</c:v>
                </c:pt>
                <c:pt idx="371">
                  <c:v>16.902199999999969</c:v>
                </c:pt>
                <c:pt idx="372">
                  <c:v>16.902299999999968</c:v>
                </c:pt>
                <c:pt idx="373">
                  <c:v>16.902399999999968</c:v>
                </c:pt>
                <c:pt idx="374">
                  <c:v>16.902499999999968</c:v>
                </c:pt>
                <c:pt idx="375">
                  <c:v>16.902599999999968</c:v>
                </c:pt>
                <c:pt idx="376">
                  <c:v>16.902699999999967</c:v>
                </c:pt>
                <c:pt idx="377">
                  <c:v>16.902799999999967</c:v>
                </c:pt>
                <c:pt idx="378">
                  <c:v>16.902899999999967</c:v>
                </c:pt>
                <c:pt idx="379">
                  <c:v>16.902999999999967</c:v>
                </c:pt>
                <c:pt idx="380">
                  <c:v>16.903099999999966</c:v>
                </c:pt>
                <c:pt idx="381">
                  <c:v>16.903199999999966</c:v>
                </c:pt>
                <c:pt idx="382">
                  <c:v>16.903299999999966</c:v>
                </c:pt>
                <c:pt idx="383">
                  <c:v>16.903399999999966</c:v>
                </c:pt>
                <c:pt idx="384">
                  <c:v>16.903499999999966</c:v>
                </c:pt>
                <c:pt idx="385">
                  <c:v>16.903599999999965</c:v>
                </c:pt>
                <c:pt idx="386">
                  <c:v>16.903699999999965</c:v>
                </c:pt>
                <c:pt idx="387">
                  <c:v>16.903799999999965</c:v>
                </c:pt>
                <c:pt idx="388">
                  <c:v>16.903899999999965</c:v>
                </c:pt>
                <c:pt idx="389">
                  <c:v>16.903999999999964</c:v>
                </c:pt>
                <c:pt idx="390">
                  <c:v>16.904099999999964</c:v>
                </c:pt>
                <c:pt idx="391">
                  <c:v>16.904199999999964</c:v>
                </c:pt>
                <c:pt idx="392">
                  <c:v>16.904299999999964</c:v>
                </c:pt>
                <c:pt idx="393">
                  <c:v>16.904399999999963</c:v>
                </c:pt>
                <c:pt idx="394">
                  <c:v>16.904499999999963</c:v>
                </c:pt>
                <c:pt idx="395">
                  <c:v>16.904599999999963</c:v>
                </c:pt>
                <c:pt idx="396">
                  <c:v>16.904699999999963</c:v>
                </c:pt>
                <c:pt idx="397">
                  <c:v>16.904799999999963</c:v>
                </c:pt>
                <c:pt idx="398">
                  <c:v>16.904899999999962</c:v>
                </c:pt>
                <c:pt idx="399">
                  <c:v>16.904999999999962</c:v>
                </c:pt>
                <c:pt idx="400">
                  <c:v>16.905099999999962</c:v>
                </c:pt>
                <c:pt idx="401">
                  <c:v>16.905199999999962</c:v>
                </c:pt>
                <c:pt idx="402">
                  <c:v>16.905299999999961</c:v>
                </c:pt>
                <c:pt idx="403">
                  <c:v>16.905399999999961</c:v>
                </c:pt>
                <c:pt idx="404">
                  <c:v>16.905499999999961</c:v>
                </c:pt>
                <c:pt idx="405">
                  <c:v>16.905599999999961</c:v>
                </c:pt>
                <c:pt idx="406">
                  <c:v>16.90569999999996</c:v>
                </c:pt>
                <c:pt idx="407">
                  <c:v>16.90579999999996</c:v>
                </c:pt>
                <c:pt idx="408">
                  <c:v>16.90589999999996</c:v>
                </c:pt>
                <c:pt idx="409">
                  <c:v>16.90599999999996</c:v>
                </c:pt>
                <c:pt idx="410">
                  <c:v>16.906099999999959</c:v>
                </c:pt>
                <c:pt idx="411">
                  <c:v>16.906199999999959</c:v>
                </c:pt>
                <c:pt idx="412">
                  <c:v>16.906299999999959</c:v>
                </c:pt>
                <c:pt idx="413">
                  <c:v>16.906399999999959</c:v>
                </c:pt>
                <c:pt idx="414">
                  <c:v>16.906499999999959</c:v>
                </c:pt>
                <c:pt idx="415">
                  <c:v>16.906599999999958</c:v>
                </c:pt>
                <c:pt idx="416">
                  <c:v>16.906699999999958</c:v>
                </c:pt>
                <c:pt idx="417">
                  <c:v>16.906799999999958</c:v>
                </c:pt>
                <c:pt idx="418">
                  <c:v>16.906899999999958</c:v>
                </c:pt>
                <c:pt idx="419">
                  <c:v>16.906999999999957</c:v>
                </c:pt>
                <c:pt idx="420">
                  <c:v>16.907099999999957</c:v>
                </c:pt>
                <c:pt idx="421">
                  <c:v>16.907199999999957</c:v>
                </c:pt>
                <c:pt idx="422">
                  <c:v>16.907299999999957</c:v>
                </c:pt>
                <c:pt idx="423">
                  <c:v>16.907399999999956</c:v>
                </c:pt>
                <c:pt idx="424">
                  <c:v>16.907499999999956</c:v>
                </c:pt>
                <c:pt idx="425">
                  <c:v>16.907599999999956</c:v>
                </c:pt>
                <c:pt idx="426">
                  <c:v>16.907699999999956</c:v>
                </c:pt>
                <c:pt idx="427">
                  <c:v>16.907799999999956</c:v>
                </c:pt>
                <c:pt idx="428">
                  <c:v>16.907899999999955</c:v>
                </c:pt>
                <c:pt idx="429">
                  <c:v>16.907999999999955</c:v>
                </c:pt>
                <c:pt idx="430">
                  <c:v>16.908099999999955</c:v>
                </c:pt>
                <c:pt idx="431">
                  <c:v>16.908199999999955</c:v>
                </c:pt>
                <c:pt idx="432">
                  <c:v>16.908299999999954</c:v>
                </c:pt>
                <c:pt idx="433">
                  <c:v>16.908399999999954</c:v>
                </c:pt>
                <c:pt idx="434">
                  <c:v>16.908499999999954</c:v>
                </c:pt>
                <c:pt idx="435">
                  <c:v>16.908599999999954</c:v>
                </c:pt>
                <c:pt idx="436">
                  <c:v>16.908699999999953</c:v>
                </c:pt>
                <c:pt idx="437">
                  <c:v>16.908799999999953</c:v>
                </c:pt>
                <c:pt idx="438">
                  <c:v>16.908899999999953</c:v>
                </c:pt>
                <c:pt idx="439">
                  <c:v>16.908999999999953</c:v>
                </c:pt>
                <c:pt idx="440">
                  <c:v>16.909099999999953</c:v>
                </c:pt>
                <c:pt idx="441">
                  <c:v>16.909199999999952</c:v>
                </c:pt>
                <c:pt idx="442">
                  <c:v>16.909299999999952</c:v>
                </c:pt>
                <c:pt idx="443">
                  <c:v>16.909399999999952</c:v>
                </c:pt>
                <c:pt idx="444">
                  <c:v>16.909499999999952</c:v>
                </c:pt>
                <c:pt idx="445">
                  <c:v>16.909599999999951</c:v>
                </c:pt>
                <c:pt idx="446">
                  <c:v>16.909699999999951</c:v>
                </c:pt>
                <c:pt idx="447">
                  <c:v>16.909799999999951</c:v>
                </c:pt>
                <c:pt idx="448">
                  <c:v>16.909899999999951</c:v>
                </c:pt>
                <c:pt idx="449">
                  <c:v>16.90999999999995</c:v>
                </c:pt>
                <c:pt idx="450">
                  <c:v>16.91009999999995</c:v>
                </c:pt>
                <c:pt idx="451">
                  <c:v>16.91019999999995</c:v>
                </c:pt>
                <c:pt idx="452">
                  <c:v>16.91029999999995</c:v>
                </c:pt>
                <c:pt idx="453">
                  <c:v>16.910399999999949</c:v>
                </c:pt>
                <c:pt idx="454">
                  <c:v>16.910499999999949</c:v>
                </c:pt>
                <c:pt idx="455">
                  <c:v>16.910599999999949</c:v>
                </c:pt>
                <c:pt idx="456">
                  <c:v>16.910699999999949</c:v>
                </c:pt>
                <c:pt idx="457">
                  <c:v>16.910799999999949</c:v>
                </c:pt>
                <c:pt idx="458">
                  <c:v>16.910899999999948</c:v>
                </c:pt>
                <c:pt idx="459">
                  <c:v>16.910999999999948</c:v>
                </c:pt>
                <c:pt idx="460">
                  <c:v>16.911099999999948</c:v>
                </c:pt>
                <c:pt idx="461">
                  <c:v>16.911199999999948</c:v>
                </c:pt>
                <c:pt idx="462">
                  <c:v>16.911299999999947</c:v>
                </c:pt>
                <c:pt idx="463">
                  <c:v>16.911399999999947</c:v>
                </c:pt>
                <c:pt idx="464">
                  <c:v>16.911499999999947</c:v>
                </c:pt>
                <c:pt idx="465">
                  <c:v>16.911599999999947</c:v>
                </c:pt>
                <c:pt idx="466">
                  <c:v>16.911699999999946</c:v>
                </c:pt>
                <c:pt idx="467">
                  <c:v>16.911799999999946</c:v>
                </c:pt>
                <c:pt idx="468">
                  <c:v>16.911899999999946</c:v>
                </c:pt>
                <c:pt idx="469">
                  <c:v>16.911999999999946</c:v>
                </c:pt>
                <c:pt idx="470">
                  <c:v>16.912099999999946</c:v>
                </c:pt>
                <c:pt idx="471">
                  <c:v>16.912199999999945</c:v>
                </c:pt>
                <c:pt idx="472">
                  <c:v>16.912299999999945</c:v>
                </c:pt>
                <c:pt idx="473">
                  <c:v>16.912399999999945</c:v>
                </c:pt>
                <c:pt idx="474">
                  <c:v>16.912499999999945</c:v>
                </c:pt>
                <c:pt idx="475">
                  <c:v>16.912599999999944</c:v>
                </c:pt>
                <c:pt idx="476">
                  <c:v>16.912699999999944</c:v>
                </c:pt>
                <c:pt idx="477">
                  <c:v>16.912799999999944</c:v>
                </c:pt>
                <c:pt idx="478">
                  <c:v>16.912899999999944</c:v>
                </c:pt>
                <c:pt idx="479">
                  <c:v>16.912999999999943</c:v>
                </c:pt>
                <c:pt idx="480">
                  <c:v>16.913099999999943</c:v>
                </c:pt>
                <c:pt idx="481">
                  <c:v>16.913199999999943</c:v>
                </c:pt>
                <c:pt idx="482">
                  <c:v>16.913299999999943</c:v>
                </c:pt>
                <c:pt idx="483">
                  <c:v>16.913399999999942</c:v>
                </c:pt>
                <c:pt idx="484">
                  <c:v>16.913499999999942</c:v>
                </c:pt>
                <c:pt idx="485">
                  <c:v>16.913599999999942</c:v>
                </c:pt>
                <c:pt idx="486">
                  <c:v>16.913699999999942</c:v>
                </c:pt>
                <c:pt idx="487">
                  <c:v>16.913799999999942</c:v>
                </c:pt>
                <c:pt idx="488">
                  <c:v>16.913899999999941</c:v>
                </c:pt>
                <c:pt idx="489">
                  <c:v>16.913999999999941</c:v>
                </c:pt>
                <c:pt idx="490">
                  <c:v>16.914099999999941</c:v>
                </c:pt>
                <c:pt idx="491">
                  <c:v>16.914199999999941</c:v>
                </c:pt>
                <c:pt idx="492">
                  <c:v>16.91429999999994</c:v>
                </c:pt>
                <c:pt idx="493">
                  <c:v>16.91439999999994</c:v>
                </c:pt>
                <c:pt idx="494">
                  <c:v>16.91449999999994</c:v>
                </c:pt>
                <c:pt idx="495">
                  <c:v>16.91459999999994</c:v>
                </c:pt>
                <c:pt idx="496">
                  <c:v>16.914699999999939</c:v>
                </c:pt>
                <c:pt idx="497">
                  <c:v>16.914799999999939</c:v>
                </c:pt>
                <c:pt idx="498">
                  <c:v>16.914899999999939</c:v>
                </c:pt>
                <c:pt idx="499">
                  <c:v>16.914999999999939</c:v>
                </c:pt>
                <c:pt idx="500">
                  <c:v>16.915099999999939</c:v>
                </c:pt>
                <c:pt idx="501">
                  <c:v>16.915199999999938</c:v>
                </c:pt>
                <c:pt idx="502">
                  <c:v>16.915299999999938</c:v>
                </c:pt>
                <c:pt idx="503">
                  <c:v>16.915399999999938</c:v>
                </c:pt>
                <c:pt idx="504">
                  <c:v>16.915499999999938</c:v>
                </c:pt>
                <c:pt idx="505">
                  <c:v>16.915599999999937</c:v>
                </c:pt>
                <c:pt idx="506">
                  <c:v>16.915699999999937</c:v>
                </c:pt>
                <c:pt idx="507">
                  <c:v>16.915799999999937</c:v>
                </c:pt>
                <c:pt idx="508">
                  <c:v>16.915899999999937</c:v>
                </c:pt>
                <c:pt idx="509">
                  <c:v>16.915999999999936</c:v>
                </c:pt>
                <c:pt idx="510">
                  <c:v>16.916099999999936</c:v>
                </c:pt>
                <c:pt idx="511">
                  <c:v>16.916199999999936</c:v>
                </c:pt>
                <c:pt idx="512">
                  <c:v>16.916299999999936</c:v>
                </c:pt>
                <c:pt idx="513">
                  <c:v>16.916399999999935</c:v>
                </c:pt>
                <c:pt idx="514">
                  <c:v>16.916499999999935</c:v>
                </c:pt>
                <c:pt idx="515">
                  <c:v>16.916599999999935</c:v>
                </c:pt>
                <c:pt idx="516">
                  <c:v>16.916699999999935</c:v>
                </c:pt>
                <c:pt idx="517">
                  <c:v>16.916799999999935</c:v>
                </c:pt>
                <c:pt idx="518">
                  <c:v>16.916899999999934</c:v>
                </c:pt>
                <c:pt idx="519">
                  <c:v>16.916999999999934</c:v>
                </c:pt>
                <c:pt idx="520">
                  <c:v>16.917099999999934</c:v>
                </c:pt>
                <c:pt idx="521">
                  <c:v>16.917199999999934</c:v>
                </c:pt>
                <c:pt idx="522">
                  <c:v>16.917299999999933</c:v>
                </c:pt>
                <c:pt idx="523">
                  <c:v>16.917399999999933</c:v>
                </c:pt>
                <c:pt idx="524">
                  <c:v>16.917499999999933</c:v>
                </c:pt>
                <c:pt idx="525">
                  <c:v>16.917599999999933</c:v>
                </c:pt>
                <c:pt idx="526">
                  <c:v>16.917699999999932</c:v>
                </c:pt>
                <c:pt idx="527">
                  <c:v>16.917799999999932</c:v>
                </c:pt>
                <c:pt idx="528">
                  <c:v>16.917899999999932</c:v>
                </c:pt>
                <c:pt idx="529">
                  <c:v>16.917999999999932</c:v>
                </c:pt>
                <c:pt idx="530">
                  <c:v>16.918099999999932</c:v>
                </c:pt>
                <c:pt idx="531">
                  <c:v>16.918199999999931</c:v>
                </c:pt>
                <c:pt idx="532">
                  <c:v>16.918299999999931</c:v>
                </c:pt>
                <c:pt idx="533">
                  <c:v>16.918399999999931</c:v>
                </c:pt>
                <c:pt idx="534">
                  <c:v>16.918499999999931</c:v>
                </c:pt>
                <c:pt idx="535">
                  <c:v>16.91859999999993</c:v>
                </c:pt>
                <c:pt idx="536">
                  <c:v>16.91869999999993</c:v>
                </c:pt>
                <c:pt idx="537">
                  <c:v>16.91879999999993</c:v>
                </c:pt>
                <c:pt idx="538">
                  <c:v>16.91889999999993</c:v>
                </c:pt>
                <c:pt idx="539">
                  <c:v>16.918999999999929</c:v>
                </c:pt>
                <c:pt idx="540">
                  <c:v>16.919099999999929</c:v>
                </c:pt>
                <c:pt idx="541">
                  <c:v>16.919199999999929</c:v>
                </c:pt>
                <c:pt idx="542">
                  <c:v>16.919299999999929</c:v>
                </c:pt>
                <c:pt idx="543">
                  <c:v>16.919399999999928</c:v>
                </c:pt>
                <c:pt idx="544">
                  <c:v>16.919499999999928</c:v>
                </c:pt>
                <c:pt idx="545">
                  <c:v>16.919599999999928</c:v>
                </c:pt>
                <c:pt idx="546">
                  <c:v>16.919699999999928</c:v>
                </c:pt>
                <c:pt idx="547">
                  <c:v>16.919799999999928</c:v>
                </c:pt>
                <c:pt idx="548">
                  <c:v>16.919899999999927</c:v>
                </c:pt>
                <c:pt idx="549">
                  <c:v>16.919999999999927</c:v>
                </c:pt>
                <c:pt idx="550">
                  <c:v>16.920099999999927</c:v>
                </c:pt>
                <c:pt idx="551">
                  <c:v>16.920199999999927</c:v>
                </c:pt>
                <c:pt idx="552">
                  <c:v>16.920299999999926</c:v>
                </c:pt>
                <c:pt idx="553">
                  <c:v>16.920399999999926</c:v>
                </c:pt>
                <c:pt idx="554">
                  <c:v>16.920499999999926</c:v>
                </c:pt>
                <c:pt idx="555">
                  <c:v>16.920599999999926</c:v>
                </c:pt>
                <c:pt idx="556">
                  <c:v>16.920699999999925</c:v>
                </c:pt>
                <c:pt idx="557">
                  <c:v>16.920799999999925</c:v>
                </c:pt>
                <c:pt idx="558">
                  <c:v>16.920899999999925</c:v>
                </c:pt>
                <c:pt idx="559">
                  <c:v>16.920999999999925</c:v>
                </c:pt>
                <c:pt idx="560">
                  <c:v>16.921099999999925</c:v>
                </c:pt>
                <c:pt idx="561">
                  <c:v>16.921199999999924</c:v>
                </c:pt>
                <c:pt idx="562">
                  <c:v>16.921299999999924</c:v>
                </c:pt>
                <c:pt idx="563">
                  <c:v>16.921399999999924</c:v>
                </c:pt>
                <c:pt idx="564">
                  <c:v>16.921499999999924</c:v>
                </c:pt>
                <c:pt idx="565">
                  <c:v>16.921599999999923</c:v>
                </c:pt>
                <c:pt idx="566">
                  <c:v>16.921699999999923</c:v>
                </c:pt>
                <c:pt idx="567">
                  <c:v>16.921799999999923</c:v>
                </c:pt>
                <c:pt idx="568">
                  <c:v>16.921899999999923</c:v>
                </c:pt>
                <c:pt idx="569">
                  <c:v>16.921999999999922</c:v>
                </c:pt>
                <c:pt idx="570">
                  <c:v>16.922099999999922</c:v>
                </c:pt>
                <c:pt idx="571">
                  <c:v>16.922199999999922</c:v>
                </c:pt>
                <c:pt idx="572">
                  <c:v>16.922299999999922</c:v>
                </c:pt>
                <c:pt idx="573">
                  <c:v>16.922399999999922</c:v>
                </c:pt>
                <c:pt idx="574">
                  <c:v>16.922499999999921</c:v>
                </c:pt>
                <c:pt idx="575">
                  <c:v>16.922599999999921</c:v>
                </c:pt>
                <c:pt idx="576">
                  <c:v>16.922699999999921</c:v>
                </c:pt>
                <c:pt idx="577">
                  <c:v>16.922799999999921</c:v>
                </c:pt>
                <c:pt idx="578">
                  <c:v>16.92289999999992</c:v>
                </c:pt>
                <c:pt idx="579">
                  <c:v>16.92299999999992</c:v>
                </c:pt>
                <c:pt idx="580">
                  <c:v>16.92309999999992</c:v>
                </c:pt>
                <c:pt idx="581">
                  <c:v>16.92319999999992</c:v>
                </c:pt>
                <c:pt idx="582">
                  <c:v>16.923299999999919</c:v>
                </c:pt>
                <c:pt idx="583">
                  <c:v>16.923399999999919</c:v>
                </c:pt>
                <c:pt idx="584">
                  <c:v>16.923499999999919</c:v>
                </c:pt>
                <c:pt idx="585">
                  <c:v>16.923599999999919</c:v>
                </c:pt>
                <c:pt idx="586">
                  <c:v>16.923699999999918</c:v>
                </c:pt>
                <c:pt idx="587">
                  <c:v>16.923799999999918</c:v>
                </c:pt>
                <c:pt idx="588">
                  <c:v>16.923899999999918</c:v>
                </c:pt>
                <c:pt idx="589">
                  <c:v>16.923999999999918</c:v>
                </c:pt>
                <c:pt idx="590">
                  <c:v>16.924099999999918</c:v>
                </c:pt>
                <c:pt idx="591">
                  <c:v>16.924199999999917</c:v>
                </c:pt>
                <c:pt idx="592">
                  <c:v>16.924299999999917</c:v>
                </c:pt>
                <c:pt idx="593">
                  <c:v>16.924399999999917</c:v>
                </c:pt>
                <c:pt idx="594">
                  <c:v>16.924499999999917</c:v>
                </c:pt>
                <c:pt idx="595">
                  <c:v>16.924599999999916</c:v>
                </c:pt>
                <c:pt idx="596">
                  <c:v>16.924699999999916</c:v>
                </c:pt>
                <c:pt idx="597">
                  <c:v>16.924799999999916</c:v>
                </c:pt>
                <c:pt idx="598">
                  <c:v>16.924899999999916</c:v>
                </c:pt>
                <c:pt idx="599">
                  <c:v>16.924999999999915</c:v>
                </c:pt>
                <c:pt idx="600">
                  <c:v>16.925099999999915</c:v>
                </c:pt>
                <c:pt idx="601">
                  <c:v>16.925199999999915</c:v>
                </c:pt>
                <c:pt idx="602">
                  <c:v>16.925299999999915</c:v>
                </c:pt>
                <c:pt idx="603">
                  <c:v>16.925399999999915</c:v>
                </c:pt>
                <c:pt idx="604">
                  <c:v>16.925499999999914</c:v>
                </c:pt>
                <c:pt idx="605">
                  <c:v>16.925599999999914</c:v>
                </c:pt>
                <c:pt idx="606">
                  <c:v>16.925699999999914</c:v>
                </c:pt>
                <c:pt idx="607">
                  <c:v>16.925799999999914</c:v>
                </c:pt>
                <c:pt idx="608">
                  <c:v>16.925899999999913</c:v>
                </c:pt>
                <c:pt idx="609">
                  <c:v>16.925999999999913</c:v>
                </c:pt>
                <c:pt idx="610">
                  <c:v>16.926099999999913</c:v>
                </c:pt>
                <c:pt idx="611">
                  <c:v>16.926199999999913</c:v>
                </c:pt>
                <c:pt idx="612">
                  <c:v>16.926299999999912</c:v>
                </c:pt>
                <c:pt idx="613">
                  <c:v>16.926399999999912</c:v>
                </c:pt>
                <c:pt idx="614">
                  <c:v>16.926499999999912</c:v>
                </c:pt>
                <c:pt idx="615">
                  <c:v>16.926599999999912</c:v>
                </c:pt>
                <c:pt idx="616">
                  <c:v>16.926699999999911</c:v>
                </c:pt>
                <c:pt idx="617">
                  <c:v>16.926799999999911</c:v>
                </c:pt>
                <c:pt idx="618">
                  <c:v>16.926899999999911</c:v>
                </c:pt>
                <c:pt idx="619">
                  <c:v>16.926999999999911</c:v>
                </c:pt>
                <c:pt idx="620">
                  <c:v>16.927099999999911</c:v>
                </c:pt>
                <c:pt idx="621">
                  <c:v>16.92719999999991</c:v>
                </c:pt>
                <c:pt idx="622">
                  <c:v>16.92729999999991</c:v>
                </c:pt>
                <c:pt idx="623">
                  <c:v>16.92739999999991</c:v>
                </c:pt>
                <c:pt idx="624">
                  <c:v>16.92749999999991</c:v>
                </c:pt>
                <c:pt idx="625">
                  <c:v>16.927599999999909</c:v>
                </c:pt>
                <c:pt idx="626">
                  <c:v>16.927699999999909</c:v>
                </c:pt>
                <c:pt idx="627">
                  <c:v>16.927799999999909</c:v>
                </c:pt>
                <c:pt idx="628">
                  <c:v>16.927899999999909</c:v>
                </c:pt>
                <c:pt idx="629">
                  <c:v>16.927999999999908</c:v>
                </c:pt>
                <c:pt idx="630">
                  <c:v>16.928099999999908</c:v>
                </c:pt>
                <c:pt idx="631">
                  <c:v>16.928199999999908</c:v>
                </c:pt>
                <c:pt idx="632">
                  <c:v>16.928299999999908</c:v>
                </c:pt>
                <c:pt idx="633">
                  <c:v>16.928399999999908</c:v>
                </c:pt>
                <c:pt idx="634">
                  <c:v>16.928499999999907</c:v>
                </c:pt>
                <c:pt idx="635">
                  <c:v>16.928599999999907</c:v>
                </c:pt>
                <c:pt idx="636">
                  <c:v>16.928699999999907</c:v>
                </c:pt>
                <c:pt idx="637">
                  <c:v>16.928799999999907</c:v>
                </c:pt>
                <c:pt idx="638">
                  <c:v>16.928899999999906</c:v>
                </c:pt>
                <c:pt idx="639">
                  <c:v>16.928999999999906</c:v>
                </c:pt>
                <c:pt idx="640">
                  <c:v>16.929099999999906</c:v>
                </c:pt>
                <c:pt idx="641">
                  <c:v>16.929199999999906</c:v>
                </c:pt>
                <c:pt idx="642">
                  <c:v>16.929299999999905</c:v>
                </c:pt>
                <c:pt idx="643">
                  <c:v>16.929399999999905</c:v>
                </c:pt>
                <c:pt idx="644">
                  <c:v>16.929499999999905</c:v>
                </c:pt>
                <c:pt idx="645">
                  <c:v>16.929599999999905</c:v>
                </c:pt>
                <c:pt idx="646">
                  <c:v>16.929699999999904</c:v>
                </c:pt>
                <c:pt idx="647">
                  <c:v>16.929799999999904</c:v>
                </c:pt>
                <c:pt idx="648">
                  <c:v>16.929899999999904</c:v>
                </c:pt>
                <c:pt idx="649">
                  <c:v>16.929999999999904</c:v>
                </c:pt>
                <c:pt idx="650">
                  <c:v>16.930099999999904</c:v>
                </c:pt>
                <c:pt idx="651">
                  <c:v>16.930199999999903</c:v>
                </c:pt>
                <c:pt idx="652">
                  <c:v>16.930299999999903</c:v>
                </c:pt>
                <c:pt idx="653">
                  <c:v>16.930399999999903</c:v>
                </c:pt>
                <c:pt idx="654">
                  <c:v>16.930499999999903</c:v>
                </c:pt>
                <c:pt idx="655">
                  <c:v>16.930599999999902</c:v>
                </c:pt>
                <c:pt idx="656">
                  <c:v>16.930699999999902</c:v>
                </c:pt>
                <c:pt idx="657">
                  <c:v>16.930799999999902</c:v>
                </c:pt>
                <c:pt idx="658">
                  <c:v>16.930899999999902</c:v>
                </c:pt>
                <c:pt idx="659">
                  <c:v>16.930999999999901</c:v>
                </c:pt>
                <c:pt idx="660">
                  <c:v>16.931099999999901</c:v>
                </c:pt>
                <c:pt idx="661">
                  <c:v>16.931199999999901</c:v>
                </c:pt>
                <c:pt idx="662">
                  <c:v>16.931299999999901</c:v>
                </c:pt>
                <c:pt idx="663">
                  <c:v>16.931399999999901</c:v>
                </c:pt>
                <c:pt idx="664">
                  <c:v>16.9314999999999</c:v>
                </c:pt>
                <c:pt idx="665">
                  <c:v>16.9315999999999</c:v>
                </c:pt>
                <c:pt idx="666">
                  <c:v>16.9316999999999</c:v>
                </c:pt>
                <c:pt idx="667">
                  <c:v>16.9317999999999</c:v>
                </c:pt>
                <c:pt idx="668">
                  <c:v>16.931899999999899</c:v>
                </c:pt>
                <c:pt idx="669">
                  <c:v>16.931999999999899</c:v>
                </c:pt>
                <c:pt idx="670">
                  <c:v>16.932099999999899</c:v>
                </c:pt>
                <c:pt idx="671">
                  <c:v>16.932199999999899</c:v>
                </c:pt>
                <c:pt idx="672">
                  <c:v>16.932299999999898</c:v>
                </c:pt>
                <c:pt idx="673">
                  <c:v>16.932399999999898</c:v>
                </c:pt>
                <c:pt idx="674">
                  <c:v>16.932499999999898</c:v>
                </c:pt>
                <c:pt idx="675">
                  <c:v>16.932599999999898</c:v>
                </c:pt>
                <c:pt idx="676">
                  <c:v>16.932699999999897</c:v>
                </c:pt>
                <c:pt idx="677">
                  <c:v>16.932799999999897</c:v>
                </c:pt>
                <c:pt idx="678">
                  <c:v>16.932899999999897</c:v>
                </c:pt>
                <c:pt idx="679">
                  <c:v>16.932999999999897</c:v>
                </c:pt>
                <c:pt idx="680">
                  <c:v>16.933099999999897</c:v>
                </c:pt>
                <c:pt idx="681">
                  <c:v>16.933199999999896</c:v>
                </c:pt>
                <c:pt idx="682">
                  <c:v>16.933299999999896</c:v>
                </c:pt>
                <c:pt idx="683">
                  <c:v>16.933399999999896</c:v>
                </c:pt>
                <c:pt idx="684">
                  <c:v>16.933499999999896</c:v>
                </c:pt>
                <c:pt idx="685">
                  <c:v>16.933599999999895</c:v>
                </c:pt>
                <c:pt idx="686">
                  <c:v>16.933699999999895</c:v>
                </c:pt>
                <c:pt idx="687">
                  <c:v>16.933799999999895</c:v>
                </c:pt>
                <c:pt idx="688">
                  <c:v>16.933899999999895</c:v>
                </c:pt>
                <c:pt idx="689">
                  <c:v>16.933999999999894</c:v>
                </c:pt>
                <c:pt idx="690">
                  <c:v>16.934099999999894</c:v>
                </c:pt>
                <c:pt idx="691">
                  <c:v>16.934199999999894</c:v>
                </c:pt>
                <c:pt idx="692">
                  <c:v>16.934299999999894</c:v>
                </c:pt>
                <c:pt idx="693">
                  <c:v>16.934399999999894</c:v>
                </c:pt>
                <c:pt idx="694">
                  <c:v>16.934499999999893</c:v>
                </c:pt>
                <c:pt idx="695">
                  <c:v>16.934599999999893</c:v>
                </c:pt>
                <c:pt idx="696">
                  <c:v>16.934699999999893</c:v>
                </c:pt>
                <c:pt idx="697">
                  <c:v>16.934799999999893</c:v>
                </c:pt>
                <c:pt idx="698">
                  <c:v>16.934899999999892</c:v>
                </c:pt>
                <c:pt idx="699">
                  <c:v>16.934999999999892</c:v>
                </c:pt>
                <c:pt idx="700">
                  <c:v>16.935099999999892</c:v>
                </c:pt>
                <c:pt idx="701">
                  <c:v>16.935199999999892</c:v>
                </c:pt>
                <c:pt idx="702">
                  <c:v>16.935299999999891</c:v>
                </c:pt>
                <c:pt idx="703">
                  <c:v>16.935399999999891</c:v>
                </c:pt>
                <c:pt idx="704">
                  <c:v>16.935499999999891</c:v>
                </c:pt>
                <c:pt idx="705">
                  <c:v>16.935599999999891</c:v>
                </c:pt>
                <c:pt idx="706">
                  <c:v>16.935699999999891</c:v>
                </c:pt>
                <c:pt idx="707">
                  <c:v>16.93579999999989</c:v>
                </c:pt>
                <c:pt idx="708">
                  <c:v>16.93589999999989</c:v>
                </c:pt>
                <c:pt idx="709">
                  <c:v>16.93599999999989</c:v>
                </c:pt>
                <c:pt idx="710">
                  <c:v>16.93609999999989</c:v>
                </c:pt>
                <c:pt idx="711">
                  <c:v>16.936199999999889</c:v>
                </c:pt>
                <c:pt idx="712">
                  <c:v>16.936299999999889</c:v>
                </c:pt>
                <c:pt idx="713">
                  <c:v>16.936399999999889</c:v>
                </c:pt>
                <c:pt idx="714">
                  <c:v>16.936499999999889</c:v>
                </c:pt>
                <c:pt idx="715">
                  <c:v>16.936599999999888</c:v>
                </c:pt>
                <c:pt idx="716">
                  <c:v>16.936699999999888</c:v>
                </c:pt>
                <c:pt idx="717">
                  <c:v>16.936799999999888</c:v>
                </c:pt>
                <c:pt idx="718">
                  <c:v>16.936899999999888</c:v>
                </c:pt>
                <c:pt idx="719">
                  <c:v>16.936999999999887</c:v>
                </c:pt>
                <c:pt idx="720">
                  <c:v>16.937099999999887</c:v>
                </c:pt>
                <c:pt idx="721">
                  <c:v>16.937199999999887</c:v>
                </c:pt>
                <c:pt idx="722">
                  <c:v>16.937299999999887</c:v>
                </c:pt>
                <c:pt idx="723">
                  <c:v>16.937399999999887</c:v>
                </c:pt>
                <c:pt idx="724">
                  <c:v>16.937499999999886</c:v>
                </c:pt>
                <c:pt idx="725">
                  <c:v>16.937599999999886</c:v>
                </c:pt>
                <c:pt idx="726">
                  <c:v>16.937699999999886</c:v>
                </c:pt>
                <c:pt idx="727">
                  <c:v>16.937799999999886</c:v>
                </c:pt>
                <c:pt idx="728">
                  <c:v>16.937899999999885</c:v>
                </c:pt>
                <c:pt idx="729">
                  <c:v>16.937999999999885</c:v>
                </c:pt>
                <c:pt idx="730">
                  <c:v>16.938099999999885</c:v>
                </c:pt>
                <c:pt idx="731">
                  <c:v>16.938199999999885</c:v>
                </c:pt>
                <c:pt idx="732">
                  <c:v>16.938299999999884</c:v>
                </c:pt>
                <c:pt idx="733">
                  <c:v>16.938399999999884</c:v>
                </c:pt>
                <c:pt idx="734">
                  <c:v>16.938499999999884</c:v>
                </c:pt>
                <c:pt idx="735">
                  <c:v>16.938599999999884</c:v>
                </c:pt>
                <c:pt idx="736">
                  <c:v>16.938699999999884</c:v>
                </c:pt>
                <c:pt idx="737">
                  <c:v>16.938799999999883</c:v>
                </c:pt>
                <c:pt idx="738">
                  <c:v>16.938899999999883</c:v>
                </c:pt>
                <c:pt idx="739">
                  <c:v>16.938999999999883</c:v>
                </c:pt>
                <c:pt idx="740">
                  <c:v>16.939099999999883</c:v>
                </c:pt>
                <c:pt idx="741">
                  <c:v>16.939199999999882</c:v>
                </c:pt>
                <c:pt idx="742">
                  <c:v>16.939299999999882</c:v>
                </c:pt>
                <c:pt idx="743">
                  <c:v>16.939399999999882</c:v>
                </c:pt>
                <c:pt idx="744">
                  <c:v>16.939499999999882</c:v>
                </c:pt>
                <c:pt idx="745">
                  <c:v>16.939599999999881</c:v>
                </c:pt>
                <c:pt idx="746">
                  <c:v>16.939699999999881</c:v>
                </c:pt>
                <c:pt idx="747">
                  <c:v>16.939799999999881</c:v>
                </c:pt>
                <c:pt idx="748">
                  <c:v>16.939899999999881</c:v>
                </c:pt>
                <c:pt idx="749">
                  <c:v>16.93999999999988</c:v>
                </c:pt>
                <c:pt idx="750">
                  <c:v>16.94009999999988</c:v>
                </c:pt>
                <c:pt idx="751">
                  <c:v>16.94019999999988</c:v>
                </c:pt>
                <c:pt idx="752">
                  <c:v>16.94029999999988</c:v>
                </c:pt>
                <c:pt idx="753">
                  <c:v>16.94039999999988</c:v>
                </c:pt>
                <c:pt idx="754">
                  <c:v>16.940499999999879</c:v>
                </c:pt>
                <c:pt idx="755">
                  <c:v>16.940599999999879</c:v>
                </c:pt>
                <c:pt idx="756">
                  <c:v>16.940699999999879</c:v>
                </c:pt>
                <c:pt idx="757">
                  <c:v>16.940799999999879</c:v>
                </c:pt>
                <c:pt idx="758">
                  <c:v>16.940899999999878</c:v>
                </c:pt>
                <c:pt idx="759">
                  <c:v>16.940999999999878</c:v>
                </c:pt>
                <c:pt idx="760">
                  <c:v>16.941099999999878</c:v>
                </c:pt>
                <c:pt idx="761">
                  <c:v>16.941199999999878</c:v>
                </c:pt>
                <c:pt idx="762">
                  <c:v>16.941299999999877</c:v>
                </c:pt>
                <c:pt idx="763">
                  <c:v>16.941399999999877</c:v>
                </c:pt>
                <c:pt idx="764">
                  <c:v>16.941499999999877</c:v>
                </c:pt>
                <c:pt idx="765">
                  <c:v>16.941599999999877</c:v>
                </c:pt>
                <c:pt idx="766">
                  <c:v>16.941699999999877</c:v>
                </c:pt>
                <c:pt idx="767">
                  <c:v>16.941799999999876</c:v>
                </c:pt>
                <c:pt idx="768">
                  <c:v>16.941899999999876</c:v>
                </c:pt>
                <c:pt idx="769">
                  <c:v>16.941999999999876</c:v>
                </c:pt>
                <c:pt idx="770">
                  <c:v>16.942099999999876</c:v>
                </c:pt>
                <c:pt idx="771">
                  <c:v>16.942199999999875</c:v>
                </c:pt>
                <c:pt idx="772">
                  <c:v>16.942299999999875</c:v>
                </c:pt>
                <c:pt idx="773">
                  <c:v>16.942399999999875</c:v>
                </c:pt>
                <c:pt idx="774">
                  <c:v>16.942499999999875</c:v>
                </c:pt>
                <c:pt idx="775">
                  <c:v>16.942599999999874</c:v>
                </c:pt>
                <c:pt idx="776">
                  <c:v>16.942699999999874</c:v>
                </c:pt>
                <c:pt idx="777">
                  <c:v>16.942799999999874</c:v>
                </c:pt>
                <c:pt idx="778">
                  <c:v>16.942899999999874</c:v>
                </c:pt>
                <c:pt idx="779">
                  <c:v>16.942999999999873</c:v>
                </c:pt>
                <c:pt idx="780">
                  <c:v>16.943099999999873</c:v>
                </c:pt>
                <c:pt idx="781">
                  <c:v>16.943199999999873</c:v>
                </c:pt>
                <c:pt idx="782">
                  <c:v>16.943299999999873</c:v>
                </c:pt>
                <c:pt idx="783">
                  <c:v>16.943399999999873</c:v>
                </c:pt>
                <c:pt idx="784">
                  <c:v>16.943499999999872</c:v>
                </c:pt>
                <c:pt idx="785">
                  <c:v>16.943599999999872</c:v>
                </c:pt>
                <c:pt idx="786">
                  <c:v>16.943699999999872</c:v>
                </c:pt>
                <c:pt idx="787">
                  <c:v>16.943799999999872</c:v>
                </c:pt>
                <c:pt idx="788">
                  <c:v>16.943899999999871</c:v>
                </c:pt>
                <c:pt idx="789">
                  <c:v>16.943999999999871</c:v>
                </c:pt>
                <c:pt idx="790">
                  <c:v>16.944099999999871</c:v>
                </c:pt>
                <c:pt idx="791">
                  <c:v>16.944199999999871</c:v>
                </c:pt>
                <c:pt idx="792">
                  <c:v>16.94429999999987</c:v>
                </c:pt>
                <c:pt idx="793">
                  <c:v>16.94439999999987</c:v>
                </c:pt>
                <c:pt idx="794">
                  <c:v>16.94449999999987</c:v>
                </c:pt>
                <c:pt idx="795">
                  <c:v>16.94459999999987</c:v>
                </c:pt>
                <c:pt idx="796">
                  <c:v>16.94469999999987</c:v>
                </c:pt>
                <c:pt idx="797">
                  <c:v>16.944799999999869</c:v>
                </c:pt>
                <c:pt idx="798">
                  <c:v>16.944899999999869</c:v>
                </c:pt>
                <c:pt idx="799">
                  <c:v>16.944999999999869</c:v>
                </c:pt>
                <c:pt idx="800">
                  <c:v>16.945099999999869</c:v>
                </c:pt>
                <c:pt idx="801">
                  <c:v>16.945199999999868</c:v>
                </c:pt>
                <c:pt idx="802">
                  <c:v>16.945299999999868</c:v>
                </c:pt>
                <c:pt idx="803">
                  <c:v>16.945399999999868</c:v>
                </c:pt>
                <c:pt idx="804">
                  <c:v>16.945499999999868</c:v>
                </c:pt>
                <c:pt idx="805">
                  <c:v>16.945599999999867</c:v>
                </c:pt>
                <c:pt idx="806">
                  <c:v>16.945699999999867</c:v>
                </c:pt>
                <c:pt idx="807">
                  <c:v>16.945799999999867</c:v>
                </c:pt>
                <c:pt idx="808">
                  <c:v>16.945899999999867</c:v>
                </c:pt>
                <c:pt idx="809">
                  <c:v>16.945999999999867</c:v>
                </c:pt>
                <c:pt idx="810">
                  <c:v>16.946099999999866</c:v>
                </c:pt>
                <c:pt idx="811">
                  <c:v>16.946199999999866</c:v>
                </c:pt>
                <c:pt idx="812">
                  <c:v>16.946299999999866</c:v>
                </c:pt>
                <c:pt idx="813">
                  <c:v>16.946399999999866</c:v>
                </c:pt>
                <c:pt idx="814">
                  <c:v>16.946499999999865</c:v>
                </c:pt>
                <c:pt idx="815">
                  <c:v>16.946599999999865</c:v>
                </c:pt>
                <c:pt idx="816">
                  <c:v>16.946699999999865</c:v>
                </c:pt>
                <c:pt idx="817">
                  <c:v>16.946799999999865</c:v>
                </c:pt>
                <c:pt idx="818">
                  <c:v>16.946899999999864</c:v>
                </c:pt>
                <c:pt idx="819">
                  <c:v>16.946999999999864</c:v>
                </c:pt>
                <c:pt idx="820">
                  <c:v>16.947099999999864</c:v>
                </c:pt>
                <c:pt idx="821">
                  <c:v>16.947199999999864</c:v>
                </c:pt>
                <c:pt idx="822">
                  <c:v>16.947299999999863</c:v>
                </c:pt>
                <c:pt idx="823">
                  <c:v>16.947399999999863</c:v>
                </c:pt>
                <c:pt idx="824">
                  <c:v>16.947499999999863</c:v>
                </c:pt>
                <c:pt idx="825">
                  <c:v>16.947599999999863</c:v>
                </c:pt>
                <c:pt idx="826">
                  <c:v>16.947699999999863</c:v>
                </c:pt>
                <c:pt idx="827">
                  <c:v>16.947799999999862</c:v>
                </c:pt>
                <c:pt idx="828">
                  <c:v>16.947899999999862</c:v>
                </c:pt>
                <c:pt idx="829">
                  <c:v>16.947999999999862</c:v>
                </c:pt>
                <c:pt idx="830">
                  <c:v>16.948099999999862</c:v>
                </c:pt>
                <c:pt idx="831">
                  <c:v>16.948199999999861</c:v>
                </c:pt>
                <c:pt idx="832">
                  <c:v>16.948299999999861</c:v>
                </c:pt>
                <c:pt idx="833">
                  <c:v>16.948399999999861</c:v>
                </c:pt>
                <c:pt idx="834">
                  <c:v>16.948499999999861</c:v>
                </c:pt>
                <c:pt idx="835">
                  <c:v>16.94859999999986</c:v>
                </c:pt>
                <c:pt idx="836">
                  <c:v>16.94869999999986</c:v>
                </c:pt>
                <c:pt idx="837">
                  <c:v>16.94879999999986</c:v>
                </c:pt>
                <c:pt idx="838">
                  <c:v>16.94889999999986</c:v>
                </c:pt>
                <c:pt idx="839">
                  <c:v>16.94899999999986</c:v>
                </c:pt>
                <c:pt idx="840">
                  <c:v>16.949099999999859</c:v>
                </c:pt>
                <c:pt idx="841">
                  <c:v>16.949199999999859</c:v>
                </c:pt>
                <c:pt idx="842">
                  <c:v>16.949299999999859</c:v>
                </c:pt>
                <c:pt idx="843">
                  <c:v>16.949399999999859</c:v>
                </c:pt>
                <c:pt idx="844">
                  <c:v>16.949499999999858</c:v>
                </c:pt>
                <c:pt idx="845">
                  <c:v>16.949599999999858</c:v>
                </c:pt>
                <c:pt idx="846">
                  <c:v>16.949699999999858</c:v>
                </c:pt>
                <c:pt idx="847">
                  <c:v>16.949799999999858</c:v>
                </c:pt>
                <c:pt idx="848">
                  <c:v>16.949899999999857</c:v>
                </c:pt>
                <c:pt idx="849">
                  <c:v>16.949999999999857</c:v>
                </c:pt>
                <c:pt idx="850">
                  <c:v>16.950099999999857</c:v>
                </c:pt>
                <c:pt idx="851">
                  <c:v>16.950199999999857</c:v>
                </c:pt>
                <c:pt idx="852">
                  <c:v>16.950299999999856</c:v>
                </c:pt>
                <c:pt idx="853">
                  <c:v>16.950399999999856</c:v>
                </c:pt>
                <c:pt idx="854">
                  <c:v>16.950499999999856</c:v>
                </c:pt>
                <c:pt idx="855">
                  <c:v>16.950599999999856</c:v>
                </c:pt>
                <c:pt idx="856">
                  <c:v>16.950699999999856</c:v>
                </c:pt>
                <c:pt idx="857">
                  <c:v>16.950799999999855</c:v>
                </c:pt>
                <c:pt idx="858">
                  <c:v>16.950899999999855</c:v>
                </c:pt>
                <c:pt idx="859">
                  <c:v>16.950999999999855</c:v>
                </c:pt>
                <c:pt idx="860">
                  <c:v>16.951099999999855</c:v>
                </c:pt>
                <c:pt idx="861">
                  <c:v>16.951199999999854</c:v>
                </c:pt>
                <c:pt idx="862">
                  <c:v>16.951299999999854</c:v>
                </c:pt>
                <c:pt idx="863">
                  <c:v>16.951399999999854</c:v>
                </c:pt>
                <c:pt idx="864">
                  <c:v>16.951499999999854</c:v>
                </c:pt>
                <c:pt idx="865">
                  <c:v>16.951599999999853</c:v>
                </c:pt>
                <c:pt idx="866">
                  <c:v>16.951699999999853</c:v>
                </c:pt>
                <c:pt idx="867">
                  <c:v>16.951799999999853</c:v>
                </c:pt>
                <c:pt idx="868">
                  <c:v>16.951899999999853</c:v>
                </c:pt>
                <c:pt idx="869">
                  <c:v>16.951999999999853</c:v>
                </c:pt>
                <c:pt idx="870">
                  <c:v>16.952099999999852</c:v>
                </c:pt>
                <c:pt idx="871">
                  <c:v>16.952199999999852</c:v>
                </c:pt>
                <c:pt idx="872">
                  <c:v>16.952299999999852</c:v>
                </c:pt>
                <c:pt idx="873">
                  <c:v>16.952399999999852</c:v>
                </c:pt>
                <c:pt idx="874">
                  <c:v>16.952499999999851</c:v>
                </c:pt>
                <c:pt idx="875">
                  <c:v>16.952599999999851</c:v>
                </c:pt>
                <c:pt idx="876">
                  <c:v>16.952699999999851</c:v>
                </c:pt>
                <c:pt idx="877">
                  <c:v>16.952799999999851</c:v>
                </c:pt>
                <c:pt idx="878">
                  <c:v>16.95289999999985</c:v>
                </c:pt>
                <c:pt idx="879">
                  <c:v>16.95299999999985</c:v>
                </c:pt>
                <c:pt idx="880">
                  <c:v>16.95309999999985</c:v>
                </c:pt>
                <c:pt idx="881">
                  <c:v>16.95319999999985</c:v>
                </c:pt>
                <c:pt idx="882">
                  <c:v>16.953299999999849</c:v>
                </c:pt>
                <c:pt idx="883">
                  <c:v>16.953399999999849</c:v>
                </c:pt>
                <c:pt idx="884">
                  <c:v>16.953499999999849</c:v>
                </c:pt>
                <c:pt idx="885">
                  <c:v>16.953599999999849</c:v>
                </c:pt>
                <c:pt idx="886">
                  <c:v>16.953699999999849</c:v>
                </c:pt>
                <c:pt idx="887">
                  <c:v>16.953799999999848</c:v>
                </c:pt>
                <c:pt idx="888">
                  <c:v>16.953899999999848</c:v>
                </c:pt>
                <c:pt idx="889">
                  <c:v>16.953999999999848</c:v>
                </c:pt>
                <c:pt idx="890">
                  <c:v>16.954099999999848</c:v>
                </c:pt>
                <c:pt idx="891">
                  <c:v>16.954199999999847</c:v>
                </c:pt>
                <c:pt idx="892">
                  <c:v>16.954299999999847</c:v>
                </c:pt>
                <c:pt idx="893">
                  <c:v>16.954399999999847</c:v>
                </c:pt>
                <c:pt idx="894">
                  <c:v>16.954499999999847</c:v>
                </c:pt>
                <c:pt idx="895">
                  <c:v>16.954599999999846</c:v>
                </c:pt>
                <c:pt idx="896">
                  <c:v>16.954699999999846</c:v>
                </c:pt>
                <c:pt idx="897">
                  <c:v>16.954799999999846</c:v>
                </c:pt>
                <c:pt idx="898">
                  <c:v>16.954899999999846</c:v>
                </c:pt>
                <c:pt idx="899">
                  <c:v>16.954999999999846</c:v>
                </c:pt>
                <c:pt idx="900">
                  <c:v>16.955099999999845</c:v>
                </c:pt>
                <c:pt idx="901">
                  <c:v>16.955199999999845</c:v>
                </c:pt>
                <c:pt idx="902">
                  <c:v>16.955299999999845</c:v>
                </c:pt>
                <c:pt idx="903">
                  <c:v>16.955399999999845</c:v>
                </c:pt>
                <c:pt idx="904">
                  <c:v>16.955499999999844</c:v>
                </c:pt>
                <c:pt idx="905">
                  <c:v>16.955599999999844</c:v>
                </c:pt>
                <c:pt idx="906">
                  <c:v>16.955699999999844</c:v>
                </c:pt>
                <c:pt idx="907">
                  <c:v>16.955799999999844</c:v>
                </c:pt>
                <c:pt idx="908">
                  <c:v>16.955899999999843</c:v>
                </c:pt>
                <c:pt idx="909">
                  <c:v>16.955999999999843</c:v>
                </c:pt>
                <c:pt idx="910">
                  <c:v>16.956099999999843</c:v>
                </c:pt>
                <c:pt idx="911">
                  <c:v>16.956199999999843</c:v>
                </c:pt>
                <c:pt idx="912">
                  <c:v>16.956299999999842</c:v>
                </c:pt>
                <c:pt idx="913">
                  <c:v>16.956399999999842</c:v>
                </c:pt>
                <c:pt idx="914">
                  <c:v>16.956499999999842</c:v>
                </c:pt>
                <c:pt idx="915">
                  <c:v>16.956599999999842</c:v>
                </c:pt>
                <c:pt idx="916">
                  <c:v>16.956699999999842</c:v>
                </c:pt>
                <c:pt idx="917">
                  <c:v>16.956799999999841</c:v>
                </c:pt>
                <c:pt idx="918">
                  <c:v>16.956899999999841</c:v>
                </c:pt>
                <c:pt idx="919">
                  <c:v>16.956999999999841</c:v>
                </c:pt>
                <c:pt idx="920">
                  <c:v>16.957099999999841</c:v>
                </c:pt>
                <c:pt idx="921">
                  <c:v>16.95719999999984</c:v>
                </c:pt>
                <c:pt idx="922">
                  <c:v>16.95729999999984</c:v>
                </c:pt>
                <c:pt idx="923">
                  <c:v>16.95739999999984</c:v>
                </c:pt>
                <c:pt idx="924">
                  <c:v>16.95749999999984</c:v>
                </c:pt>
                <c:pt idx="925">
                  <c:v>16.957599999999839</c:v>
                </c:pt>
                <c:pt idx="926">
                  <c:v>16.957699999999839</c:v>
                </c:pt>
                <c:pt idx="927">
                  <c:v>16.957799999999839</c:v>
                </c:pt>
                <c:pt idx="928">
                  <c:v>16.957899999999839</c:v>
                </c:pt>
                <c:pt idx="929">
                  <c:v>16.957999999999839</c:v>
                </c:pt>
                <c:pt idx="930">
                  <c:v>16.958099999999838</c:v>
                </c:pt>
                <c:pt idx="931">
                  <c:v>16.958199999999838</c:v>
                </c:pt>
                <c:pt idx="932">
                  <c:v>16.958299999999838</c:v>
                </c:pt>
                <c:pt idx="933">
                  <c:v>16.958399999999838</c:v>
                </c:pt>
                <c:pt idx="934">
                  <c:v>16.958499999999837</c:v>
                </c:pt>
                <c:pt idx="935">
                  <c:v>16.958599999999837</c:v>
                </c:pt>
                <c:pt idx="936">
                  <c:v>16.958699999999837</c:v>
                </c:pt>
                <c:pt idx="937">
                  <c:v>16.958799999999837</c:v>
                </c:pt>
                <c:pt idx="938">
                  <c:v>16.958899999999836</c:v>
                </c:pt>
                <c:pt idx="939">
                  <c:v>16.958999999999836</c:v>
                </c:pt>
                <c:pt idx="940">
                  <c:v>16.959099999999836</c:v>
                </c:pt>
                <c:pt idx="941">
                  <c:v>16.959199999999836</c:v>
                </c:pt>
                <c:pt idx="942">
                  <c:v>16.959299999999836</c:v>
                </c:pt>
                <c:pt idx="943">
                  <c:v>16.959399999999835</c:v>
                </c:pt>
                <c:pt idx="944">
                  <c:v>16.959499999999835</c:v>
                </c:pt>
                <c:pt idx="945">
                  <c:v>16.959599999999835</c:v>
                </c:pt>
                <c:pt idx="946">
                  <c:v>16.959699999999835</c:v>
                </c:pt>
                <c:pt idx="947">
                  <c:v>16.959799999999834</c:v>
                </c:pt>
                <c:pt idx="948">
                  <c:v>16.959899999999834</c:v>
                </c:pt>
                <c:pt idx="949">
                  <c:v>16.959999999999834</c:v>
                </c:pt>
                <c:pt idx="950">
                  <c:v>16.960099999999834</c:v>
                </c:pt>
                <c:pt idx="951">
                  <c:v>16.960199999999833</c:v>
                </c:pt>
                <c:pt idx="952">
                  <c:v>16.960299999999833</c:v>
                </c:pt>
                <c:pt idx="953">
                  <c:v>16.960399999999833</c:v>
                </c:pt>
                <c:pt idx="954">
                  <c:v>16.960499999999833</c:v>
                </c:pt>
                <c:pt idx="955">
                  <c:v>16.960599999999832</c:v>
                </c:pt>
                <c:pt idx="956">
                  <c:v>16.960699999999832</c:v>
                </c:pt>
                <c:pt idx="957">
                  <c:v>16.960799999999832</c:v>
                </c:pt>
                <c:pt idx="958">
                  <c:v>16.960899999999832</c:v>
                </c:pt>
                <c:pt idx="959">
                  <c:v>16.960999999999832</c:v>
                </c:pt>
                <c:pt idx="960">
                  <c:v>16.961099999999831</c:v>
                </c:pt>
                <c:pt idx="961">
                  <c:v>16.961199999999831</c:v>
                </c:pt>
                <c:pt idx="962">
                  <c:v>16.961299999999831</c:v>
                </c:pt>
                <c:pt idx="963">
                  <c:v>16.961399999999831</c:v>
                </c:pt>
                <c:pt idx="964">
                  <c:v>16.96149999999983</c:v>
                </c:pt>
                <c:pt idx="965">
                  <c:v>16.96159999999983</c:v>
                </c:pt>
                <c:pt idx="966">
                  <c:v>16.96169999999983</c:v>
                </c:pt>
                <c:pt idx="967">
                  <c:v>16.96179999999983</c:v>
                </c:pt>
                <c:pt idx="968">
                  <c:v>16.961899999999829</c:v>
                </c:pt>
                <c:pt idx="969">
                  <c:v>16.961999999999829</c:v>
                </c:pt>
                <c:pt idx="970">
                  <c:v>16.962099999999829</c:v>
                </c:pt>
                <c:pt idx="971">
                  <c:v>16.962199999999829</c:v>
                </c:pt>
                <c:pt idx="972">
                  <c:v>16.962299999999829</c:v>
                </c:pt>
                <c:pt idx="973">
                  <c:v>16.962399999999828</c:v>
                </c:pt>
                <c:pt idx="974">
                  <c:v>16.962499999999828</c:v>
                </c:pt>
                <c:pt idx="975">
                  <c:v>16.962599999999828</c:v>
                </c:pt>
                <c:pt idx="976">
                  <c:v>16.962699999999828</c:v>
                </c:pt>
                <c:pt idx="977">
                  <c:v>16.962799999999827</c:v>
                </c:pt>
                <c:pt idx="978">
                  <c:v>16.962899999999827</c:v>
                </c:pt>
                <c:pt idx="979">
                  <c:v>16.962999999999827</c:v>
                </c:pt>
                <c:pt idx="980">
                  <c:v>16.963099999999827</c:v>
                </c:pt>
                <c:pt idx="981">
                  <c:v>16.963199999999826</c:v>
                </c:pt>
                <c:pt idx="982">
                  <c:v>16.963299999999826</c:v>
                </c:pt>
                <c:pt idx="983">
                  <c:v>16.963399999999826</c:v>
                </c:pt>
                <c:pt idx="984">
                  <c:v>16.963499999999826</c:v>
                </c:pt>
                <c:pt idx="985">
                  <c:v>16.963599999999825</c:v>
                </c:pt>
                <c:pt idx="986">
                  <c:v>16.963699999999825</c:v>
                </c:pt>
                <c:pt idx="987">
                  <c:v>16.963799999999825</c:v>
                </c:pt>
                <c:pt idx="988">
                  <c:v>16.963899999999825</c:v>
                </c:pt>
                <c:pt idx="989">
                  <c:v>16.963999999999825</c:v>
                </c:pt>
                <c:pt idx="990">
                  <c:v>16.964099999999824</c:v>
                </c:pt>
                <c:pt idx="991">
                  <c:v>16.964199999999824</c:v>
                </c:pt>
                <c:pt idx="992">
                  <c:v>16.964299999999824</c:v>
                </c:pt>
                <c:pt idx="993">
                  <c:v>16.964399999999824</c:v>
                </c:pt>
                <c:pt idx="994">
                  <c:v>16.964499999999823</c:v>
                </c:pt>
                <c:pt idx="995">
                  <c:v>16.964599999999823</c:v>
                </c:pt>
                <c:pt idx="996">
                  <c:v>16.964699999999823</c:v>
                </c:pt>
                <c:pt idx="997">
                  <c:v>16.964799999999823</c:v>
                </c:pt>
                <c:pt idx="998">
                  <c:v>16.964899999999822</c:v>
                </c:pt>
                <c:pt idx="999">
                  <c:v>16.964999999999822</c:v>
                </c:pt>
                <c:pt idx="1000">
                  <c:v>16.965099999999822</c:v>
                </c:pt>
              </c:numCache>
            </c:numRef>
          </c:xVal>
          <c:yVal>
            <c:numRef>
              <c:f>Calculs!$AE$4:$AE$1004</c:f>
              <c:numCache>
                <c:formatCode>0</c:formatCode>
                <c:ptCount val="1001"/>
                <c:pt idx="0">
                  <c:v>0</c:v>
                </c:pt>
                <c:pt idx="1">
                  <c:v>1.072892741762712E-3</c:v>
                </c:pt>
                <c:pt idx="2">
                  <c:v>7.2351927811420786E-3</c:v>
                </c:pt>
                <c:pt idx="3">
                  <c:v>2.3530778934193496E-2</c:v>
                </c:pt>
                <c:pt idx="4">
                  <c:v>5.0766950166213465E-2</c:v>
                </c:pt>
                <c:pt idx="5">
                  <c:v>8.635542859419712E-2</c:v>
                </c:pt>
                <c:pt idx="6">
                  <c:v>0.12818107940988069</c:v>
                </c:pt>
                <c:pt idx="7">
                  <c:v>0.17535088098540064</c:v>
                </c:pt>
                <c:pt idx="8">
                  <c:v>0.22789845747226903</c:v>
                </c:pt>
                <c:pt idx="9">
                  <c:v>0.28603749780814081</c:v>
                </c:pt>
                <c:pt idx="10">
                  <c:v>0.34998174114909841</c:v>
                </c:pt>
                <c:pt idx="11">
                  <c:v>0.41987674107719297</c:v>
                </c:pt>
                <c:pt idx="12">
                  <c:v>0.49579979276688169</c:v>
                </c:pt>
                <c:pt idx="13">
                  <c:v>0.57782808871137048</c:v>
                </c:pt>
                <c:pt idx="14">
                  <c:v>0.66603871299013173</c:v>
                </c:pt>
                <c:pt idx="15">
                  <c:v>0.7605086354537719</c:v>
                </c:pt>
                <c:pt idx="16">
                  <c:v>0.86131470582715164</c:v>
                </c:pt>
                <c:pt idx="17">
                  <c:v>0.96853364773170481</c:v>
                </c:pt>
                <c:pt idx="18">
                  <c:v>1.0822420526279484</c:v>
                </c:pt>
                <c:pt idx="19">
                  <c:v>1.2025163736792197</c:v>
                </c:pt>
                <c:pt idx="20">
                  <c:v>1.3294329195377239</c:v>
                </c:pt>
                <c:pt idx="21">
                  <c:v>1.4630678480540187</c:v>
                </c:pt>
                <c:pt idx="22">
                  <c:v>1.6034889803670815</c:v>
                </c:pt>
                <c:pt idx="23">
                  <c:v>1.7507366943596958</c:v>
                </c:pt>
                <c:pt idx="24">
                  <c:v>1.9048320799354088</c:v>
                </c:pt>
                <c:pt idx="25">
                  <c:v>2.0657960170354097</c:v>
                </c:pt>
                <c:pt idx="26">
                  <c:v>2.2336491735297295</c:v>
                </c:pt>
                <c:pt idx="27">
                  <c:v>2.4084120031271685</c:v>
                </c:pt>
                <c:pt idx="28">
                  <c:v>2.5901047433045332</c:v>
                </c:pt>
                <c:pt idx="29">
                  <c:v>2.7787326159599739</c:v>
                </c:pt>
                <c:pt idx="30">
                  <c:v>2.9743000181727588</c:v>
                </c:pt>
                <c:pt idx="31">
                  <c:v>3.1768253225665628</c:v>
                </c:pt>
                <c:pt idx="32">
                  <c:v>3.3863266944319115</c:v>
                </c:pt>
                <c:pt idx="33">
                  <c:v>3.6028220959421331</c:v>
                </c:pt>
                <c:pt idx="34">
                  <c:v>3.8263292829822326</c:v>
                </c:pt>
                <c:pt idx="35">
                  <c:v>4.0568636750422051</c:v>
                </c:pt>
                <c:pt idx="36">
                  <c:v>4.2944192020993182</c:v>
                </c:pt>
                <c:pt idx="37">
                  <c:v>4.5389704290437773</c:v>
                </c:pt>
                <c:pt idx="38">
                  <c:v>4.7904917052703091</c:v>
                </c:pt>
                <c:pt idx="39">
                  <c:v>5.0489571659514167</c:v>
                </c:pt>
                <c:pt idx="40">
                  <c:v>5.3143407334395389</c:v>
                </c:pt>
                <c:pt idx="41">
                  <c:v>5.5866161187868544</c:v>
                </c:pt>
                <c:pt idx="42">
                  <c:v>5.8657568233728172</c:v>
                </c:pt>
                <c:pt idx="43">
                  <c:v>6.1517361406306446</c:v>
                </c:pt>
                <c:pt idx="44">
                  <c:v>6.4445271578649379</c:v>
                </c:pt>
                <c:pt idx="45">
                  <c:v>6.744102758153466</c:v>
                </c:pt>
                <c:pt idx="46">
                  <c:v>7.0504356223268356</c:v>
                </c:pt>
                <c:pt idx="47">
                  <c:v>7.363498231020392</c:v>
                </c:pt>
                <c:pt idx="48">
                  <c:v>7.6832628667932452</c:v>
                </c:pt>
                <c:pt idx="49">
                  <c:v>8.0097016163097514</c:v>
                </c:pt>
                <c:pt idx="50">
                  <c:v>8.3427863725792104</c:v>
                </c:pt>
                <c:pt idx="51">
                  <c:v>8.6824888372498776</c:v>
                </c:pt>
                <c:pt idx="52">
                  <c:v>9.0287805229537099</c:v>
                </c:pt>
                <c:pt idx="53">
                  <c:v>9.3816327556985435</c:v>
                </c:pt>
                <c:pt idx="54">
                  <c:v>9.7410166773046196</c:v>
                </c:pt>
                <c:pt idx="55">
                  <c:v>10.106903247882626</c:v>
                </c:pt>
                <c:pt idx="56">
                  <c:v>10.479263248350573</c:v>
                </c:pt>
                <c:pt idx="57">
                  <c:v>10.858067282987053</c:v>
                </c:pt>
                <c:pt idx="58">
                  <c:v>11.243285782018482</c:v>
                </c:pt>
                <c:pt idx="59">
                  <c:v>11.634889004238197</c:v>
                </c:pt>
                <c:pt idx="60">
                  <c:v>12.032847039655268</c:v>
                </c:pt>
                <c:pt idx="61">
                  <c:v>12.437129812171102</c:v>
                </c:pt>
                <c:pt idx="62">
                  <c:v>12.847707082281946</c:v>
                </c:pt>
                <c:pt idx="63">
                  <c:v>13.264548449805515</c:v>
                </c:pt>
                <c:pt idx="64">
                  <c:v>13.68762335663007</c:v>
                </c:pt>
                <c:pt idx="65">
                  <c:v>14.116901089484308</c:v>
                </c:pt>
                <c:pt idx="66">
                  <c:v>14.552350782726517</c:v>
                </c:pt>
                <c:pt idx="67">
                  <c:v>14.993941421151517</c:v>
                </c:pt>
                <c:pt idx="68">
                  <c:v>15.441641842813945</c:v>
                </c:pt>
                <c:pt idx="69">
                  <c:v>15.895420741866532</c:v>
                </c:pt>
                <c:pt idx="70">
                  <c:v>16.355246671412008</c:v>
                </c:pt>
                <c:pt idx="71">
                  <c:v>16.821088046367397</c:v>
                </c:pt>
                <c:pt idx="72">
                  <c:v>17.292913146339416</c:v>
                </c:pt>
                <c:pt idx="73">
                  <c:v>17.770690118509833</c:v>
                </c:pt>
                <c:pt idx="74">
                  <c:v>18.254386980529581</c:v>
                </c:pt>
                <c:pt idx="75">
                  <c:v>18.74397162342051</c:v>
                </c:pt>
                <c:pt idx="76">
                  <c:v>19.239411814483692</c:v>
                </c:pt>
                <c:pt idx="77">
                  <c:v>19.740675200213207</c:v>
                </c:pt>
                <c:pt idx="78">
                  <c:v>20.247729309214396</c:v>
                </c:pt>
                <c:pt idx="79">
                  <c:v>20.760541555125531</c:v>
                </c:pt>
                <c:pt idx="80">
                  <c:v>21.279079239541964</c:v>
                </c:pt>
                <c:pt idx="81">
                  <c:v>21.803309554941777</c:v>
                </c:pt>
                <c:pt idx="82">
                  <c:v>22.333199587612018</c:v>
                </c:pt>
                <c:pt idx="83">
                  <c:v>22.868716320574592</c:v>
                </c:pt>
                <c:pt idx="84">
                  <c:v>23.409826636510946</c:v>
                </c:pt>
                <c:pt idx="85">
                  <c:v>23.956497320684655</c:v>
                </c:pt>
                <c:pt idx="86">
                  <c:v>24.508695063861097</c:v>
                </c:pt>
                <c:pt idx="87">
                  <c:v>25.066386465223367</c:v>
                </c:pt>
                <c:pt idx="88">
                  <c:v>25.629538035283634</c:v>
                </c:pt>
                <c:pt idx="89">
                  <c:v>26.198116198789158</c:v>
                </c:pt>
                <c:pt idx="90">
                  <c:v>26.772087297622189</c:v>
                </c:pt>
                <c:pt idx="91">
                  <c:v>27.351417593693007</c:v>
                </c:pt>
                <c:pt idx="92">
                  <c:v>27.936073271825379</c:v>
                </c:pt>
                <c:pt idx="93">
                  <c:v>28.526020442633673</c:v>
                </c:pt>
                <c:pt idx="94">
                  <c:v>29.121225145391008</c:v>
                </c:pt>
                <c:pt idx="95">
                  <c:v>29.721653350887667</c:v>
                </c:pt>
                <c:pt idx="96">
                  <c:v>30.327270964279183</c:v>
                </c:pt>
                <c:pt idx="97">
                  <c:v>30.938043827923391</c:v>
                </c:pt>
                <c:pt idx="98">
                  <c:v>31.553937724205856</c:v>
                </c:pt>
                <c:pt idx="99">
                  <c:v>32.17491837835302</c:v>
                </c:pt>
                <c:pt idx="100">
                  <c:v>32.800951461232479</c:v>
                </c:pt>
                <c:pt idx="101">
                  <c:v>33.432002592139817</c:v>
                </c:pt>
                <c:pt idx="102">
                  <c:v>34.068037341571383</c:v>
                </c:pt>
                <c:pt idx="103">
                  <c:v>34.709021233982483</c:v>
                </c:pt>
                <c:pt idx="104">
                  <c:v>35.354919750530435</c:v>
                </c:pt>
                <c:pt idx="105">
                  <c:v>36.005698331801931</c:v>
                </c:pt>
                <c:pt idx="106">
                  <c:v>36.66132238052424</c:v>
                </c:pt>
                <c:pt idx="107">
                  <c:v>37.321757264259674</c:v>
                </c:pt>
                <c:pt idx="108">
                  <c:v>37.986968318082909</c:v>
                </c:pt>
                <c:pt idx="109">
                  <c:v>38.656920847240627</c:v>
                </c:pt>
                <c:pt idx="110">
                  <c:v>39.331580129793032</c:v>
                </c:pt>
                <c:pt idx="111">
                  <c:v>40.010911419236784</c:v>
                </c:pt>
                <c:pt idx="112">
                  <c:v>40.694879947108959</c:v>
                </c:pt>
                <c:pt idx="113">
                  <c:v>41.38345092557153</c:v>
                </c:pt>
                <c:pt idx="114">
                  <c:v>42.076589549976063</c:v>
                </c:pt>
                <c:pt idx="115">
                  <c:v>42.774261001408121</c:v>
                </c:pt>
                <c:pt idx="116">
                  <c:v>43.476430449211072</c:v>
                </c:pt>
                <c:pt idx="117">
                  <c:v>44.183063053488922</c:v>
                </c:pt>
                <c:pt idx="118">
                  <c:v>44.894123967587774</c:v>
                </c:pt>
                <c:pt idx="119">
                  <c:v>45.609578340555593</c:v>
                </c:pt>
                <c:pt idx="120">
                  <c:v>46.329391319579969</c:v>
                </c:pt>
                <c:pt idx="121">
                  <c:v>47.053528052403493</c:v>
                </c:pt>
                <c:pt idx="122">
                  <c:v>47.781953689716495</c:v>
                </c:pt>
                <c:pt idx="123">
                  <c:v>48.51463338752685</c:v>
                </c:pt>
                <c:pt idx="124">
                  <c:v>49.251532309506494</c:v>
                </c:pt>
                <c:pt idx="125">
                  <c:v>49.992615629314471</c:v>
                </c:pt>
                <c:pt idx="126">
                  <c:v>50.737848532896201</c:v>
                </c:pt>
                <c:pt idx="127">
                  <c:v>51.487196220758705</c:v>
                </c:pt>
                <c:pt idx="128">
                  <c:v>52.240623910221601</c:v>
                </c:pt>
                <c:pt idx="129">
                  <c:v>52.998096837643573</c:v>
                </c:pt>
                <c:pt idx="130">
                  <c:v>53.75958026062419</c:v>
                </c:pt>
                <c:pt idx="131">
                  <c:v>54.525039460180786</c:v>
                </c:pt>
                <c:pt idx="132">
                  <c:v>55.294439742900238</c:v>
                </c:pt>
                <c:pt idx="133">
                  <c:v>56.067746443065488</c:v>
                </c:pt>
                <c:pt idx="134">
                  <c:v>56.844924924756583</c:v>
                </c:pt>
                <c:pt idx="135">
                  <c:v>57.625940583926138</c:v>
                </c:pt>
                <c:pt idx="136">
                  <c:v>58.410758850449</c:v>
                </c:pt>
                <c:pt idx="137">
                  <c:v>59.199345190146033</c:v>
                </c:pt>
                <c:pt idx="138">
                  <c:v>59.991665106781845</c:v>
                </c:pt>
                <c:pt idx="139">
                  <c:v>60.78768414403639</c:v>
                </c:pt>
                <c:pt idx="140">
                  <c:v>61.587367887450284</c:v>
                </c:pt>
                <c:pt idx="141">
                  <c:v>62.390681966343777</c:v>
                </c:pt>
                <c:pt idx="142">
                  <c:v>63.197592055709251</c:v>
                </c:pt>
                <c:pt idx="143">
                  <c:v>64.008063878077195</c:v>
                </c:pt>
                <c:pt idx="144">
                  <c:v>64.822063205355548</c:v>
                </c:pt>
                <c:pt idx="145">
                  <c:v>65.639555860642417</c:v>
                </c:pt>
                <c:pt idx="146">
                  <c:v>66.46050772001206</c:v>
                </c:pt>
                <c:pt idx="147">
                  <c:v>67.284884714274057</c:v>
                </c:pt>
                <c:pt idx="148">
                  <c:v>68.112652830705727</c:v>
                </c:pt>
                <c:pt idx="149">
                  <c:v>68.943778114757677</c:v>
                </c:pt>
                <c:pt idx="150">
                  <c:v>69.778226671732568</c:v>
                </c:pt>
                <c:pt idx="151">
                  <c:v>70.615964668436916</c:v>
                </c:pt>
                <c:pt idx="152">
                  <c:v>71.456958334806131</c:v>
                </c:pt>
                <c:pt idx="153">
                  <c:v>72.301173965502642</c:v>
                </c:pt>
                <c:pt idx="154">
                  <c:v>73.148577921487203</c:v>
                </c:pt>
                <c:pt idx="155">
                  <c:v>73.999136631563331</c:v>
                </c:pt>
                <c:pt idx="156">
                  <c:v>74.852816593895056</c:v>
                </c:pt>
                <c:pt idx="157">
                  <c:v>75.709584377497791</c:v>
                </c:pt>
                <c:pt idx="158">
                  <c:v>76.56942584895377</c:v>
                </c:pt>
                <c:pt idx="159">
                  <c:v>77.432350912947911</c:v>
                </c:pt>
                <c:pt idx="160">
                  <c:v>78.298374201905489</c:v>
                </c:pt>
                <c:pt idx="161">
                  <c:v>79.167510250941604</c:v>
                </c:pt>
                <c:pt idx="162">
                  <c:v>80.039773497604742</c:v>
                </c:pt>
                <c:pt idx="163">
                  <c:v>80.915178281623454</c:v>
                </c:pt>
                <c:pt idx="164">
                  <c:v>81.793710585891262</c:v>
                </c:pt>
                <c:pt idx="165">
                  <c:v>82.675285738968839</c:v>
                </c:pt>
                <c:pt idx="166">
                  <c:v>83.559776934887225</c:v>
                </c:pt>
                <c:pt idx="167">
                  <c:v>84.447028980639615</c:v>
                </c:pt>
                <c:pt idx="168">
                  <c:v>85.336743127732262</c:v>
                </c:pt>
                <c:pt idx="169">
                  <c:v>86.228506457019563</c:v>
                </c:pt>
                <c:pt idx="170">
                  <c:v>87.121907639794912</c:v>
                </c:pt>
                <c:pt idx="171">
                  <c:v>88.016536973746426</c:v>
                </c:pt>
                <c:pt idx="172">
                  <c:v>88.911986415933924</c:v>
                </c:pt>
                <c:pt idx="173">
                  <c:v>89.807849612823077</c:v>
                </c:pt>
                <c:pt idx="174">
                  <c:v>90.703721927414378</c:v>
                </c:pt>
                <c:pt idx="175">
                  <c:v>91.599200463506833</c:v>
                </c:pt>
                <c:pt idx="176">
                  <c:v>92.493884087137914</c:v>
                </c:pt>
                <c:pt idx="177">
                  <c:v>93.387373445243014</c:v>
                </c:pt>
                <c:pt idx="178">
                  <c:v>94.279270981578861</c:v>
                </c:pt>
                <c:pt idx="179">
                  <c:v>95.169180949957124</c:v>
                </c:pt>
                <c:pt idx="180">
                  <c:v>96.056814500661389</c:v>
                </c:pt>
                <c:pt idx="181">
                  <c:v>96.941989187631137</c:v>
                </c:pt>
                <c:pt idx="182">
                  <c:v>97.824523393133248</c:v>
                </c:pt>
                <c:pt idx="183">
                  <c:v>98.704236323425704</c:v>
                </c:pt>
                <c:pt idx="184">
                  <c:v>99.581015459762511</c:v>
                </c:pt>
                <c:pt idx="185">
                  <c:v>100.45484513987745</c:v>
                </c:pt>
                <c:pt idx="186">
                  <c:v>101.32573864070235</c:v>
                </c:pt>
                <c:pt idx="187">
                  <c:v>102.19370913345134</c:v>
                </c:pt>
                <c:pt idx="188">
                  <c:v>103.05876968472141</c:v>
                </c:pt>
                <c:pt idx="189">
                  <c:v>103.92093325757882</c:v>
                </c:pt>
                <c:pt idx="190">
                  <c:v>104.78021271263111</c:v>
                </c:pt>
                <c:pt idx="191">
                  <c:v>105.63662080908526</c:v>
                </c:pt>
                <c:pt idx="192">
                  <c:v>106.49017020579207</c:v>
                </c:pt>
                <c:pt idx="193">
                  <c:v>107.34087346227705</c:v>
                </c:pt>
                <c:pt idx="194">
                  <c:v>108.18874303975794</c:v>
                </c:pt>
                <c:pt idx="195">
                  <c:v>109.03379130214917</c:v>
                </c:pt>
                <c:pt idx="196">
                  <c:v>109.87603051705337</c:v>
                </c:pt>
                <c:pt idx="197">
                  <c:v>110.71547285674016</c:v>
                </c:pt>
                <c:pt idx="198">
                  <c:v>111.55213039911251</c:v>
                </c:pt>
                <c:pt idx="199">
                  <c:v>112.38601512866065</c:v>
                </c:pt>
                <c:pt idx="200">
                  <c:v>113.21713893740392</c:v>
                </c:pt>
                <c:pt idx="201">
                  <c:v>121.37743989300272</c:v>
                </c:pt>
                <c:pt idx="202">
                  <c:v>129.26915840943906</c:v>
                </c:pt>
                <c:pt idx="203">
                  <c:v>136.90335100801678</c:v>
                </c:pt>
                <c:pt idx="204">
                  <c:v>144.29026049480095</c:v>
                </c:pt>
                <c:pt idx="205">
                  <c:v>151.43939243205682</c:v>
                </c:pt>
                <c:pt idx="206">
                  <c:v>158.35958270172321</c:v>
                </c:pt>
                <c:pt idx="207">
                  <c:v>165.05905738090735</c:v>
                </c:pt>
                <c:pt idx="208">
                  <c:v>171.54548595799542</c:v>
                </c:pt>
                <c:pt idx="209">
                  <c:v>177.82602876024026</c:v>
                </c:pt>
                <c:pt idx="210">
                  <c:v>183.90737933308407</c:v>
                </c:pt>
                <c:pt idx="211">
                  <c:v>189.79580240284557</c:v>
                </c:pt>
                <c:pt idx="212">
                  <c:v>195.49716796366587</c:v>
                </c:pt>
                <c:pt idx="213">
                  <c:v>201.01698195350619</c:v>
                </c:pt>
                <c:pt idx="214">
                  <c:v>206.36041391991728</c:v>
                </c:pt>
                <c:pt idx="215">
                  <c:v>211.53232202215091</c:v>
                </c:pt>
                <c:pt idx="216">
                  <c:v>216.53727567025916</c:v>
                </c:pt>
                <c:pt idx="217">
                  <c:v>221.37957606274551</c:v>
                </c:pt>
                <c:pt idx="218">
                  <c:v>226.06327485096458</c:v>
                </c:pt>
                <c:pt idx="219">
                  <c:v>230.59219112989055</c:v>
                </c:pt>
                <c:pt idx="220">
                  <c:v>234.96992693032703</c:v>
                </c:pt>
                <c:pt idx="221">
                  <c:v>239.19988136648496</c:v>
                </c:pt>
                <c:pt idx="222">
                  <c:v>243.28526357459015</c:v>
                </c:pt>
                <c:pt idx="223">
                  <c:v>247.22910456236411</c:v>
                </c:pt>
                <c:pt idx="224">
                  <c:v>251.03426807549025</c:v>
                </c:pt>
                <c:pt idx="225">
                  <c:v>254.70346057523042</c:v>
                </c:pt>
                <c:pt idx="226">
                  <c:v>258.23924041094114</c:v>
                </c:pt>
                <c:pt idx="227">
                  <c:v>261.64402626213899</c:v>
                </c:pt>
                <c:pt idx="228">
                  <c:v>264.92010491680662</c:v>
                </c:pt>
                <c:pt idx="229">
                  <c:v>268.06963844565797</c:v>
                </c:pt>
                <c:pt idx="230">
                  <c:v>271.09467082597052</c:v>
                </c:pt>
                <c:pt idx="231">
                  <c:v>273.99713406323673</c:v>
                </c:pt>
                <c:pt idx="232">
                  <c:v>276.77885385419501</c:v>
                </c:pt>
                <c:pt idx="233">
                  <c:v>279.4415548307017</c:v>
                </c:pt>
                <c:pt idx="234">
                  <c:v>281.98686542033994</c:v>
                </c:pt>
                <c:pt idx="235">
                  <c:v>284.41632235657846</c:v>
                </c:pt>
                <c:pt idx="236">
                  <c:v>286.73137486866523</c:v>
                </c:pt>
                <c:pt idx="237">
                  <c:v>288.93338857923601</c:v>
                </c:pt>
                <c:pt idx="238">
                  <c:v>291.02364913583546</c:v>
                </c:pt>
                <c:pt idx="239">
                  <c:v>293.00336560118114</c:v>
                </c:pt>
                <c:pt idx="240">
                  <c:v>294.87367362607557</c:v>
                </c:pt>
                <c:pt idx="241">
                  <c:v>296.63563842841364</c:v>
                </c:pt>
                <c:pt idx="242">
                  <c:v>298.29025760179991</c:v>
                </c:pt>
                <c:pt idx="243">
                  <c:v>299.83846377795135</c:v>
                </c:pt>
                <c:pt idx="244">
                  <c:v>301.28112716841173</c:v>
                </c:pt>
                <c:pt idx="245">
                  <c:v>302.61905801325429</c:v>
                </c:pt>
                <c:pt idx="246">
                  <c:v>303.85300896752813</c:v>
                </c:pt>
                <c:pt idx="247">
                  <c:v>304.98367746033074</c:v>
                </c:pt>
                <c:pt idx="248">
                  <c:v>306.01170806664669</c:v>
                </c:pt>
                <c:pt idx="249">
                  <c:v>306.93769493846571</c:v>
                </c:pt>
                <c:pt idx="250">
                  <c:v>307.76218434896589</c:v>
                </c:pt>
                <c:pt idx="251">
                  <c:v>308.48567741115079</c:v>
                </c:pt>
                <c:pt idx="252">
                  <c:v>309.10863303915647</c:v>
                </c:pt>
                <c:pt idx="253">
                  <c:v>309.6314712246342</c:v>
                </c:pt>
                <c:pt idx="254">
                  <c:v>310.05457669944644</c:v>
                </c:pt>
                <c:pt idx="255">
                  <c:v>310.37830304596787</c:v>
                </c:pt>
                <c:pt idx="256">
                  <c:v>310.60297729410752</c:v>
                </c:pt>
                <c:pt idx="257">
                  <c:v>310.72890500764521</c:v>
                </c:pt>
                <c:pt idx="258">
                  <c:v>310.75637581267</c:v>
                </c:pt>
                <c:pt idx="259">
                  <c:v>310.68566926365179</c:v>
                </c:pt>
                <c:pt idx="260">
                  <c:v>310.5170608885864</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er>
        <c:ser>
          <c:idx val="6"/>
          <c:order val="6"/>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SerName val="1"/>
          </c:dLbls>
          <c:xVal>
            <c:numRef>
              <c:f>Trajecto!$B$157</c:f>
              <c:numCache>
                <c:formatCode>General</c:formatCode>
                <c:ptCount val="1"/>
                <c:pt idx="0">
                  <c:v>2</c:v>
                </c:pt>
              </c:numCache>
            </c:numRef>
          </c:xVal>
          <c:yVal>
            <c:numRef>
              <c:f>Trajecto!$C$155</c:f>
              <c:numCache>
                <c:formatCode>0</c:formatCode>
                <c:ptCount val="1"/>
                <c:pt idx="0">
                  <c:v>155.2585304442932</c:v>
                </c:pt>
              </c:numCache>
            </c:numRef>
          </c:yVal>
        </c:ser>
        <c:ser>
          <c:idx val="7"/>
          <c:order val="7"/>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SerName val="1"/>
          </c:dLbls>
          <c:xVal>
            <c:numRef>
              <c:f>Trajecto!$B$158</c:f>
              <c:numCache>
                <c:formatCode>General</c:formatCode>
                <c:ptCount val="1"/>
                <c:pt idx="0">
                  <c:v>12.299999999999983</c:v>
                </c:pt>
              </c:numCache>
            </c:numRef>
          </c:xVal>
          <c:yVal>
            <c:numRef>
              <c:f>Trajecto!$C$156</c:f>
              <c:numCache>
                <c:formatCode>0</c:formatCode>
                <c:ptCount val="1"/>
                <c:pt idx="0">
                  <c:v>155.3644525038226</c:v>
                </c:pt>
              </c:numCache>
            </c:numRef>
          </c:yVal>
        </c:ser>
        <c:axId val="149275008"/>
        <c:axId val="149276928"/>
      </c:scatterChart>
      <c:valAx>
        <c:axId val="149275008"/>
        <c:scaling>
          <c:orientation val="minMax"/>
          <c:min val="0"/>
        </c:scaling>
        <c:axPos val="b"/>
        <c:majorGridlines>
          <c:spPr>
            <a:ln w="3175">
              <a:solidFill>
                <a:srgbClr val="000000"/>
              </a:solidFill>
              <a:prstDash val="sysDash"/>
            </a:ln>
          </c:spPr>
        </c:majorGridlines>
        <c:title>
          <c:tx>
            <c:strRef>
              <c:f>Trajecto!$B$112</c:f>
              <c:strCache>
                <c:ptCount val="1"/>
                <c:pt idx="0">
                  <c:v>Temps [s]</c:v>
                </c:pt>
              </c:strCache>
            </c:strRef>
          </c:tx>
          <c:layout>
            <c:manualLayout>
              <c:xMode val="edge"/>
              <c:yMode val="edge"/>
              <c:x val="0.60555551848391842"/>
              <c:y val="0.8513930569999506"/>
            </c:manualLayout>
          </c:layout>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spPr>
            <a:noFill/>
            <a:ln w="25400">
              <a:noFill/>
            </a:ln>
          </c:spPr>
        </c:title>
        <c:numFmt formatCode="General" sourceLinked="0"/>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200" b="1" i="0" u="none" strike="noStrike" baseline="0">
                <a:solidFill>
                  <a:srgbClr val="000000"/>
                </a:solidFill>
                <a:latin typeface="Arial"/>
                <a:ea typeface="Arial"/>
                <a:cs typeface="Arial"/>
              </a:defRPr>
            </a:pPr>
            <a:r>
              <a:rPr lang="fr-FR"/>
              <a:t>Forces</a:t>
            </a:r>
          </a:p>
        </c:rich>
      </c:tx>
      <c:layout/>
      <c:overlay val="1"/>
    </c:title>
    <c:plotArea>
      <c:layout>
        <c:manualLayout>
          <c:layoutTarget val="inner"/>
          <c:xMode val="edge"/>
          <c:yMode val="edge"/>
          <c:x val="0.11674528301886802"/>
          <c:y val="9.4771544282144501E-2"/>
          <c:w val="0.86438679245283023"/>
          <c:h val="0.74183243282920064"/>
        </c:manualLayout>
      </c:layout>
      <c:scatterChart>
        <c:scatterStyle val="lineMarker"/>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16.900099999999973</c:v>
                </c:pt>
                <c:pt idx="351">
                  <c:v>16.900199999999973</c:v>
                </c:pt>
                <c:pt idx="352">
                  <c:v>16.900299999999973</c:v>
                </c:pt>
                <c:pt idx="353">
                  <c:v>16.900399999999973</c:v>
                </c:pt>
                <c:pt idx="354">
                  <c:v>16.900499999999973</c:v>
                </c:pt>
                <c:pt idx="355">
                  <c:v>16.900599999999972</c:v>
                </c:pt>
                <c:pt idx="356">
                  <c:v>16.900699999999972</c:v>
                </c:pt>
                <c:pt idx="357">
                  <c:v>16.900799999999972</c:v>
                </c:pt>
                <c:pt idx="358">
                  <c:v>16.900899999999972</c:v>
                </c:pt>
                <c:pt idx="359">
                  <c:v>16.900999999999971</c:v>
                </c:pt>
                <c:pt idx="360">
                  <c:v>16.901099999999971</c:v>
                </c:pt>
                <c:pt idx="361">
                  <c:v>16.901199999999971</c:v>
                </c:pt>
                <c:pt idx="362">
                  <c:v>16.901299999999971</c:v>
                </c:pt>
                <c:pt idx="363">
                  <c:v>16.90139999999997</c:v>
                </c:pt>
                <c:pt idx="364">
                  <c:v>16.90149999999997</c:v>
                </c:pt>
                <c:pt idx="365">
                  <c:v>16.90159999999997</c:v>
                </c:pt>
                <c:pt idx="366">
                  <c:v>16.90169999999997</c:v>
                </c:pt>
                <c:pt idx="367">
                  <c:v>16.90179999999997</c:v>
                </c:pt>
                <c:pt idx="368">
                  <c:v>16.901899999999969</c:v>
                </c:pt>
                <c:pt idx="369">
                  <c:v>16.901999999999969</c:v>
                </c:pt>
                <c:pt idx="370">
                  <c:v>16.902099999999969</c:v>
                </c:pt>
                <c:pt idx="371">
                  <c:v>16.902199999999969</c:v>
                </c:pt>
                <c:pt idx="372">
                  <c:v>16.902299999999968</c:v>
                </c:pt>
                <c:pt idx="373">
                  <c:v>16.902399999999968</c:v>
                </c:pt>
                <c:pt idx="374">
                  <c:v>16.902499999999968</c:v>
                </c:pt>
                <c:pt idx="375">
                  <c:v>16.902599999999968</c:v>
                </c:pt>
                <c:pt idx="376">
                  <c:v>16.902699999999967</c:v>
                </c:pt>
                <c:pt idx="377">
                  <c:v>16.902799999999967</c:v>
                </c:pt>
                <c:pt idx="378">
                  <c:v>16.902899999999967</c:v>
                </c:pt>
                <c:pt idx="379">
                  <c:v>16.902999999999967</c:v>
                </c:pt>
                <c:pt idx="380">
                  <c:v>16.903099999999966</c:v>
                </c:pt>
                <c:pt idx="381">
                  <c:v>16.903199999999966</c:v>
                </c:pt>
                <c:pt idx="382">
                  <c:v>16.903299999999966</c:v>
                </c:pt>
                <c:pt idx="383">
                  <c:v>16.903399999999966</c:v>
                </c:pt>
                <c:pt idx="384">
                  <c:v>16.903499999999966</c:v>
                </c:pt>
                <c:pt idx="385">
                  <c:v>16.903599999999965</c:v>
                </c:pt>
                <c:pt idx="386">
                  <c:v>16.903699999999965</c:v>
                </c:pt>
                <c:pt idx="387">
                  <c:v>16.903799999999965</c:v>
                </c:pt>
                <c:pt idx="388">
                  <c:v>16.903899999999965</c:v>
                </c:pt>
                <c:pt idx="389">
                  <c:v>16.903999999999964</c:v>
                </c:pt>
                <c:pt idx="390">
                  <c:v>16.904099999999964</c:v>
                </c:pt>
                <c:pt idx="391">
                  <c:v>16.904199999999964</c:v>
                </c:pt>
                <c:pt idx="392">
                  <c:v>16.904299999999964</c:v>
                </c:pt>
                <c:pt idx="393">
                  <c:v>16.904399999999963</c:v>
                </c:pt>
                <c:pt idx="394">
                  <c:v>16.904499999999963</c:v>
                </c:pt>
                <c:pt idx="395">
                  <c:v>16.904599999999963</c:v>
                </c:pt>
                <c:pt idx="396">
                  <c:v>16.904699999999963</c:v>
                </c:pt>
                <c:pt idx="397">
                  <c:v>16.904799999999963</c:v>
                </c:pt>
                <c:pt idx="398">
                  <c:v>16.904899999999962</c:v>
                </c:pt>
                <c:pt idx="399">
                  <c:v>16.904999999999962</c:v>
                </c:pt>
                <c:pt idx="400">
                  <c:v>16.905099999999962</c:v>
                </c:pt>
                <c:pt idx="401">
                  <c:v>16.905199999999962</c:v>
                </c:pt>
                <c:pt idx="402">
                  <c:v>16.905299999999961</c:v>
                </c:pt>
                <c:pt idx="403">
                  <c:v>16.905399999999961</c:v>
                </c:pt>
                <c:pt idx="404">
                  <c:v>16.905499999999961</c:v>
                </c:pt>
                <c:pt idx="405">
                  <c:v>16.905599999999961</c:v>
                </c:pt>
                <c:pt idx="406">
                  <c:v>16.90569999999996</c:v>
                </c:pt>
                <c:pt idx="407">
                  <c:v>16.90579999999996</c:v>
                </c:pt>
                <c:pt idx="408">
                  <c:v>16.90589999999996</c:v>
                </c:pt>
                <c:pt idx="409">
                  <c:v>16.90599999999996</c:v>
                </c:pt>
                <c:pt idx="410">
                  <c:v>16.906099999999959</c:v>
                </c:pt>
                <c:pt idx="411">
                  <c:v>16.906199999999959</c:v>
                </c:pt>
                <c:pt idx="412">
                  <c:v>16.906299999999959</c:v>
                </c:pt>
                <c:pt idx="413">
                  <c:v>16.906399999999959</c:v>
                </c:pt>
                <c:pt idx="414">
                  <c:v>16.906499999999959</c:v>
                </c:pt>
                <c:pt idx="415">
                  <c:v>16.906599999999958</c:v>
                </c:pt>
                <c:pt idx="416">
                  <c:v>16.906699999999958</c:v>
                </c:pt>
                <c:pt idx="417">
                  <c:v>16.906799999999958</c:v>
                </c:pt>
                <c:pt idx="418">
                  <c:v>16.906899999999958</c:v>
                </c:pt>
                <c:pt idx="419">
                  <c:v>16.906999999999957</c:v>
                </c:pt>
                <c:pt idx="420">
                  <c:v>16.907099999999957</c:v>
                </c:pt>
                <c:pt idx="421">
                  <c:v>16.907199999999957</c:v>
                </c:pt>
                <c:pt idx="422">
                  <c:v>16.907299999999957</c:v>
                </c:pt>
                <c:pt idx="423">
                  <c:v>16.907399999999956</c:v>
                </c:pt>
                <c:pt idx="424">
                  <c:v>16.907499999999956</c:v>
                </c:pt>
                <c:pt idx="425">
                  <c:v>16.907599999999956</c:v>
                </c:pt>
                <c:pt idx="426">
                  <c:v>16.907699999999956</c:v>
                </c:pt>
                <c:pt idx="427">
                  <c:v>16.907799999999956</c:v>
                </c:pt>
                <c:pt idx="428">
                  <c:v>16.907899999999955</c:v>
                </c:pt>
                <c:pt idx="429">
                  <c:v>16.907999999999955</c:v>
                </c:pt>
                <c:pt idx="430">
                  <c:v>16.908099999999955</c:v>
                </c:pt>
                <c:pt idx="431">
                  <c:v>16.908199999999955</c:v>
                </c:pt>
                <c:pt idx="432">
                  <c:v>16.908299999999954</c:v>
                </c:pt>
                <c:pt idx="433">
                  <c:v>16.908399999999954</c:v>
                </c:pt>
                <c:pt idx="434">
                  <c:v>16.908499999999954</c:v>
                </c:pt>
                <c:pt idx="435">
                  <c:v>16.908599999999954</c:v>
                </c:pt>
                <c:pt idx="436">
                  <c:v>16.908699999999953</c:v>
                </c:pt>
                <c:pt idx="437">
                  <c:v>16.908799999999953</c:v>
                </c:pt>
                <c:pt idx="438">
                  <c:v>16.908899999999953</c:v>
                </c:pt>
                <c:pt idx="439">
                  <c:v>16.908999999999953</c:v>
                </c:pt>
                <c:pt idx="440">
                  <c:v>16.909099999999953</c:v>
                </c:pt>
                <c:pt idx="441">
                  <c:v>16.909199999999952</c:v>
                </c:pt>
                <c:pt idx="442">
                  <c:v>16.909299999999952</c:v>
                </c:pt>
                <c:pt idx="443">
                  <c:v>16.909399999999952</c:v>
                </c:pt>
                <c:pt idx="444">
                  <c:v>16.909499999999952</c:v>
                </c:pt>
                <c:pt idx="445">
                  <c:v>16.909599999999951</c:v>
                </c:pt>
                <c:pt idx="446">
                  <c:v>16.909699999999951</c:v>
                </c:pt>
                <c:pt idx="447">
                  <c:v>16.909799999999951</c:v>
                </c:pt>
                <c:pt idx="448">
                  <c:v>16.909899999999951</c:v>
                </c:pt>
                <c:pt idx="449">
                  <c:v>16.90999999999995</c:v>
                </c:pt>
                <c:pt idx="450">
                  <c:v>16.91009999999995</c:v>
                </c:pt>
                <c:pt idx="451">
                  <c:v>16.91019999999995</c:v>
                </c:pt>
                <c:pt idx="452">
                  <c:v>16.91029999999995</c:v>
                </c:pt>
                <c:pt idx="453">
                  <c:v>16.910399999999949</c:v>
                </c:pt>
                <c:pt idx="454">
                  <c:v>16.910499999999949</c:v>
                </c:pt>
                <c:pt idx="455">
                  <c:v>16.910599999999949</c:v>
                </c:pt>
                <c:pt idx="456">
                  <c:v>16.910699999999949</c:v>
                </c:pt>
                <c:pt idx="457">
                  <c:v>16.910799999999949</c:v>
                </c:pt>
                <c:pt idx="458">
                  <c:v>16.910899999999948</c:v>
                </c:pt>
                <c:pt idx="459">
                  <c:v>16.910999999999948</c:v>
                </c:pt>
                <c:pt idx="460">
                  <c:v>16.911099999999948</c:v>
                </c:pt>
                <c:pt idx="461">
                  <c:v>16.911199999999948</c:v>
                </c:pt>
                <c:pt idx="462">
                  <c:v>16.911299999999947</c:v>
                </c:pt>
                <c:pt idx="463">
                  <c:v>16.911399999999947</c:v>
                </c:pt>
                <c:pt idx="464">
                  <c:v>16.911499999999947</c:v>
                </c:pt>
                <c:pt idx="465">
                  <c:v>16.911599999999947</c:v>
                </c:pt>
                <c:pt idx="466">
                  <c:v>16.911699999999946</c:v>
                </c:pt>
                <c:pt idx="467">
                  <c:v>16.911799999999946</c:v>
                </c:pt>
                <c:pt idx="468">
                  <c:v>16.911899999999946</c:v>
                </c:pt>
                <c:pt idx="469">
                  <c:v>16.911999999999946</c:v>
                </c:pt>
                <c:pt idx="470">
                  <c:v>16.912099999999946</c:v>
                </c:pt>
                <c:pt idx="471">
                  <c:v>16.912199999999945</c:v>
                </c:pt>
                <c:pt idx="472">
                  <c:v>16.912299999999945</c:v>
                </c:pt>
                <c:pt idx="473">
                  <c:v>16.912399999999945</c:v>
                </c:pt>
                <c:pt idx="474">
                  <c:v>16.912499999999945</c:v>
                </c:pt>
                <c:pt idx="475">
                  <c:v>16.912599999999944</c:v>
                </c:pt>
                <c:pt idx="476">
                  <c:v>16.912699999999944</c:v>
                </c:pt>
                <c:pt idx="477">
                  <c:v>16.912799999999944</c:v>
                </c:pt>
                <c:pt idx="478">
                  <c:v>16.912899999999944</c:v>
                </c:pt>
                <c:pt idx="479">
                  <c:v>16.912999999999943</c:v>
                </c:pt>
                <c:pt idx="480">
                  <c:v>16.913099999999943</c:v>
                </c:pt>
                <c:pt idx="481">
                  <c:v>16.913199999999943</c:v>
                </c:pt>
                <c:pt idx="482">
                  <c:v>16.913299999999943</c:v>
                </c:pt>
                <c:pt idx="483">
                  <c:v>16.913399999999942</c:v>
                </c:pt>
                <c:pt idx="484">
                  <c:v>16.913499999999942</c:v>
                </c:pt>
                <c:pt idx="485">
                  <c:v>16.913599999999942</c:v>
                </c:pt>
                <c:pt idx="486">
                  <c:v>16.913699999999942</c:v>
                </c:pt>
                <c:pt idx="487">
                  <c:v>16.913799999999942</c:v>
                </c:pt>
                <c:pt idx="488">
                  <c:v>16.913899999999941</c:v>
                </c:pt>
                <c:pt idx="489">
                  <c:v>16.913999999999941</c:v>
                </c:pt>
                <c:pt idx="490">
                  <c:v>16.914099999999941</c:v>
                </c:pt>
                <c:pt idx="491">
                  <c:v>16.914199999999941</c:v>
                </c:pt>
                <c:pt idx="492">
                  <c:v>16.91429999999994</c:v>
                </c:pt>
                <c:pt idx="493">
                  <c:v>16.91439999999994</c:v>
                </c:pt>
                <c:pt idx="494">
                  <c:v>16.91449999999994</c:v>
                </c:pt>
                <c:pt idx="495">
                  <c:v>16.91459999999994</c:v>
                </c:pt>
                <c:pt idx="496">
                  <c:v>16.914699999999939</c:v>
                </c:pt>
                <c:pt idx="497">
                  <c:v>16.914799999999939</c:v>
                </c:pt>
                <c:pt idx="498">
                  <c:v>16.914899999999939</c:v>
                </c:pt>
                <c:pt idx="499">
                  <c:v>16.914999999999939</c:v>
                </c:pt>
                <c:pt idx="500">
                  <c:v>16.915099999999939</c:v>
                </c:pt>
                <c:pt idx="501">
                  <c:v>16.915199999999938</c:v>
                </c:pt>
                <c:pt idx="502">
                  <c:v>16.915299999999938</c:v>
                </c:pt>
                <c:pt idx="503">
                  <c:v>16.915399999999938</c:v>
                </c:pt>
                <c:pt idx="504">
                  <c:v>16.915499999999938</c:v>
                </c:pt>
                <c:pt idx="505">
                  <c:v>16.915599999999937</c:v>
                </c:pt>
                <c:pt idx="506">
                  <c:v>16.915699999999937</c:v>
                </c:pt>
                <c:pt idx="507">
                  <c:v>16.915799999999937</c:v>
                </c:pt>
                <c:pt idx="508">
                  <c:v>16.915899999999937</c:v>
                </c:pt>
                <c:pt idx="509">
                  <c:v>16.915999999999936</c:v>
                </c:pt>
                <c:pt idx="510">
                  <c:v>16.916099999999936</c:v>
                </c:pt>
                <c:pt idx="511">
                  <c:v>16.916199999999936</c:v>
                </c:pt>
                <c:pt idx="512">
                  <c:v>16.916299999999936</c:v>
                </c:pt>
                <c:pt idx="513">
                  <c:v>16.916399999999935</c:v>
                </c:pt>
                <c:pt idx="514">
                  <c:v>16.916499999999935</c:v>
                </c:pt>
                <c:pt idx="515">
                  <c:v>16.916599999999935</c:v>
                </c:pt>
                <c:pt idx="516">
                  <c:v>16.916699999999935</c:v>
                </c:pt>
                <c:pt idx="517">
                  <c:v>16.916799999999935</c:v>
                </c:pt>
                <c:pt idx="518">
                  <c:v>16.916899999999934</c:v>
                </c:pt>
                <c:pt idx="519">
                  <c:v>16.916999999999934</c:v>
                </c:pt>
                <c:pt idx="520">
                  <c:v>16.917099999999934</c:v>
                </c:pt>
                <c:pt idx="521">
                  <c:v>16.917199999999934</c:v>
                </c:pt>
                <c:pt idx="522">
                  <c:v>16.917299999999933</c:v>
                </c:pt>
                <c:pt idx="523">
                  <c:v>16.917399999999933</c:v>
                </c:pt>
                <c:pt idx="524">
                  <c:v>16.917499999999933</c:v>
                </c:pt>
                <c:pt idx="525">
                  <c:v>16.917599999999933</c:v>
                </c:pt>
                <c:pt idx="526">
                  <c:v>16.917699999999932</c:v>
                </c:pt>
                <c:pt idx="527">
                  <c:v>16.917799999999932</c:v>
                </c:pt>
                <c:pt idx="528">
                  <c:v>16.917899999999932</c:v>
                </c:pt>
                <c:pt idx="529">
                  <c:v>16.917999999999932</c:v>
                </c:pt>
                <c:pt idx="530">
                  <c:v>16.918099999999932</c:v>
                </c:pt>
                <c:pt idx="531">
                  <c:v>16.918199999999931</c:v>
                </c:pt>
                <c:pt idx="532">
                  <c:v>16.918299999999931</c:v>
                </c:pt>
                <c:pt idx="533">
                  <c:v>16.918399999999931</c:v>
                </c:pt>
                <c:pt idx="534">
                  <c:v>16.918499999999931</c:v>
                </c:pt>
                <c:pt idx="535">
                  <c:v>16.91859999999993</c:v>
                </c:pt>
                <c:pt idx="536">
                  <c:v>16.91869999999993</c:v>
                </c:pt>
                <c:pt idx="537">
                  <c:v>16.91879999999993</c:v>
                </c:pt>
                <c:pt idx="538">
                  <c:v>16.91889999999993</c:v>
                </c:pt>
                <c:pt idx="539">
                  <c:v>16.918999999999929</c:v>
                </c:pt>
                <c:pt idx="540">
                  <c:v>16.919099999999929</c:v>
                </c:pt>
                <c:pt idx="541">
                  <c:v>16.919199999999929</c:v>
                </c:pt>
                <c:pt idx="542">
                  <c:v>16.919299999999929</c:v>
                </c:pt>
                <c:pt idx="543">
                  <c:v>16.919399999999928</c:v>
                </c:pt>
                <c:pt idx="544">
                  <c:v>16.919499999999928</c:v>
                </c:pt>
                <c:pt idx="545">
                  <c:v>16.919599999999928</c:v>
                </c:pt>
                <c:pt idx="546">
                  <c:v>16.919699999999928</c:v>
                </c:pt>
                <c:pt idx="547">
                  <c:v>16.919799999999928</c:v>
                </c:pt>
                <c:pt idx="548">
                  <c:v>16.919899999999927</c:v>
                </c:pt>
                <c:pt idx="549">
                  <c:v>16.919999999999927</c:v>
                </c:pt>
                <c:pt idx="550">
                  <c:v>16.920099999999927</c:v>
                </c:pt>
                <c:pt idx="551">
                  <c:v>16.920199999999927</c:v>
                </c:pt>
                <c:pt idx="552">
                  <c:v>16.920299999999926</c:v>
                </c:pt>
                <c:pt idx="553">
                  <c:v>16.920399999999926</c:v>
                </c:pt>
                <c:pt idx="554">
                  <c:v>16.920499999999926</c:v>
                </c:pt>
                <c:pt idx="555">
                  <c:v>16.920599999999926</c:v>
                </c:pt>
                <c:pt idx="556">
                  <c:v>16.920699999999925</c:v>
                </c:pt>
                <c:pt idx="557">
                  <c:v>16.920799999999925</c:v>
                </c:pt>
                <c:pt idx="558">
                  <c:v>16.920899999999925</c:v>
                </c:pt>
                <c:pt idx="559">
                  <c:v>16.920999999999925</c:v>
                </c:pt>
                <c:pt idx="560">
                  <c:v>16.921099999999925</c:v>
                </c:pt>
                <c:pt idx="561">
                  <c:v>16.921199999999924</c:v>
                </c:pt>
                <c:pt idx="562">
                  <c:v>16.921299999999924</c:v>
                </c:pt>
                <c:pt idx="563">
                  <c:v>16.921399999999924</c:v>
                </c:pt>
                <c:pt idx="564">
                  <c:v>16.921499999999924</c:v>
                </c:pt>
                <c:pt idx="565">
                  <c:v>16.921599999999923</c:v>
                </c:pt>
                <c:pt idx="566">
                  <c:v>16.921699999999923</c:v>
                </c:pt>
                <c:pt idx="567">
                  <c:v>16.921799999999923</c:v>
                </c:pt>
                <c:pt idx="568">
                  <c:v>16.921899999999923</c:v>
                </c:pt>
                <c:pt idx="569">
                  <c:v>16.921999999999922</c:v>
                </c:pt>
                <c:pt idx="570">
                  <c:v>16.922099999999922</c:v>
                </c:pt>
                <c:pt idx="571">
                  <c:v>16.922199999999922</c:v>
                </c:pt>
                <c:pt idx="572">
                  <c:v>16.922299999999922</c:v>
                </c:pt>
                <c:pt idx="573">
                  <c:v>16.922399999999922</c:v>
                </c:pt>
                <c:pt idx="574">
                  <c:v>16.922499999999921</c:v>
                </c:pt>
                <c:pt idx="575">
                  <c:v>16.922599999999921</c:v>
                </c:pt>
                <c:pt idx="576">
                  <c:v>16.922699999999921</c:v>
                </c:pt>
                <c:pt idx="577">
                  <c:v>16.922799999999921</c:v>
                </c:pt>
                <c:pt idx="578">
                  <c:v>16.92289999999992</c:v>
                </c:pt>
                <c:pt idx="579">
                  <c:v>16.92299999999992</c:v>
                </c:pt>
                <c:pt idx="580">
                  <c:v>16.92309999999992</c:v>
                </c:pt>
                <c:pt idx="581">
                  <c:v>16.92319999999992</c:v>
                </c:pt>
                <c:pt idx="582">
                  <c:v>16.923299999999919</c:v>
                </c:pt>
                <c:pt idx="583">
                  <c:v>16.923399999999919</c:v>
                </c:pt>
                <c:pt idx="584">
                  <c:v>16.923499999999919</c:v>
                </c:pt>
                <c:pt idx="585">
                  <c:v>16.923599999999919</c:v>
                </c:pt>
                <c:pt idx="586">
                  <c:v>16.923699999999918</c:v>
                </c:pt>
                <c:pt idx="587">
                  <c:v>16.923799999999918</c:v>
                </c:pt>
                <c:pt idx="588">
                  <c:v>16.923899999999918</c:v>
                </c:pt>
                <c:pt idx="589">
                  <c:v>16.923999999999918</c:v>
                </c:pt>
                <c:pt idx="590">
                  <c:v>16.924099999999918</c:v>
                </c:pt>
                <c:pt idx="591">
                  <c:v>16.924199999999917</c:v>
                </c:pt>
                <c:pt idx="592">
                  <c:v>16.924299999999917</c:v>
                </c:pt>
                <c:pt idx="593">
                  <c:v>16.924399999999917</c:v>
                </c:pt>
                <c:pt idx="594">
                  <c:v>16.924499999999917</c:v>
                </c:pt>
                <c:pt idx="595">
                  <c:v>16.924599999999916</c:v>
                </c:pt>
                <c:pt idx="596">
                  <c:v>16.924699999999916</c:v>
                </c:pt>
                <c:pt idx="597">
                  <c:v>16.924799999999916</c:v>
                </c:pt>
                <c:pt idx="598">
                  <c:v>16.924899999999916</c:v>
                </c:pt>
                <c:pt idx="599">
                  <c:v>16.924999999999915</c:v>
                </c:pt>
                <c:pt idx="600">
                  <c:v>16.925099999999915</c:v>
                </c:pt>
                <c:pt idx="601">
                  <c:v>16.925199999999915</c:v>
                </c:pt>
                <c:pt idx="602">
                  <c:v>16.925299999999915</c:v>
                </c:pt>
                <c:pt idx="603">
                  <c:v>16.925399999999915</c:v>
                </c:pt>
                <c:pt idx="604">
                  <c:v>16.925499999999914</c:v>
                </c:pt>
                <c:pt idx="605">
                  <c:v>16.925599999999914</c:v>
                </c:pt>
                <c:pt idx="606">
                  <c:v>16.925699999999914</c:v>
                </c:pt>
                <c:pt idx="607">
                  <c:v>16.925799999999914</c:v>
                </c:pt>
                <c:pt idx="608">
                  <c:v>16.925899999999913</c:v>
                </c:pt>
                <c:pt idx="609">
                  <c:v>16.925999999999913</c:v>
                </c:pt>
                <c:pt idx="610">
                  <c:v>16.926099999999913</c:v>
                </c:pt>
                <c:pt idx="611">
                  <c:v>16.926199999999913</c:v>
                </c:pt>
                <c:pt idx="612">
                  <c:v>16.926299999999912</c:v>
                </c:pt>
                <c:pt idx="613">
                  <c:v>16.926399999999912</c:v>
                </c:pt>
                <c:pt idx="614">
                  <c:v>16.926499999999912</c:v>
                </c:pt>
                <c:pt idx="615">
                  <c:v>16.926599999999912</c:v>
                </c:pt>
                <c:pt idx="616">
                  <c:v>16.926699999999911</c:v>
                </c:pt>
                <c:pt idx="617">
                  <c:v>16.926799999999911</c:v>
                </c:pt>
                <c:pt idx="618">
                  <c:v>16.926899999999911</c:v>
                </c:pt>
                <c:pt idx="619">
                  <c:v>16.926999999999911</c:v>
                </c:pt>
                <c:pt idx="620">
                  <c:v>16.927099999999911</c:v>
                </c:pt>
                <c:pt idx="621">
                  <c:v>16.92719999999991</c:v>
                </c:pt>
                <c:pt idx="622">
                  <c:v>16.92729999999991</c:v>
                </c:pt>
                <c:pt idx="623">
                  <c:v>16.92739999999991</c:v>
                </c:pt>
                <c:pt idx="624">
                  <c:v>16.92749999999991</c:v>
                </c:pt>
                <c:pt idx="625">
                  <c:v>16.927599999999909</c:v>
                </c:pt>
                <c:pt idx="626">
                  <c:v>16.927699999999909</c:v>
                </c:pt>
                <c:pt idx="627">
                  <c:v>16.927799999999909</c:v>
                </c:pt>
                <c:pt idx="628">
                  <c:v>16.927899999999909</c:v>
                </c:pt>
                <c:pt idx="629">
                  <c:v>16.927999999999908</c:v>
                </c:pt>
                <c:pt idx="630">
                  <c:v>16.928099999999908</c:v>
                </c:pt>
                <c:pt idx="631">
                  <c:v>16.928199999999908</c:v>
                </c:pt>
                <c:pt idx="632">
                  <c:v>16.928299999999908</c:v>
                </c:pt>
                <c:pt idx="633">
                  <c:v>16.928399999999908</c:v>
                </c:pt>
                <c:pt idx="634">
                  <c:v>16.928499999999907</c:v>
                </c:pt>
                <c:pt idx="635">
                  <c:v>16.928599999999907</c:v>
                </c:pt>
                <c:pt idx="636">
                  <c:v>16.928699999999907</c:v>
                </c:pt>
                <c:pt idx="637">
                  <c:v>16.928799999999907</c:v>
                </c:pt>
                <c:pt idx="638">
                  <c:v>16.928899999999906</c:v>
                </c:pt>
                <c:pt idx="639">
                  <c:v>16.928999999999906</c:v>
                </c:pt>
                <c:pt idx="640">
                  <c:v>16.929099999999906</c:v>
                </c:pt>
                <c:pt idx="641">
                  <c:v>16.929199999999906</c:v>
                </c:pt>
                <c:pt idx="642">
                  <c:v>16.929299999999905</c:v>
                </c:pt>
                <c:pt idx="643">
                  <c:v>16.929399999999905</c:v>
                </c:pt>
                <c:pt idx="644">
                  <c:v>16.929499999999905</c:v>
                </c:pt>
                <c:pt idx="645">
                  <c:v>16.929599999999905</c:v>
                </c:pt>
                <c:pt idx="646">
                  <c:v>16.929699999999904</c:v>
                </c:pt>
                <c:pt idx="647">
                  <c:v>16.929799999999904</c:v>
                </c:pt>
                <c:pt idx="648">
                  <c:v>16.929899999999904</c:v>
                </c:pt>
                <c:pt idx="649">
                  <c:v>16.929999999999904</c:v>
                </c:pt>
                <c:pt idx="650">
                  <c:v>16.930099999999904</c:v>
                </c:pt>
                <c:pt idx="651">
                  <c:v>16.930199999999903</c:v>
                </c:pt>
                <c:pt idx="652">
                  <c:v>16.930299999999903</c:v>
                </c:pt>
                <c:pt idx="653">
                  <c:v>16.930399999999903</c:v>
                </c:pt>
                <c:pt idx="654">
                  <c:v>16.930499999999903</c:v>
                </c:pt>
                <c:pt idx="655">
                  <c:v>16.930599999999902</c:v>
                </c:pt>
                <c:pt idx="656">
                  <c:v>16.930699999999902</c:v>
                </c:pt>
                <c:pt idx="657">
                  <c:v>16.930799999999902</c:v>
                </c:pt>
                <c:pt idx="658">
                  <c:v>16.930899999999902</c:v>
                </c:pt>
                <c:pt idx="659">
                  <c:v>16.930999999999901</c:v>
                </c:pt>
                <c:pt idx="660">
                  <c:v>16.931099999999901</c:v>
                </c:pt>
                <c:pt idx="661">
                  <c:v>16.931199999999901</c:v>
                </c:pt>
                <c:pt idx="662">
                  <c:v>16.931299999999901</c:v>
                </c:pt>
                <c:pt idx="663">
                  <c:v>16.931399999999901</c:v>
                </c:pt>
                <c:pt idx="664">
                  <c:v>16.9314999999999</c:v>
                </c:pt>
                <c:pt idx="665">
                  <c:v>16.9315999999999</c:v>
                </c:pt>
                <c:pt idx="666">
                  <c:v>16.9316999999999</c:v>
                </c:pt>
                <c:pt idx="667">
                  <c:v>16.9317999999999</c:v>
                </c:pt>
                <c:pt idx="668">
                  <c:v>16.931899999999899</c:v>
                </c:pt>
                <c:pt idx="669">
                  <c:v>16.931999999999899</c:v>
                </c:pt>
                <c:pt idx="670">
                  <c:v>16.932099999999899</c:v>
                </c:pt>
                <c:pt idx="671">
                  <c:v>16.932199999999899</c:v>
                </c:pt>
                <c:pt idx="672">
                  <c:v>16.932299999999898</c:v>
                </c:pt>
                <c:pt idx="673">
                  <c:v>16.932399999999898</c:v>
                </c:pt>
                <c:pt idx="674">
                  <c:v>16.932499999999898</c:v>
                </c:pt>
                <c:pt idx="675">
                  <c:v>16.932599999999898</c:v>
                </c:pt>
                <c:pt idx="676">
                  <c:v>16.932699999999897</c:v>
                </c:pt>
                <c:pt idx="677">
                  <c:v>16.932799999999897</c:v>
                </c:pt>
                <c:pt idx="678">
                  <c:v>16.932899999999897</c:v>
                </c:pt>
                <c:pt idx="679">
                  <c:v>16.932999999999897</c:v>
                </c:pt>
                <c:pt idx="680">
                  <c:v>16.933099999999897</c:v>
                </c:pt>
                <c:pt idx="681">
                  <c:v>16.933199999999896</c:v>
                </c:pt>
                <c:pt idx="682">
                  <c:v>16.933299999999896</c:v>
                </c:pt>
                <c:pt idx="683">
                  <c:v>16.933399999999896</c:v>
                </c:pt>
                <c:pt idx="684">
                  <c:v>16.933499999999896</c:v>
                </c:pt>
                <c:pt idx="685">
                  <c:v>16.933599999999895</c:v>
                </c:pt>
                <c:pt idx="686">
                  <c:v>16.933699999999895</c:v>
                </c:pt>
                <c:pt idx="687">
                  <c:v>16.933799999999895</c:v>
                </c:pt>
                <c:pt idx="688">
                  <c:v>16.933899999999895</c:v>
                </c:pt>
                <c:pt idx="689">
                  <c:v>16.933999999999894</c:v>
                </c:pt>
                <c:pt idx="690">
                  <c:v>16.934099999999894</c:v>
                </c:pt>
                <c:pt idx="691">
                  <c:v>16.934199999999894</c:v>
                </c:pt>
                <c:pt idx="692">
                  <c:v>16.934299999999894</c:v>
                </c:pt>
                <c:pt idx="693">
                  <c:v>16.934399999999894</c:v>
                </c:pt>
                <c:pt idx="694">
                  <c:v>16.934499999999893</c:v>
                </c:pt>
                <c:pt idx="695">
                  <c:v>16.934599999999893</c:v>
                </c:pt>
                <c:pt idx="696">
                  <c:v>16.934699999999893</c:v>
                </c:pt>
                <c:pt idx="697">
                  <c:v>16.934799999999893</c:v>
                </c:pt>
                <c:pt idx="698">
                  <c:v>16.934899999999892</c:v>
                </c:pt>
                <c:pt idx="699">
                  <c:v>16.934999999999892</c:v>
                </c:pt>
                <c:pt idx="700">
                  <c:v>16.935099999999892</c:v>
                </c:pt>
                <c:pt idx="701">
                  <c:v>16.935199999999892</c:v>
                </c:pt>
                <c:pt idx="702">
                  <c:v>16.935299999999891</c:v>
                </c:pt>
                <c:pt idx="703">
                  <c:v>16.935399999999891</c:v>
                </c:pt>
                <c:pt idx="704">
                  <c:v>16.935499999999891</c:v>
                </c:pt>
                <c:pt idx="705">
                  <c:v>16.935599999999891</c:v>
                </c:pt>
                <c:pt idx="706">
                  <c:v>16.935699999999891</c:v>
                </c:pt>
                <c:pt idx="707">
                  <c:v>16.93579999999989</c:v>
                </c:pt>
                <c:pt idx="708">
                  <c:v>16.93589999999989</c:v>
                </c:pt>
                <c:pt idx="709">
                  <c:v>16.93599999999989</c:v>
                </c:pt>
                <c:pt idx="710">
                  <c:v>16.93609999999989</c:v>
                </c:pt>
                <c:pt idx="711">
                  <c:v>16.936199999999889</c:v>
                </c:pt>
                <c:pt idx="712">
                  <c:v>16.936299999999889</c:v>
                </c:pt>
                <c:pt idx="713">
                  <c:v>16.936399999999889</c:v>
                </c:pt>
                <c:pt idx="714">
                  <c:v>16.936499999999889</c:v>
                </c:pt>
                <c:pt idx="715">
                  <c:v>16.936599999999888</c:v>
                </c:pt>
                <c:pt idx="716">
                  <c:v>16.936699999999888</c:v>
                </c:pt>
                <c:pt idx="717">
                  <c:v>16.936799999999888</c:v>
                </c:pt>
                <c:pt idx="718">
                  <c:v>16.936899999999888</c:v>
                </c:pt>
                <c:pt idx="719">
                  <c:v>16.936999999999887</c:v>
                </c:pt>
                <c:pt idx="720">
                  <c:v>16.937099999999887</c:v>
                </c:pt>
                <c:pt idx="721">
                  <c:v>16.937199999999887</c:v>
                </c:pt>
                <c:pt idx="722">
                  <c:v>16.937299999999887</c:v>
                </c:pt>
                <c:pt idx="723">
                  <c:v>16.937399999999887</c:v>
                </c:pt>
                <c:pt idx="724">
                  <c:v>16.937499999999886</c:v>
                </c:pt>
                <c:pt idx="725">
                  <c:v>16.937599999999886</c:v>
                </c:pt>
                <c:pt idx="726">
                  <c:v>16.937699999999886</c:v>
                </c:pt>
                <c:pt idx="727">
                  <c:v>16.937799999999886</c:v>
                </c:pt>
                <c:pt idx="728">
                  <c:v>16.937899999999885</c:v>
                </c:pt>
                <c:pt idx="729">
                  <c:v>16.937999999999885</c:v>
                </c:pt>
                <c:pt idx="730">
                  <c:v>16.938099999999885</c:v>
                </c:pt>
                <c:pt idx="731">
                  <c:v>16.938199999999885</c:v>
                </c:pt>
                <c:pt idx="732">
                  <c:v>16.938299999999884</c:v>
                </c:pt>
                <c:pt idx="733">
                  <c:v>16.938399999999884</c:v>
                </c:pt>
                <c:pt idx="734">
                  <c:v>16.938499999999884</c:v>
                </c:pt>
                <c:pt idx="735">
                  <c:v>16.938599999999884</c:v>
                </c:pt>
                <c:pt idx="736">
                  <c:v>16.938699999999884</c:v>
                </c:pt>
                <c:pt idx="737">
                  <c:v>16.938799999999883</c:v>
                </c:pt>
                <c:pt idx="738">
                  <c:v>16.938899999999883</c:v>
                </c:pt>
                <c:pt idx="739">
                  <c:v>16.938999999999883</c:v>
                </c:pt>
                <c:pt idx="740">
                  <c:v>16.939099999999883</c:v>
                </c:pt>
                <c:pt idx="741">
                  <c:v>16.939199999999882</c:v>
                </c:pt>
                <c:pt idx="742">
                  <c:v>16.939299999999882</c:v>
                </c:pt>
                <c:pt idx="743">
                  <c:v>16.939399999999882</c:v>
                </c:pt>
                <c:pt idx="744">
                  <c:v>16.939499999999882</c:v>
                </c:pt>
                <c:pt idx="745">
                  <c:v>16.939599999999881</c:v>
                </c:pt>
                <c:pt idx="746">
                  <c:v>16.939699999999881</c:v>
                </c:pt>
                <c:pt idx="747">
                  <c:v>16.939799999999881</c:v>
                </c:pt>
                <c:pt idx="748">
                  <c:v>16.939899999999881</c:v>
                </c:pt>
                <c:pt idx="749">
                  <c:v>16.93999999999988</c:v>
                </c:pt>
                <c:pt idx="750">
                  <c:v>16.94009999999988</c:v>
                </c:pt>
                <c:pt idx="751">
                  <c:v>16.94019999999988</c:v>
                </c:pt>
                <c:pt idx="752">
                  <c:v>16.94029999999988</c:v>
                </c:pt>
                <c:pt idx="753">
                  <c:v>16.94039999999988</c:v>
                </c:pt>
                <c:pt idx="754">
                  <c:v>16.940499999999879</c:v>
                </c:pt>
                <c:pt idx="755">
                  <c:v>16.940599999999879</c:v>
                </c:pt>
                <c:pt idx="756">
                  <c:v>16.940699999999879</c:v>
                </c:pt>
                <c:pt idx="757">
                  <c:v>16.940799999999879</c:v>
                </c:pt>
                <c:pt idx="758">
                  <c:v>16.940899999999878</c:v>
                </c:pt>
                <c:pt idx="759">
                  <c:v>16.940999999999878</c:v>
                </c:pt>
                <c:pt idx="760">
                  <c:v>16.941099999999878</c:v>
                </c:pt>
                <c:pt idx="761">
                  <c:v>16.941199999999878</c:v>
                </c:pt>
                <c:pt idx="762">
                  <c:v>16.941299999999877</c:v>
                </c:pt>
                <c:pt idx="763">
                  <c:v>16.941399999999877</c:v>
                </c:pt>
                <c:pt idx="764">
                  <c:v>16.941499999999877</c:v>
                </c:pt>
                <c:pt idx="765">
                  <c:v>16.941599999999877</c:v>
                </c:pt>
                <c:pt idx="766">
                  <c:v>16.941699999999877</c:v>
                </c:pt>
                <c:pt idx="767">
                  <c:v>16.941799999999876</c:v>
                </c:pt>
                <c:pt idx="768">
                  <c:v>16.941899999999876</c:v>
                </c:pt>
                <c:pt idx="769">
                  <c:v>16.941999999999876</c:v>
                </c:pt>
                <c:pt idx="770">
                  <c:v>16.942099999999876</c:v>
                </c:pt>
                <c:pt idx="771">
                  <c:v>16.942199999999875</c:v>
                </c:pt>
                <c:pt idx="772">
                  <c:v>16.942299999999875</c:v>
                </c:pt>
                <c:pt idx="773">
                  <c:v>16.942399999999875</c:v>
                </c:pt>
                <c:pt idx="774">
                  <c:v>16.942499999999875</c:v>
                </c:pt>
                <c:pt idx="775">
                  <c:v>16.942599999999874</c:v>
                </c:pt>
                <c:pt idx="776">
                  <c:v>16.942699999999874</c:v>
                </c:pt>
                <c:pt idx="777">
                  <c:v>16.942799999999874</c:v>
                </c:pt>
                <c:pt idx="778">
                  <c:v>16.942899999999874</c:v>
                </c:pt>
                <c:pt idx="779">
                  <c:v>16.942999999999873</c:v>
                </c:pt>
                <c:pt idx="780">
                  <c:v>16.943099999999873</c:v>
                </c:pt>
                <c:pt idx="781">
                  <c:v>16.943199999999873</c:v>
                </c:pt>
                <c:pt idx="782">
                  <c:v>16.943299999999873</c:v>
                </c:pt>
                <c:pt idx="783">
                  <c:v>16.943399999999873</c:v>
                </c:pt>
                <c:pt idx="784">
                  <c:v>16.943499999999872</c:v>
                </c:pt>
                <c:pt idx="785">
                  <c:v>16.943599999999872</c:v>
                </c:pt>
                <c:pt idx="786">
                  <c:v>16.943699999999872</c:v>
                </c:pt>
                <c:pt idx="787">
                  <c:v>16.943799999999872</c:v>
                </c:pt>
                <c:pt idx="788">
                  <c:v>16.943899999999871</c:v>
                </c:pt>
                <c:pt idx="789">
                  <c:v>16.943999999999871</c:v>
                </c:pt>
                <c:pt idx="790">
                  <c:v>16.944099999999871</c:v>
                </c:pt>
                <c:pt idx="791">
                  <c:v>16.944199999999871</c:v>
                </c:pt>
                <c:pt idx="792">
                  <c:v>16.94429999999987</c:v>
                </c:pt>
                <c:pt idx="793">
                  <c:v>16.94439999999987</c:v>
                </c:pt>
                <c:pt idx="794">
                  <c:v>16.94449999999987</c:v>
                </c:pt>
                <c:pt idx="795">
                  <c:v>16.94459999999987</c:v>
                </c:pt>
                <c:pt idx="796">
                  <c:v>16.94469999999987</c:v>
                </c:pt>
                <c:pt idx="797">
                  <c:v>16.944799999999869</c:v>
                </c:pt>
                <c:pt idx="798">
                  <c:v>16.944899999999869</c:v>
                </c:pt>
                <c:pt idx="799">
                  <c:v>16.944999999999869</c:v>
                </c:pt>
                <c:pt idx="800">
                  <c:v>16.945099999999869</c:v>
                </c:pt>
                <c:pt idx="801">
                  <c:v>16.945199999999868</c:v>
                </c:pt>
                <c:pt idx="802">
                  <c:v>16.945299999999868</c:v>
                </c:pt>
                <c:pt idx="803">
                  <c:v>16.945399999999868</c:v>
                </c:pt>
                <c:pt idx="804">
                  <c:v>16.945499999999868</c:v>
                </c:pt>
                <c:pt idx="805">
                  <c:v>16.945599999999867</c:v>
                </c:pt>
                <c:pt idx="806">
                  <c:v>16.945699999999867</c:v>
                </c:pt>
                <c:pt idx="807">
                  <c:v>16.945799999999867</c:v>
                </c:pt>
                <c:pt idx="808">
                  <c:v>16.945899999999867</c:v>
                </c:pt>
                <c:pt idx="809">
                  <c:v>16.945999999999867</c:v>
                </c:pt>
                <c:pt idx="810">
                  <c:v>16.946099999999866</c:v>
                </c:pt>
                <c:pt idx="811">
                  <c:v>16.946199999999866</c:v>
                </c:pt>
                <c:pt idx="812">
                  <c:v>16.946299999999866</c:v>
                </c:pt>
                <c:pt idx="813">
                  <c:v>16.946399999999866</c:v>
                </c:pt>
                <c:pt idx="814">
                  <c:v>16.946499999999865</c:v>
                </c:pt>
                <c:pt idx="815">
                  <c:v>16.946599999999865</c:v>
                </c:pt>
                <c:pt idx="816">
                  <c:v>16.946699999999865</c:v>
                </c:pt>
                <c:pt idx="817">
                  <c:v>16.946799999999865</c:v>
                </c:pt>
                <c:pt idx="818">
                  <c:v>16.946899999999864</c:v>
                </c:pt>
                <c:pt idx="819">
                  <c:v>16.946999999999864</c:v>
                </c:pt>
                <c:pt idx="820">
                  <c:v>16.947099999999864</c:v>
                </c:pt>
                <c:pt idx="821">
                  <c:v>16.947199999999864</c:v>
                </c:pt>
                <c:pt idx="822">
                  <c:v>16.947299999999863</c:v>
                </c:pt>
                <c:pt idx="823">
                  <c:v>16.947399999999863</c:v>
                </c:pt>
                <c:pt idx="824">
                  <c:v>16.947499999999863</c:v>
                </c:pt>
                <c:pt idx="825">
                  <c:v>16.947599999999863</c:v>
                </c:pt>
                <c:pt idx="826">
                  <c:v>16.947699999999863</c:v>
                </c:pt>
                <c:pt idx="827">
                  <c:v>16.947799999999862</c:v>
                </c:pt>
                <c:pt idx="828">
                  <c:v>16.947899999999862</c:v>
                </c:pt>
                <c:pt idx="829">
                  <c:v>16.947999999999862</c:v>
                </c:pt>
                <c:pt idx="830">
                  <c:v>16.948099999999862</c:v>
                </c:pt>
                <c:pt idx="831">
                  <c:v>16.948199999999861</c:v>
                </c:pt>
                <c:pt idx="832">
                  <c:v>16.948299999999861</c:v>
                </c:pt>
                <c:pt idx="833">
                  <c:v>16.948399999999861</c:v>
                </c:pt>
                <c:pt idx="834">
                  <c:v>16.948499999999861</c:v>
                </c:pt>
                <c:pt idx="835">
                  <c:v>16.94859999999986</c:v>
                </c:pt>
                <c:pt idx="836">
                  <c:v>16.94869999999986</c:v>
                </c:pt>
                <c:pt idx="837">
                  <c:v>16.94879999999986</c:v>
                </c:pt>
                <c:pt idx="838">
                  <c:v>16.94889999999986</c:v>
                </c:pt>
                <c:pt idx="839">
                  <c:v>16.94899999999986</c:v>
                </c:pt>
                <c:pt idx="840">
                  <c:v>16.949099999999859</c:v>
                </c:pt>
                <c:pt idx="841">
                  <c:v>16.949199999999859</c:v>
                </c:pt>
                <c:pt idx="842">
                  <c:v>16.949299999999859</c:v>
                </c:pt>
                <c:pt idx="843">
                  <c:v>16.949399999999859</c:v>
                </c:pt>
                <c:pt idx="844">
                  <c:v>16.949499999999858</c:v>
                </c:pt>
                <c:pt idx="845">
                  <c:v>16.949599999999858</c:v>
                </c:pt>
                <c:pt idx="846">
                  <c:v>16.949699999999858</c:v>
                </c:pt>
                <c:pt idx="847">
                  <c:v>16.949799999999858</c:v>
                </c:pt>
                <c:pt idx="848">
                  <c:v>16.949899999999857</c:v>
                </c:pt>
                <c:pt idx="849">
                  <c:v>16.949999999999857</c:v>
                </c:pt>
                <c:pt idx="850">
                  <c:v>16.950099999999857</c:v>
                </c:pt>
                <c:pt idx="851">
                  <c:v>16.950199999999857</c:v>
                </c:pt>
                <c:pt idx="852">
                  <c:v>16.950299999999856</c:v>
                </c:pt>
                <c:pt idx="853">
                  <c:v>16.950399999999856</c:v>
                </c:pt>
                <c:pt idx="854">
                  <c:v>16.950499999999856</c:v>
                </c:pt>
                <c:pt idx="855">
                  <c:v>16.950599999999856</c:v>
                </c:pt>
                <c:pt idx="856">
                  <c:v>16.950699999999856</c:v>
                </c:pt>
                <c:pt idx="857">
                  <c:v>16.950799999999855</c:v>
                </c:pt>
                <c:pt idx="858">
                  <c:v>16.950899999999855</c:v>
                </c:pt>
                <c:pt idx="859">
                  <c:v>16.950999999999855</c:v>
                </c:pt>
                <c:pt idx="860">
                  <c:v>16.951099999999855</c:v>
                </c:pt>
                <c:pt idx="861">
                  <c:v>16.951199999999854</c:v>
                </c:pt>
                <c:pt idx="862">
                  <c:v>16.951299999999854</c:v>
                </c:pt>
                <c:pt idx="863">
                  <c:v>16.951399999999854</c:v>
                </c:pt>
                <c:pt idx="864">
                  <c:v>16.951499999999854</c:v>
                </c:pt>
                <c:pt idx="865">
                  <c:v>16.951599999999853</c:v>
                </c:pt>
                <c:pt idx="866">
                  <c:v>16.951699999999853</c:v>
                </c:pt>
                <c:pt idx="867">
                  <c:v>16.951799999999853</c:v>
                </c:pt>
                <c:pt idx="868">
                  <c:v>16.951899999999853</c:v>
                </c:pt>
                <c:pt idx="869">
                  <c:v>16.951999999999853</c:v>
                </c:pt>
                <c:pt idx="870">
                  <c:v>16.952099999999852</c:v>
                </c:pt>
                <c:pt idx="871">
                  <c:v>16.952199999999852</c:v>
                </c:pt>
                <c:pt idx="872">
                  <c:v>16.952299999999852</c:v>
                </c:pt>
                <c:pt idx="873">
                  <c:v>16.952399999999852</c:v>
                </c:pt>
                <c:pt idx="874">
                  <c:v>16.952499999999851</c:v>
                </c:pt>
                <c:pt idx="875">
                  <c:v>16.952599999999851</c:v>
                </c:pt>
                <c:pt idx="876">
                  <c:v>16.952699999999851</c:v>
                </c:pt>
                <c:pt idx="877">
                  <c:v>16.952799999999851</c:v>
                </c:pt>
                <c:pt idx="878">
                  <c:v>16.95289999999985</c:v>
                </c:pt>
                <c:pt idx="879">
                  <c:v>16.95299999999985</c:v>
                </c:pt>
                <c:pt idx="880">
                  <c:v>16.95309999999985</c:v>
                </c:pt>
                <c:pt idx="881">
                  <c:v>16.95319999999985</c:v>
                </c:pt>
                <c:pt idx="882">
                  <c:v>16.953299999999849</c:v>
                </c:pt>
                <c:pt idx="883">
                  <c:v>16.953399999999849</c:v>
                </c:pt>
                <c:pt idx="884">
                  <c:v>16.953499999999849</c:v>
                </c:pt>
                <c:pt idx="885">
                  <c:v>16.953599999999849</c:v>
                </c:pt>
                <c:pt idx="886">
                  <c:v>16.953699999999849</c:v>
                </c:pt>
                <c:pt idx="887">
                  <c:v>16.953799999999848</c:v>
                </c:pt>
                <c:pt idx="888">
                  <c:v>16.953899999999848</c:v>
                </c:pt>
                <c:pt idx="889">
                  <c:v>16.953999999999848</c:v>
                </c:pt>
                <c:pt idx="890">
                  <c:v>16.954099999999848</c:v>
                </c:pt>
                <c:pt idx="891">
                  <c:v>16.954199999999847</c:v>
                </c:pt>
                <c:pt idx="892">
                  <c:v>16.954299999999847</c:v>
                </c:pt>
                <c:pt idx="893">
                  <c:v>16.954399999999847</c:v>
                </c:pt>
                <c:pt idx="894">
                  <c:v>16.954499999999847</c:v>
                </c:pt>
                <c:pt idx="895">
                  <c:v>16.954599999999846</c:v>
                </c:pt>
                <c:pt idx="896">
                  <c:v>16.954699999999846</c:v>
                </c:pt>
                <c:pt idx="897">
                  <c:v>16.954799999999846</c:v>
                </c:pt>
                <c:pt idx="898">
                  <c:v>16.954899999999846</c:v>
                </c:pt>
                <c:pt idx="899">
                  <c:v>16.954999999999846</c:v>
                </c:pt>
                <c:pt idx="900">
                  <c:v>16.955099999999845</c:v>
                </c:pt>
                <c:pt idx="901">
                  <c:v>16.955199999999845</c:v>
                </c:pt>
                <c:pt idx="902">
                  <c:v>16.955299999999845</c:v>
                </c:pt>
                <c:pt idx="903">
                  <c:v>16.955399999999845</c:v>
                </c:pt>
                <c:pt idx="904">
                  <c:v>16.955499999999844</c:v>
                </c:pt>
                <c:pt idx="905">
                  <c:v>16.955599999999844</c:v>
                </c:pt>
                <c:pt idx="906">
                  <c:v>16.955699999999844</c:v>
                </c:pt>
                <c:pt idx="907">
                  <c:v>16.955799999999844</c:v>
                </c:pt>
                <c:pt idx="908">
                  <c:v>16.955899999999843</c:v>
                </c:pt>
                <c:pt idx="909">
                  <c:v>16.955999999999843</c:v>
                </c:pt>
                <c:pt idx="910">
                  <c:v>16.956099999999843</c:v>
                </c:pt>
                <c:pt idx="911">
                  <c:v>16.956199999999843</c:v>
                </c:pt>
                <c:pt idx="912">
                  <c:v>16.956299999999842</c:v>
                </c:pt>
                <c:pt idx="913">
                  <c:v>16.956399999999842</c:v>
                </c:pt>
                <c:pt idx="914">
                  <c:v>16.956499999999842</c:v>
                </c:pt>
                <c:pt idx="915">
                  <c:v>16.956599999999842</c:v>
                </c:pt>
                <c:pt idx="916">
                  <c:v>16.956699999999842</c:v>
                </c:pt>
                <c:pt idx="917">
                  <c:v>16.956799999999841</c:v>
                </c:pt>
                <c:pt idx="918">
                  <c:v>16.956899999999841</c:v>
                </c:pt>
                <c:pt idx="919">
                  <c:v>16.956999999999841</c:v>
                </c:pt>
                <c:pt idx="920">
                  <c:v>16.957099999999841</c:v>
                </c:pt>
                <c:pt idx="921">
                  <c:v>16.95719999999984</c:v>
                </c:pt>
                <c:pt idx="922">
                  <c:v>16.95729999999984</c:v>
                </c:pt>
                <c:pt idx="923">
                  <c:v>16.95739999999984</c:v>
                </c:pt>
                <c:pt idx="924">
                  <c:v>16.95749999999984</c:v>
                </c:pt>
                <c:pt idx="925">
                  <c:v>16.957599999999839</c:v>
                </c:pt>
                <c:pt idx="926">
                  <c:v>16.957699999999839</c:v>
                </c:pt>
                <c:pt idx="927">
                  <c:v>16.957799999999839</c:v>
                </c:pt>
                <c:pt idx="928">
                  <c:v>16.957899999999839</c:v>
                </c:pt>
                <c:pt idx="929">
                  <c:v>16.957999999999839</c:v>
                </c:pt>
                <c:pt idx="930">
                  <c:v>16.958099999999838</c:v>
                </c:pt>
                <c:pt idx="931">
                  <c:v>16.958199999999838</c:v>
                </c:pt>
                <c:pt idx="932">
                  <c:v>16.958299999999838</c:v>
                </c:pt>
                <c:pt idx="933">
                  <c:v>16.958399999999838</c:v>
                </c:pt>
                <c:pt idx="934">
                  <c:v>16.958499999999837</c:v>
                </c:pt>
                <c:pt idx="935">
                  <c:v>16.958599999999837</c:v>
                </c:pt>
                <c:pt idx="936">
                  <c:v>16.958699999999837</c:v>
                </c:pt>
                <c:pt idx="937">
                  <c:v>16.958799999999837</c:v>
                </c:pt>
                <c:pt idx="938">
                  <c:v>16.958899999999836</c:v>
                </c:pt>
                <c:pt idx="939">
                  <c:v>16.958999999999836</c:v>
                </c:pt>
                <c:pt idx="940">
                  <c:v>16.959099999999836</c:v>
                </c:pt>
                <c:pt idx="941">
                  <c:v>16.959199999999836</c:v>
                </c:pt>
                <c:pt idx="942">
                  <c:v>16.959299999999836</c:v>
                </c:pt>
                <c:pt idx="943">
                  <c:v>16.959399999999835</c:v>
                </c:pt>
                <c:pt idx="944">
                  <c:v>16.959499999999835</c:v>
                </c:pt>
                <c:pt idx="945">
                  <c:v>16.959599999999835</c:v>
                </c:pt>
                <c:pt idx="946">
                  <c:v>16.959699999999835</c:v>
                </c:pt>
                <c:pt idx="947">
                  <c:v>16.959799999999834</c:v>
                </c:pt>
                <c:pt idx="948">
                  <c:v>16.959899999999834</c:v>
                </c:pt>
                <c:pt idx="949">
                  <c:v>16.959999999999834</c:v>
                </c:pt>
                <c:pt idx="950">
                  <c:v>16.960099999999834</c:v>
                </c:pt>
                <c:pt idx="951">
                  <c:v>16.960199999999833</c:v>
                </c:pt>
                <c:pt idx="952">
                  <c:v>16.960299999999833</c:v>
                </c:pt>
                <c:pt idx="953">
                  <c:v>16.960399999999833</c:v>
                </c:pt>
                <c:pt idx="954">
                  <c:v>16.960499999999833</c:v>
                </c:pt>
                <c:pt idx="955">
                  <c:v>16.960599999999832</c:v>
                </c:pt>
                <c:pt idx="956">
                  <c:v>16.960699999999832</c:v>
                </c:pt>
                <c:pt idx="957">
                  <c:v>16.960799999999832</c:v>
                </c:pt>
                <c:pt idx="958">
                  <c:v>16.960899999999832</c:v>
                </c:pt>
                <c:pt idx="959">
                  <c:v>16.960999999999832</c:v>
                </c:pt>
                <c:pt idx="960">
                  <c:v>16.961099999999831</c:v>
                </c:pt>
                <c:pt idx="961">
                  <c:v>16.961199999999831</c:v>
                </c:pt>
                <c:pt idx="962">
                  <c:v>16.961299999999831</c:v>
                </c:pt>
                <c:pt idx="963">
                  <c:v>16.961399999999831</c:v>
                </c:pt>
                <c:pt idx="964">
                  <c:v>16.96149999999983</c:v>
                </c:pt>
                <c:pt idx="965">
                  <c:v>16.96159999999983</c:v>
                </c:pt>
                <c:pt idx="966">
                  <c:v>16.96169999999983</c:v>
                </c:pt>
                <c:pt idx="967">
                  <c:v>16.96179999999983</c:v>
                </c:pt>
                <c:pt idx="968">
                  <c:v>16.961899999999829</c:v>
                </c:pt>
                <c:pt idx="969">
                  <c:v>16.961999999999829</c:v>
                </c:pt>
                <c:pt idx="970">
                  <c:v>16.962099999999829</c:v>
                </c:pt>
                <c:pt idx="971">
                  <c:v>16.962199999999829</c:v>
                </c:pt>
                <c:pt idx="972">
                  <c:v>16.962299999999829</c:v>
                </c:pt>
                <c:pt idx="973">
                  <c:v>16.962399999999828</c:v>
                </c:pt>
                <c:pt idx="974">
                  <c:v>16.962499999999828</c:v>
                </c:pt>
                <c:pt idx="975">
                  <c:v>16.962599999999828</c:v>
                </c:pt>
                <c:pt idx="976">
                  <c:v>16.962699999999828</c:v>
                </c:pt>
                <c:pt idx="977">
                  <c:v>16.962799999999827</c:v>
                </c:pt>
                <c:pt idx="978">
                  <c:v>16.962899999999827</c:v>
                </c:pt>
                <c:pt idx="979">
                  <c:v>16.962999999999827</c:v>
                </c:pt>
                <c:pt idx="980">
                  <c:v>16.963099999999827</c:v>
                </c:pt>
                <c:pt idx="981">
                  <c:v>16.963199999999826</c:v>
                </c:pt>
                <c:pt idx="982">
                  <c:v>16.963299999999826</c:v>
                </c:pt>
                <c:pt idx="983">
                  <c:v>16.963399999999826</c:v>
                </c:pt>
                <c:pt idx="984">
                  <c:v>16.963499999999826</c:v>
                </c:pt>
                <c:pt idx="985">
                  <c:v>16.963599999999825</c:v>
                </c:pt>
                <c:pt idx="986">
                  <c:v>16.963699999999825</c:v>
                </c:pt>
                <c:pt idx="987">
                  <c:v>16.963799999999825</c:v>
                </c:pt>
                <c:pt idx="988">
                  <c:v>16.963899999999825</c:v>
                </c:pt>
                <c:pt idx="989">
                  <c:v>16.963999999999825</c:v>
                </c:pt>
                <c:pt idx="990">
                  <c:v>16.964099999999824</c:v>
                </c:pt>
                <c:pt idx="991">
                  <c:v>16.964199999999824</c:v>
                </c:pt>
                <c:pt idx="992">
                  <c:v>16.964299999999824</c:v>
                </c:pt>
                <c:pt idx="993">
                  <c:v>16.964399999999824</c:v>
                </c:pt>
                <c:pt idx="994">
                  <c:v>16.964499999999823</c:v>
                </c:pt>
                <c:pt idx="995">
                  <c:v>16.964599999999823</c:v>
                </c:pt>
                <c:pt idx="996">
                  <c:v>16.964699999999823</c:v>
                </c:pt>
                <c:pt idx="997">
                  <c:v>16.964799999999823</c:v>
                </c:pt>
                <c:pt idx="998">
                  <c:v>16.964899999999822</c:v>
                </c:pt>
                <c:pt idx="999">
                  <c:v>16.964999999999822</c:v>
                </c:pt>
                <c:pt idx="1000">
                  <c:v>16.965099999999822</c:v>
                </c:pt>
              </c:numCache>
            </c:numRef>
          </c:xVal>
          <c:yVal>
            <c:numRef>
              <c:f>Calculs!$Q$4:$Q$1004</c:f>
              <c:numCache>
                <c:formatCode>0.00</c:formatCode>
                <c:ptCount val="1001"/>
                <c:pt idx="0">
                  <c:v>0</c:v>
                </c:pt>
                <c:pt idx="1">
                  <c:v>14.495727272727274</c:v>
                </c:pt>
                <c:pt idx="2">
                  <c:v>42.027545454545454</c:v>
                </c:pt>
                <c:pt idx="3">
                  <c:v>61.630333333333333</c:v>
                </c:pt>
                <c:pt idx="4">
                  <c:v>49.516999999999996</c:v>
                </c:pt>
                <c:pt idx="5">
                  <c:v>37.403666666666666</c:v>
                </c:pt>
                <c:pt idx="6">
                  <c:v>29.742555555555555</c:v>
                </c:pt>
                <c:pt idx="7">
                  <c:v>29.053666666666668</c:v>
                </c:pt>
                <c:pt idx="8">
                  <c:v>30.044777777777778</c:v>
                </c:pt>
                <c:pt idx="9">
                  <c:v>31.035888888888888</c:v>
                </c:pt>
                <c:pt idx="10">
                  <c:v>32.027000000000001</c:v>
                </c:pt>
                <c:pt idx="11">
                  <c:v>32.382726495726494</c:v>
                </c:pt>
                <c:pt idx="12">
                  <c:v>32.738452991452995</c:v>
                </c:pt>
                <c:pt idx="13">
                  <c:v>33.094179487179488</c:v>
                </c:pt>
                <c:pt idx="14">
                  <c:v>33.449905982905982</c:v>
                </c:pt>
                <c:pt idx="15">
                  <c:v>33.805632478632482</c:v>
                </c:pt>
                <c:pt idx="16">
                  <c:v>34.161358974358976</c:v>
                </c:pt>
                <c:pt idx="17">
                  <c:v>34.517085470085469</c:v>
                </c:pt>
                <c:pt idx="18">
                  <c:v>34.87281196581197</c:v>
                </c:pt>
                <c:pt idx="19">
                  <c:v>35.228538461538463</c:v>
                </c:pt>
                <c:pt idx="20">
                  <c:v>35.584264957264956</c:v>
                </c:pt>
                <c:pt idx="21">
                  <c:v>35.939991452991457</c:v>
                </c:pt>
                <c:pt idx="22">
                  <c:v>36.219909090909091</c:v>
                </c:pt>
                <c:pt idx="23">
                  <c:v>36.322939393939393</c:v>
                </c:pt>
                <c:pt idx="24">
                  <c:v>36.425969696969695</c:v>
                </c:pt>
                <c:pt idx="25">
                  <c:v>36.529000000000003</c:v>
                </c:pt>
                <c:pt idx="26">
                  <c:v>36.632030303030305</c:v>
                </c:pt>
                <c:pt idx="27">
                  <c:v>36.735060606060607</c:v>
                </c:pt>
                <c:pt idx="28">
                  <c:v>36.838090909090909</c:v>
                </c:pt>
                <c:pt idx="29">
                  <c:v>36.94112121212121</c:v>
                </c:pt>
                <c:pt idx="30">
                  <c:v>37.044151515151519</c:v>
                </c:pt>
                <c:pt idx="31">
                  <c:v>37.147181818181821</c:v>
                </c:pt>
                <c:pt idx="32">
                  <c:v>37.250212121212122</c:v>
                </c:pt>
                <c:pt idx="33">
                  <c:v>37.353242424242424</c:v>
                </c:pt>
                <c:pt idx="34">
                  <c:v>37.456272727272726</c:v>
                </c:pt>
                <c:pt idx="35">
                  <c:v>37.539691741618967</c:v>
                </c:pt>
                <c:pt idx="36">
                  <c:v>37.446609157808666</c:v>
                </c:pt>
                <c:pt idx="37">
                  <c:v>37.353526573998366</c:v>
                </c:pt>
                <c:pt idx="38">
                  <c:v>37.260443990188058</c:v>
                </c:pt>
                <c:pt idx="39">
                  <c:v>37.167361406377758</c:v>
                </c:pt>
                <c:pt idx="40">
                  <c:v>37.074278822567457</c:v>
                </c:pt>
                <c:pt idx="41">
                  <c:v>36.98119623875715</c:v>
                </c:pt>
                <c:pt idx="42">
                  <c:v>36.888113654946849</c:v>
                </c:pt>
                <c:pt idx="43">
                  <c:v>36.795031071136549</c:v>
                </c:pt>
                <c:pt idx="44">
                  <c:v>36.701948487326241</c:v>
                </c:pt>
                <c:pt idx="45">
                  <c:v>36.608865903515941</c:v>
                </c:pt>
                <c:pt idx="46">
                  <c:v>36.515783319705641</c:v>
                </c:pt>
                <c:pt idx="47">
                  <c:v>36.422700735895333</c:v>
                </c:pt>
                <c:pt idx="48">
                  <c:v>36.329618152085033</c:v>
                </c:pt>
                <c:pt idx="49">
                  <c:v>36.236535568274732</c:v>
                </c:pt>
                <c:pt idx="50">
                  <c:v>36.143452984464432</c:v>
                </c:pt>
                <c:pt idx="51">
                  <c:v>36.050370400654124</c:v>
                </c:pt>
                <c:pt idx="52">
                  <c:v>35.957287816843824</c:v>
                </c:pt>
                <c:pt idx="53">
                  <c:v>35.864205233033523</c:v>
                </c:pt>
                <c:pt idx="54">
                  <c:v>35.771122649223216</c:v>
                </c:pt>
                <c:pt idx="55">
                  <c:v>35.678040065412915</c:v>
                </c:pt>
                <c:pt idx="56">
                  <c:v>35.584957481602615</c:v>
                </c:pt>
                <c:pt idx="57">
                  <c:v>35.491874897792307</c:v>
                </c:pt>
                <c:pt idx="58">
                  <c:v>35.398792313982007</c:v>
                </c:pt>
                <c:pt idx="59">
                  <c:v>35.305709730171706</c:v>
                </c:pt>
                <c:pt idx="60">
                  <c:v>35.212627146361399</c:v>
                </c:pt>
                <c:pt idx="61">
                  <c:v>35.119544562551098</c:v>
                </c:pt>
                <c:pt idx="62">
                  <c:v>35.026461978740798</c:v>
                </c:pt>
                <c:pt idx="63">
                  <c:v>34.933379394930498</c:v>
                </c:pt>
                <c:pt idx="64">
                  <c:v>34.84029681112019</c:v>
                </c:pt>
                <c:pt idx="65">
                  <c:v>34.74721422730989</c:v>
                </c:pt>
                <c:pt idx="66">
                  <c:v>34.654131643499589</c:v>
                </c:pt>
                <c:pt idx="67">
                  <c:v>34.561049059689282</c:v>
                </c:pt>
                <c:pt idx="68">
                  <c:v>34.467966475878981</c:v>
                </c:pt>
                <c:pt idx="69">
                  <c:v>34.374883892068681</c:v>
                </c:pt>
                <c:pt idx="70">
                  <c:v>34.281801308258373</c:v>
                </c:pt>
                <c:pt idx="71">
                  <c:v>34.188718724448073</c:v>
                </c:pt>
                <c:pt idx="72">
                  <c:v>34.095636140637772</c:v>
                </c:pt>
                <c:pt idx="73">
                  <c:v>34.002553556827465</c:v>
                </c:pt>
                <c:pt idx="74">
                  <c:v>33.909470973017164</c:v>
                </c:pt>
                <c:pt idx="75">
                  <c:v>33.816388389206864</c:v>
                </c:pt>
                <c:pt idx="76">
                  <c:v>33.723305805396564</c:v>
                </c:pt>
                <c:pt idx="77">
                  <c:v>33.630223221586256</c:v>
                </c:pt>
                <c:pt idx="78">
                  <c:v>33.537140637775956</c:v>
                </c:pt>
                <c:pt idx="79">
                  <c:v>33.444058053965655</c:v>
                </c:pt>
                <c:pt idx="80">
                  <c:v>33.350975470155348</c:v>
                </c:pt>
                <c:pt idx="81">
                  <c:v>33.257892886345047</c:v>
                </c:pt>
                <c:pt idx="82">
                  <c:v>33.164810302534747</c:v>
                </c:pt>
                <c:pt idx="83">
                  <c:v>33.071727718724439</c:v>
                </c:pt>
                <c:pt idx="84">
                  <c:v>32.978645134914139</c:v>
                </c:pt>
                <c:pt idx="85">
                  <c:v>32.885562551103838</c:v>
                </c:pt>
                <c:pt idx="86">
                  <c:v>32.792479967293531</c:v>
                </c:pt>
                <c:pt idx="87">
                  <c:v>32.69939738348323</c:v>
                </c:pt>
                <c:pt idx="88">
                  <c:v>32.60631479967293</c:v>
                </c:pt>
                <c:pt idx="89">
                  <c:v>32.513232215862629</c:v>
                </c:pt>
                <c:pt idx="90">
                  <c:v>32.420149632052322</c:v>
                </c:pt>
                <c:pt idx="91">
                  <c:v>32.327067048242021</c:v>
                </c:pt>
                <c:pt idx="92">
                  <c:v>32.233984464431721</c:v>
                </c:pt>
                <c:pt idx="93">
                  <c:v>32.140901880621414</c:v>
                </c:pt>
                <c:pt idx="94">
                  <c:v>32.047819296811113</c:v>
                </c:pt>
                <c:pt idx="95">
                  <c:v>31.954736713000809</c:v>
                </c:pt>
                <c:pt idx="96">
                  <c:v>31.861654129190509</c:v>
                </c:pt>
                <c:pt idx="97">
                  <c:v>31.768571545380205</c:v>
                </c:pt>
                <c:pt idx="98">
                  <c:v>31.675488961569904</c:v>
                </c:pt>
                <c:pt idx="99">
                  <c:v>31.5824063777596</c:v>
                </c:pt>
                <c:pt idx="100">
                  <c:v>31.489323793949296</c:v>
                </c:pt>
                <c:pt idx="101">
                  <c:v>31.396241210138992</c:v>
                </c:pt>
                <c:pt idx="102">
                  <c:v>31.303158626328692</c:v>
                </c:pt>
                <c:pt idx="103">
                  <c:v>31.210076042518388</c:v>
                </c:pt>
                <c:pt idx="104">
                  <c:v>31.116993458708087</c:v>
                </c:pt>
                <c:pt idx="105">
                  <c:v>31.023910874897783</c:v>
                </c:pt>
                <c:pt idx="106">
                  <c:v>30.930828291087479</c:v>
                </c:pt>
                <c:pt idx="107">
                  <c:v>30.837745707277179</c:v>
                </c:pt>
                <c:pt idx="108">
                  <c:v>30.744663123466875</c:v>
                </c:pt>
                <c:pt idx="109">
                  <c:v>30.651580539656571</c:v>
                </c:pt>
                <c:pt idx="110">
                  <c:v>30.558497955846271</c:v>
                </c:pt>
                <c:pt idx="111">
                  <c:v>30.465415372035967</c:v>
                </c:pt>
                <c:pt idx="112">
                  <c:v>30.372332788225663</c:v>
                </c:pt>
                <c:pt idx="113">
                  <c:v>30.279250204415362</c:v>
                </c:pt>
                <c:pt idx="114">
                  <c:v>30.186167620605058</c:v>
                </c:pt>
                <c:pt idx="115">
                  <c:v>30.093085036794758</c:v>
                </c:pt>
                <c:pt idx="116">
                  <c:v>30.000002452984454</c:v>
                </c:pt>
                <c:pt idx="117">
                  <c:v>29.906919869174153</c:v>
                </c:pt>
                <c:pt idx="118">
                  <c:v>29.813837285363849</c:v>
                </c:pt>
                <c:pt idx="119">
                  <c:v>29.720754701553545</c:v>
                </c:pt>
                <c:pt idx="120">
                  <c:v>29.627672117743245</c:v>
                </c:pt>
                <c:pt idx="121">
                  <c:v>29.534589533932941</c:v>
                </c:pt>
                <c:pt idx="122">
                  <c:v>29.441506950122637</c:v>
                </c:pt>
                <c:pt idx="123">
                  <c:v>29.348424366312337</c:v>
                </c:pt>
                <c:pt idx="124">
                  <c:v>29.255341782502033</c:v>
                </c:pt>
                <c:pt idx="125">
                  <c:v>29.162259198691729</c:v>
                </c:pt>
                <c:pt idx="126">
                  <c:v>29.069176614881428</c:v>
                </c:pt>
                <c:pt idx="127">
                  <c:v>28.976094031071128</c:v>
                </c:pt>
                <c:pt idx="128">
                  <c:v>28.88301144726082</c:v>
                </c:pt>
                <c:pt idx="129">
                  <c:v>28.78992886345052</c:v>
                </c:pt>
                <c:pt idx="130">
                  <c:v>28.696846279640219</c:v>
                </c:pt>
                <c:pt idx="131">
                  <c:v>28.603763695829915</c:v>
                </c:pt>
                <c:pt idx="132">
                  <c:v>28.510681112019611</c:v>
                </c:pt>
                <c:pt idx="133">
                  <c:v>28.417598528209311</c:v>
                </c:pt>
                <c:pt idx="134">
                  <c:v>28.324515944399007</c:v>
                </c:pt>
                <c:pt idx="135">
                  <c:v>28.231433360588703</c:v>
                </c:pt>
                <c:pt idx="136">
                  <c:v>28.138350776778402</c:v>
                </c:pt>
                <c:pt idx="137">
                  <c:v>28.045268192968098</c:v>
                </c:pt>
                <c:pt idx="138">
                  <c:v>27.952185609157798</c:v>
                </c:pt>
                <c:pt idx="139">
                  <c:v>27.859103025347494</c:v>
                </c:pt>
                <c:pt idx="140">
                  <c:v>27.766020441537194</c:v>
                </c:pt>
                <c:pt idx="141">
                  <c:v>27.672937857726886</c:v>
                </c:pt>
                <c:pt idx="142">
                  <c:v>27.579855273916586</c:v>
                </c:pt>
                <c:pt idx="143">
                  <c:v>27.486772690106282</c:v>
                </c:pt>
                <c:pt idx="144">
                  <c:v>27.393690106295981</c:v>
                </c:pt>
                <c:pt idx="145">
                  <c:v>27.300607522485677</c:v>
                </c:pt>
                <c:pt idx="146">
                  <c:v>27.207524938675377</c:v>
                </c:pt>
                <c:pt idx="147">
                  <c:v>27.114442354865069</c:v>
                </c:pt>
                <c:pt idx="148">
                  <c:v>27.021359771054769</c:v>
                </c:pt>
                <c:pt idx="149">
                  <c:v>26.928277187244468</c:v>
                </c:pt>
                <c:pt idx="150">
                  <c:v>26.835194603434168</c:v>
                </c:pt>
                <c:pt idx="151">
                  <c:v>26.74211201962386</c:v>
                </c:pt>
                <c:pt idx="152">
                  <c:v>26.64902943581356</c:v>
                </c:pt>
                <c:pt idx="153">
                  <c:v>26.555946852003256</c:v>
                </c:pt>
                <c:pt idx="154">
                  <c:v>26.462864268192956</c:v>
                </c:pt>
                <c:pt idx="155">
                  <c:v>26.369781684382652</c:v>
                </c:pt>
                <c:pt idx="156">
                  <c:v>26.276699100572351</c:v>
                </c:pt>
                <c:pt idx="157">
                  <c:v>26.183616516762044</c:v>
                </c:pt>
                <c:pt idx="158">
                  <c:v>26.260625000000015</c:v>
                </c:pt>
                <c:pt idx="159">
                  <c:v>26.380156250000017</c:v>
                </c:pt>
                <c:pt idx="160">
                  <c:v>26.499687500000014</c:v>
                </c:pt>
                <c:pt idx="161">
                  <c:v>26.619218750000016</c:v>
                </c:pt>
                <c:pt idx="162">
                  <c:v>26.738750000000014</c:v>
                </c:pt>
                <c:pt idx="163">
                  <c:v>26.858281250000015</c:v>
                </c:pt>
                <c:pt idx="164">
                  <c:v>26.728249999999932</c:v>
                </c:pt>
                <c:pt idx="165">
                  <c:v>26.223874999999932</c:v>
                </c:pt>
                <c:pt idx="166">
                  <c:v>25.719499999999933</c:v>
                </c:pt>
                <c:pt idx="167">
                  <c:v>24.960868852458777</c:v>
                </c:pt>
                <c:pt idx="168">
                  <c:v>23.185213114753857</c:v>
                </c:pt>
                <c:pt idx="169">
                  <c:v>21.409557377048934</c:v>
                </c:pt>
                <c:pt idx="170">
                  <c:v>19.633901639344014</c:v>
                </c:pt>
                <c:pt idx="171">
                  <c:v>17.858245901639094</c:v>
                </c:pt>
                <c:pt idx="172">
                  <c:v>16.082590163934171</c:v>
                </c:pt>
                <c:pt idx="173">
                  <c:v>14.306934426229251</c:v>
                </c:pt>
                <c:pt idx="174">
                  <c:v>12.531278688524329</c:v>
                </c:pt>
                <c:pt idx="175">
                  <c:v>10.755622950819408</c:v>
                </c:pt>
                <c:pt idx="176">
                  <c:v>8.9799672131144881</c:v>
                </c:pt>
                <c:pt idx="177">
                  <c:v>7.2043114754095647</c:v>
                </c:pt>
                <c:pt idx="178">
                  <c:v>5.4286557377046449</c:v>
                </c:pt>
                <c:pt idx="179">
                  <c:v>3.6529999999998681</c:v>
                </c:pt>
                <c:pt idx="180">
                  <c:v>2.8034651162789399</c:v>
                </c:pt>
                <c:pt idx="181">
                  <c:v>1.9539302325580117</c:v>
                </c:pt>
                <c:pt idx="182">
                  <c:v>1.1043953488370835</c:v>
                </c:pt>
                <c:pt idx="183">
                  <c:v>0.25486046511615568</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16.900099999999973</c:v>
                </c:pt>
                <c:pt idx="351">
                  <c:v>16.900199999999973</c:v>
                </c:pt>
                <c:pt idx="352">
                  <c:v>16.900299999999973</c:v>
                </c:pt>
                <c:pt idx="353">
                  <c:v>16.900399999999973</c:v>
                </c:pt>
                <c:pt idx="354">
                  <c:v>16.900499999999973</c:v>
                </c:pt>
                <c:pt idx="355">
                  <c:v>16.900599999999972</c:v>
                </c:pt>
                <c:pt idx="356">
                  <c:v>16.900699999999972</c:v>
                </c:pt>
                <c:pt idx="357">
                  <c:v>16.900799999999972</c:v>
                </c:pt>
                <c:pt idx="358">
                  <c:v>16.900899999999972</c:v>
                </c:pt>
                <c:pt idx="359">
                  <c:v>16.900999999999971</c:v>
                </c:pt>
                <c:pt idx="360">
                  <c:v>16.901099999999971</c:v>
                </c:pt>
                <c:pt idx="361">
                  <c:v>16.901199999999971</c:v>
                </c:pt>
                <c:pt idx="362">
                  <c:v>16.901299999999971</c:v>
                </c:pt>
                <c:pt idx="363">
                  <c:v>16.90139999999997</c:v>
                </c:pt>
                <c:pt idx="364">
                  <c:v>16.90149999999997</c:v>
                </c:pt>
                <c:pt idx="365">
                  <c:v>16.90159999999997</c:v>
                </c:pt>
                <c:pt idx="366">
                  <c:v>16.90169999999997</c:v>
                </c:pt>
                <c:pt idx="367">
                  <c:v>16.90179999999997</c:v>
                </c:pt>
                <c:pt idx="368">
                  <c:v>16.901899999999969</c:v>
                </c:pt>
                <c:pt idx="369">
                  <c:v>16.901999999999969</c:v>
                </c:pt>
                <c:pt idx="370">
                  <c:v>16.902099999999969</c:v>
                </c:pt>
                <c:pt idx="371">
                  <c:v>16.902199999999969</c:v>
                </c:pt>
                <c:pt idx="372">
                  <c:v>16.902299999999968</c:v>
                </c:pt>
                <c:pt idx="373">
                  <c:v>16.902399999999968</c:v>
                </c:pt>
                <c:pt idx="374">
                  <c:v>16.902499999999968</c:v>
                </c:pt>
                <c:pt idx="375">
                  <c:v>16.902599999999968</c:v>
                </c:pt>
                <c:pt idx="376">
                  <c:v>16.902699999999967</c:v>
                </c:pt>
                <c:pt idx="377">
                  <c:v>16.902799999999967</c:v>
                </c:pt>
                <c:pt idx="378">
                  <c:v>16.902899999999967</c:v>
                </c:pt>
                <c:pt idx="379">
                  <c:v>16.902999999999967</c:v>
                </c:pt>
                <c:pt idx="380">
                  <c:v>16.903099999999966</c:v>
                </c:pt>
                <c:pt idx="381">
                  <c:v>16.903199999999966</c:v>
                </c:pt>
                <c:pt idx="382">
                  <c:v>16.903299999999966</c:v>
                </c:pt>
                <c:pt idx="383">
                  <c:v>16.903399999999966</c:v>
                </c:pt>
                <c:pt idx="384">
                  <c:v>16.903499999999966</c:v>
                </c:pt>
                <c:pt idx="385">
                  <c:v>16.903599999999965</c:v>
                </c:pt>
                <c:pt idx="386">
                  <c:v>16.903699999999965</c:v>
                </c:pt>
                <c:pt idx="387">
                  <c:v>16.903799999999965</c:v>
                </c:pt>
                <c:pt idx="388">
                  <c:v>16.903899999999965</c:v>
                </c:pt>
                <c:pt idx="389">
                  <c:v>16.903999999999964</c:v>
                </c:pt>
                <c:pt idx="390">
                  <c:v>16.904099999999964</c:v>
                </c:pt>
                <c:pt idx="391">
                  <c:v>16.904199999999964</c:v>
                </c:pt>
                <c:pt idx="392">
                  <c:v>16.904299999999964</c:v>
                </c:pt>
                <c:pt idx="393">
                  <c:v>16.904399999999963</c:v>
                </c:pt>
                <c:pt idx="394">
                  <c:v>16.904499999999963</c:v>
                </c:pt>
                <c:pt idx="395">
                  <c:v>16.904599999999963</c:v>
                </c:pt>
                <c:pt idx="396">
                  <c:v>16.904699999999963</c:v>
                </c:pt>
                <c:pt idx="397">
                  <c:v>16.904799999999963</c:v>
                </c:pt>
                <c:pt idx="398">
                  <c:v>16.904899999999962</c:v>
                </c:pt>
                <c:pt idx="399">
                  <c:v>16.904999999999962</c:v>
                </c:pt>
                <c:pt idx="400">
                  <c:v>16.905099999999962</c:v>
                </c:pt>
                <c:pt idx="401">
                  <c:v>16.905199999999962</c:v>
                </c:pt>
                <c:pt idx="402">
                  <c:v>16.905299999999961</c:v>
                </c:pt>
                <c:pt idx="403">
                  <c:v>16.905399999999961</c:v>
                </c:pt>
                <c:pt idx="404">
                  <c:v>16.905499999999961</c:v>
                </c:pt>
                <c:pt idx="405">
                  <c:v>16.905599999999961</c:v>
                </c:pt>
                <c:pt idx="406">
                  <c:v>16.90569999999996</c:v>
                </c:pt>
                <c:pt idx="407">
                  <c:v>16.90579999999996</c:v>
                </c:pt>
                <c:pt idx="408">
                  <c:v>16.90589999999996</c:v>
                </c:pt>
                <c:pt idx="409">
                  <c:v>16.90599999999996</c:v>
                </c:pt>
                <c:pt idx="410">
                  <c:v>16.906099999999959</c:v>
                </c:pt>
                <c:pt idx="411">
                  <c:v>16.906199999999959</c:v>
                </c:pt>
                <c:pt idx="412">
                  <c:v>16.906299999999959</c:v>
                </c:pt>
                <c:pt idx="413">
                  <c:v>16.906399999999959</c:v>
                </c:pt>
                <c:pt idx="414">
                  <c:v>16.906499999999959</c:v>
                </c:pt>
                <c:pt idx="415">
                  <c:v>16.906599999999958</c:v>
                </c:pt>
                <c:pt idx="416">
                  <c:v>16.906699999999958</c:v>
                </c:pt>
                <c:pt idx="417">
                  <c:v>16.906799999999958</c:v>
                </c:pt>
                <c:pt idx="418">
                  <c:v>16.906899999999958</c:v>
                </c:pt>
                <c:pt idx="419">
                  <c:v>16.906999999999957</c:v>
                </c:pt>
                <c:pt idx="420">
                  <c:v>16.907099999999957</c:v>
                </c:pt>
                <c:pt idx="421">
                  <c:v>16.907199999999957</c:v>
                </c:pt>
                <c:pt idx="422">
                  <c:v>16.907299999999957</c:v>
                </c:pt>
                <c:pt idx="423">
                  <c:v>16.907399999999956</c:v>
                </c:pt>
                <c:pt idx="424">
                  <c:v>16.907499999999956</c:v>
                </c:pt>
                <c:pt idx="425">
                  <c:v>16.907599999999956</c:v>
                </c:pt>
                <c:pt idx="426">
                  <c:v>16.907699999999956</c:v>
                </c:pt>
                <c:pt idx="427">
                  <c:v>16.907799999999956</c:v>
                </c:pt>
                <c:pt idx="428">
                  <c:v>16.907899999999955</c:v>
                </c:pt>
                <c:pt idx="429">
                  <c:v>16.907999999999955</c:v>
                </c:pt>
                <c:pt idx="430">
                  <c:v>16.908099999999955</c:v>
                </c:pt>
                <c:pt idx="431">
                  <c:v>16.908199999999955</c:v>
                </c:pt>
                <c:pt idx="432">
                  <c:v>16.908299999999954</c:v>
                </c:pt>
                <c:pt idx="433">
                  <c:v>16.908399999999954</c:v>
                </c:pt>
                <c:pt idx="434">
                  <c:v>16.908499999999954</c:v>
                </c:pt>
                <c:pt idx="435">
                  <c:v>16.908599999999954</c:v>
                </c:pt>
                <c:pt idx="436">
                  <c:v>16.908699999999953</c:v>
                </c:pt>
                <c:pt idx="437">
                  <c:v>16.908799999999953</c:v>
                </c:pt>
                <c:pt idx="438">
                  <c:v>16.908899999999953</c:v>
                </c:pt>
                <c:pt idx="439">
                  <c:v>16.908999999999953</c:v>
                </c:pt>
                <c:pt idx="440">
                  <c:v>16.909099999999953</c:v>
                </c:pt>
                <c:pt idx="441">
                  <c:v>16.909199999999952</c:v>
                </c:pt>
                <c:pt idx="442">
                  <c:v>16.909299999999952</c:v>
                </c:pt>
                <c:pt idx="443">
                  <c:v>16.909399999999952</c:v>
                </c:pt>
                <c:pt idx="444">
                  <c:v>16.909499999999952</c:v>
                </c:pt>
                <c:pt idx="445">
                  <c:v>16.909599999999951</c:v>
                </c:pt>
                <c:pt idx="446">
                  <c:v>16.909699999999951</c:v>
                </c:pt>
                <c:pt idx="447">
                  <c:v>16.909799999999951</c:v>
                </c:pt>
                <c:pt idx="448">
                  <c:v>16.909899999999951</c:v>
                </c:pt>
                <c:pt idx="449">
                  <c:v>16.90999999999995</c:v>
                </c:pt>
                <c:pt idx="450">
                  <c:v>16.91009999999995</c:v>
                </c:pt>
                <c:pt idx="451">
                  <c:v>16.91019999999995</c:v>
                </c:pt>
                <c:pt idx="452">
                  <c:v>16.91029999999995</c:v>
                </c:pt>
                <c:pt idx="453">
                  <c:v>16.910399999999949</c:v>
                </c:pt>
                <c:pt idx="454">
                  <c:v>16.910499999999949</c:v>
                </c:pt>
                <c:pt idx="455">
                  <c:v>16.910599999999949</c:v>
                </c:pt>
                <c:pt idx="456">
                  <c:v>16.910699999999949</c:v>
                </c:pt>
                <c:pt idx="457">
                  <c:v>16.910799999999949</c:v>
                </c:pt>
                <c:pt idx="458">
                  <c:v>16.910899999999948</c:v>
                </c:pt>
                <c:pt idx="459">
                  <c:v>16.910999999999948</c:v>
                </c:pt>
                <c:pt idx="460">
                  <c:v>16.911099999999948</c:v>
                </c:pt>
                <c:pt idx="461">
                  <c:v>16.911199999999948</c:v>
                </c:pt>
                <c:pt idx="462">
                  <c:v>16.911299999999947</c:v>
                </c:pt>
                <c:pt idx="463">
                  <c:v>16.911399999999947</c:v>
                </c:pt>
                <c:pt idx="464">
                  <c:v>16.911499999999947</c:v>
                </c:pt>
                <c:pt idx="465">
                  <c:v>16.911599999999947</c:v>
                </c:pt>
                <c:pt idx="466">
                  <c:v>16.911699999999946</c:v>
                </c:pt>
                <c:pt idx="467">
                  <c:v>16.911799999999946</c:v>
                </c:pt>
                <c:pt idx="468">
                  <c:v>16.911899999999946</c:v>
                </c:pt>
                <c:pt idx="469">
                  <c:v>16.911999999999946</c:v>
                </c:pt>
                <c:pt idx="470">
                  <c:v>16.912099999999946</c:v>
                </c:pt>
                <c:pt idx="471">
                  <c:v>16.912199999999945</c:v>
                </c:pt>
                <c:pt idx="472">
                  <c:v>16.912299999999945</c:v>
                </c:pt>
                <c:pt idx="473">
                  <c:v>16.912399999999945</c:v>
                </c:pt>
                <c:pt idx="474">
                  <c:v>16.912499999999945</c:v>
                </c:pt>
                <c:pt idx="475">
                  <c:v>16.912599999999944</c:v>
                </c:pt>
                <c:pt idx="476">
                  <c:v>16.912699999999944</c:v>
                </c:pt>
                <c:pt idx="477">
                  <c:v>16.912799999999944</c:v>
                </c:pt>
                <c:pt idx="478">
                  <c:v>16.912899999999944</c:v>
                </c:pt>
                <c:pt idx="479">
                  <c:v>16.912999999999943</c:v>
                </c:pt>
                <c:pt idx="480">
                  <c:v>16.913099999999943</c:v>
                </c:pt>
                <c:pt idx="481">
                  <c:v>16.913199999999943</c:v>
                </c:pt>
                <c:pt idx="482">
                  <c:v>16.913299999999943</c:v>
                </c:pt>
                <c:pt idx="483">
                  <c:v>16.913399999999942</c:v>
                </c:pt>
                <c:pt idx="484">
                  <c:v>16.913499999999942</c:v>
                </c:pt>
                <c:pt idx="485">
                  <c:v>16.913599999999942</c:v>
                </c:pt>
                <c:pt idx="486">
                  <c:v>16.913699999999942</c:v>
                </c:pt>
                <c:pt idx="487">
                  <c:v>16.913799999999942</c:v>
                </c:pt>
                <c:pt idx="488">
                  <c:v>16.913899999999941</c:v>
                </c:pt>
                <c:pt idx="489">
                  <c:v>16.913999999999941</c:v>
                </c:pt>
                <c:pt idx="490">
                  <c:v>16.914099999999941</c:v>
                </c:pt>
                <c:pt idx="491">
                  <c:v>16.914199999999941</c:v>
                </c:pt>
                <c:pt idx="492">
                  <c:v>16.91429999999994</c:v>
                </c:pt>
                <c:pt idx="493">
                  <c:v>16.91439999999994</c:v>
                </c:pt>
                <c:pt idx="494">
                  <c:v>16.91449999999994</c:v>
                </c:pt>
                <c:pt idx="495">
                  <c:v>16.91459999999994</c:v>
                </c:pt>
                <c:pt idx="496">
                  <c:v>16.914699999999939</c:v>
                </c:pt>
                <c:pt idx="497">
                  <c:v>16.914799999999939</c:v>
                </c:pt>
                <c:pt idx="498">
                  <c:v>16.914899999999939</c:v>
                </c:pt>
                <c:pt idx="499">
                  <c:v>16.914999999999939</c:v>
                </c:pt>
                <c:pt idx="500">
                  <c:v>16.915099999999939</c:v>
                </c:pt>
                <c:pt idx="501">
                  <c:v>16.915199999999938</c:v>
                </c:pt>
                <c:pt idx="502">
                  <c:v>16.915299999999938</c:v>
                </c:pt>
                <c:pt idx="503">
                  <c:v>16.915399999999938</c:v>
                </c:pt>
                <c:pt idx="504">
                  <c:v>16.915499999999938</c:v>
                </c:pt>
                <c:pt idx="505">
                  <c:v>16.915599999999937</c:v>
                </c:pt>
                <c:pt idx="506">
                  <c:v>16.915699999999937</c:v>
                </c:pt>
                <c:pt idx="507">
                  <c:v>16.915799999999937</c:v>
                </c:pt>
                <c:pt idx="508">
                  <c:v>16.915899999999937</c:v>
                </c:pt>
                <c:pt idx="509">
                  <c:v>16.915999999999936</c:v>
                </c:pt>
                <c:pt idx="510">
                  <c:v>16.916099999999936</c:v>
                </c:pt>
                <c:pt idx="511">
                  <c:v>16.916199999999936</c:v>
                </c:pt>
                <c:pt idx="512">
                  <c:v>16.916299999999936</c:v>
                </c:pt>
                <c:pt idx="513">
                  <c:v>16.916399999999935</c:v>
                </c:pt>
                <c:pt idx="514">
                  <c:v>16.916499999999935</c:v>
                </c:pt>
                <c:pt idx="515">
                  <c:v>16.916599999999935</c:v>
                </c:pt>
                <c:pt idx="516">
                  <c:v>16.916699999999935</c:v>
                </c:pt>
                <c:pt idx="517">
                  <c:v>16.916799999999935</c:v>
                </c:pt>
                <c:pt idx="518">
                  <c:v>16.916899999999934</c:v>
                </c:pt>
                <c:pt idx="519">
                  <c:v>16.916999999999934</c:v>
                </c:pt>
                <c:pt idx="520">
                  <c:v>16.917099999999934</c:v>
                </c:pt>
                <c:pt idx="521">
                  <c:v>16.917199999999934</c:v>
                </c:pt>
                <c:pt idx="522">
                  <c:v>16.917299999999933</c:v>
                </c:pt>
                <c:pt idx="523">
                  <c:v>16.917399999999933</c:v>
                </c:pt>
                <c:pt idx="524">
                  <c:v>16.917499999999933</c:v>
                </c:pt>
                <c:pt idx="525">
                  <c:v>16.917599999999933</c:v>
                </c:pt>
                <c:pt idx="526">
                  <c:v>16.917699999999932</c:v>
                </c:pt>
                <c:pt idx="527">
                  <c:v>16.917799999999932</c:v>
                </c:pt>
                <c:pt idx="528">
                  <c:v>16.917899999999932</c:v>
                </c:pt>
                <c:pt idx="529">
                  <c:v>16.917999999999932</c:v>
                </c:pt>
                <c:pt idx="530">
                  <c:v>16.918099999999932</c:v>
                </c:pt>
                <c:pt idx="531">
                  <c:v>16.918199999999931</c:v>
                </c:pt>
                <c:pt idx="532">
                  <c:v>16.918299999999931</c:v>
                </c:pt>
                <c:pt idx="533">
                  <c:v>16.918399999999931</c:v>
                </c:pt>
                <c:pt idx="534">
                  <c:v>16.918499999999931</c:v>
                </c:pt>
                <c:pt idx="535">
                  <c:v>16.91859999999993</c:v>
                </c:pt>
                <c:pt idx="536">
                  <c:v>16.91869999999993</c:v>
                </c:pt>
                <c:pt idx="537">
                  <c:v>16.91879999999993</c:v>
                </c:pt>
                <c:pt idx="538">
                  <c:v>16.91889999999993</c:v>
                </c:pt>
                <c:pt idx="539">
                  <c:v>16.918999999999929</c:v>
                </c:pt>
                <c:pt idx="540">
                  <c:v>16.919099999999929</c:v>
                </c:pt>
                <c:pt idx="541">
                  <c:v>16.919199999999929</c:v>
                </c:pt>
                <c:pt idx="542">
                  <c:v>16.919299999999929</c:v>
                </c:pt>
                <c:pt idx="543">
                  <c:v>16.919399999999928</c:v>
                </c:pt>
                <c:pt idx="544">
                  <c:v>16.919499999999928</c:v>
                </c:pt>
                <c:pt idx="545">
                  <c:v>16.919599999999928</c:v>
                </c:pt>
                <c:pt idx="546">
                  <c:v>16.919699999999928</c:v>
                </c:pt>
                <c:pt idx="547">
                  <c:v>16.919799999999928</c:v>
                </c:pt>
                <c:pt idx="548">
                  <c:v>16.919899999999927</c:v>
                </c:pt>
                <c:pt idx="549">
                  <c:v>16.919999999999927</c:v>
                </c:pt>
                <c:pt idx="550">
                  <c:v>16.920099999999927</c:v>
                </c:pt>
                <c:pt idx="551">
                  <c:v>16.920199999999927</c:v>
                </c:pt>
                <c:pt idx="552">
                  <c:v>16.920299999999926</c:v>
                </c:pt>
                <c:pt idx="553">
                  <c:v>16.920399999999926</c:v>
                </c:pt>
                <c:pt idx="554">
                  <c:v>16.920499999999926</c:v>
                </c:pt>
                <c:pt idx="555">
                  <c:v>16.920599999999926</c:v>
                </c:pt>
                <c:pt idx="556">
                  <c:v>16.920699999999925</c:v>
                </c:pt>
                <c:pt idx="557">
                  <c:v>16.920799999999925</c:v>
                </c:pt>
                <c:pt idx="558">
                  <c:v>16.920899999999925</c:v>
                </c:pt>
                <c:pt idx="559">
                  <c:v>16.920999999999925</c:v>
                </c:pt>
                <c:pt idx="560">
                  <c:v>16.921099999999925</c:v>
                </c:pt>
                <c:pt idx="561">
                  <c:v>16.921199999999924</c:v>
                </c:pt>
                <c:pt idx="562">
                  <c:v>16.921299999999924</c:v>
                </c:pt>
                <c:pt idx="563">
                  <c:v>16.921399999999924</c:v>
                </c:pt>
                <c:pt idx="564">
                  <c:v>16.921499999999924</c:v>
                </c:pt>
                <c:pt idx="565">
                  <c:v>16.921599999999923</c:v>
                </c:pt>
                <c:pt idx="566">
                  <c:v>16.921699999999923</c:v>
                </c:pt>
                <c:pt idx="567">
                  <c:v>16.921799999999923</c:v>
                </c:pt>
                <c:pt idx="568">
                  <c:v>16.921899999999923</c:v>
                </c:pt>
                <c:pt idx="569">
                  <c:v>16.921999999999922</c:v>
                </c:pt>
                <c:pt idx="570">
                  <c:v>16.922099999999922</c:v>
                </c:pt>
                <c:pt idx="571">
                  <c:v>16.922199999999922</c:v>
                </c:pt>
                <c:pt idx="572">
                  <c:v>16.922299999999922</c:v>
                </c:pt>
                <c:pt idx="573">
                  <c:v>16.922399999999922</c:v>
                </c:pt>
                <c:pt idx="574">
                  <c:v>16.922499999999921</c:v>
                </c:pt>
                <c:pt idx="575">
                  <c:v>16.922599999999921</c:v>
                </c:pt>
                <c:pt idx="576">
                  <c:v>16.922699999999921</c:v>
                </c:pt>
                <c:pt idx="577">
                  <c:v>16.922799999999921</c:v>
                </c:pt>
                <c:pt idx="578">
                  <c:v>16.92289999999992</c:v>
                </c:pt>
                <c:pt idx="579">
                  <c:v>16.92299999999992</c:v>
                </c:pt>
                <c:pt idx="580">
                  <c:v>16.92309999999992</c:v>
                </c:pt>
                <c:pt idx="581">
                  <c:v>16.92319999999992</c:v>
                </c:pt>
                <c:pt idx="582">
                  <c:v>16.923299999999919</c:v>
                </c:pt>
                <c:pt idx="583">
                  <c:v>16.923399999999919</c:v>
                </c:pt>
                <c:pt idx="584">
                  <c:v>16.923499999999919</c:v>
                </c:pt>
                <c:pt idx="585">
                  <c:v>16.923599999999919</c:v>
                </c:pt>
                <c:pt idx="586">
                  <c:v>16.923699999999918</c:v>
                </c:pt>
                <c:pt idx="587">
                  <c:v>16.923799999999918</c:v>
                </c:pt>
                <c:pt idx="588">
                  <c:v>16.923899999999918</c:v>
                </c:pt>
                <c:pt idx="589">
                  <c:v>16.923999999999918</c:v>
                </c:pt>
                <c:pt idx="590">
                  <c:v>16.924099999999918</c:v>
                </c:pt>
                <c:pt idx="591">
                  <c:v>16.924199999999917</c:v>
                </c:pt>
                <c:pt idx="592">
                  <c:v>16.924299999999917</c:v>
                </c:pt>
                <c:pt idx="593">
                  <c:v>16.924399999999917</c:v>
                </c:pt>
                <c:pt idx="594">
                  <c:v>16.924499999999917</c:v>
                </c:pt>
                <c:pt idx="595">
                  <c:v>16.924599999999916</c:v>
                </c:pt>
                <c:pt idx="596">
                  <c:v>16.924699999999916</c:v>
                </c:pt>
                <c:pt idx="597">
                  <c:v>16.924799999999916</c:v>
                </c:pt>
                <c:pt idx="598">
                  <c:v>16.924899999999916</c:v>
                </c:pt>
                <c:pt idx="599">
                  <c:v>16.924999999999915</c:v>
                </c:pt>
                <c:pt idx="600">
                  <c:v>16.925099999999915</c:v>
                </c:pt>
                <c:pt idx="601">
                  <c:v>16.925199999999915</c:v>
                </c:pt>
                <c:pt idx="602">
                  <c:v>16.925299999999915</c:v>
                </c:pt>
                <c:pt idx="603">
                  <c:v>16.925399999999915</c:v>
                </c:pt>
                <c:pt idx="604">
                  <c:v>16.925499999999914</c:v>
                </c:pt>
                <c:pt idx="605">
                  <c:v>16.925599999999914</c:v>
                </c:pt>
                <c:pt idx="606">
                  <c:v>16.925699999999914</c:v>
                </c:pt>
                <c:pt idx="607">
                  <c:v>16.925799999999914</c:v>
                </c:pt>
                <c:pt idx="608">
                  <c:v>16.925899999999913</c:v>
                </c:pt>
                <c:pt idx="609">
                  <c:v>16.925999999999913</c:v>
                </c:pt>
                <c:pt idx="610">
                  <c:v>16.926099999999913</c:v>
                </c:pt>
                <c:pt idx="611">
                  <c:v>16.926199999999913</c:v>
                </c:pt>
                <c:pt idx="612">
                  <c:v>16.926299999999912</c:v>
                </c:pt>
                <c:pt idx="613">
                  <c:v>16.926399999999912</c:v>
                </c:pt>
                <c:pt idx="614">
                  <c:v>16.926499999999912</c:v>
                </c:pt>
                <c:pt idx="615">
                  <c:v>16.926599999999912</c:v>
                </c:pt>
                <c:pt idx="616">
                  <c:v>16.926699999999911</c:v>
                </c:pt>
                <c:pt idx="617">
                  <c:v>16.926799999999911</c:v>
                </c:pt>
                <c:pt idx="618">
                  <c:v>16.926899999999911</c:v>
                </c:pt>
                <c:pt idx="619">
                  <c:v>16.926999999999911</c:v>
                </c:pt>
                <c:pt idx="620">
                  <c:v>16.927099999999911</c:v>
                </c:pt>
                <c:pt idx="621">
                  <c:v>16.92719999999991</c:v>
                </c:pt>
                <c:pt idx="622">
                  <c:v>16.92729999999991</c:v>
                </c:pt>
                <c:pt idx="623">
                  <c:v>16.92739999999991</c:v>
                </c:pt>
                <c:pt idx="624">
                  <c:v>16.92749999999991</c:v>
                </c:pt>
                <c:pt idx="625">
                  <c:v>16.927599999999909</c:v>
                </c:pt>
                <c:pt idx="626">
                  <c:v>16.927699999999909</c:v>
                </c:pt>
                <c:pt idx="627">
                  <c:v>16.927799999999909</c:v>
                </c:pt>
                <c:pt idx="628">
                  <c:v>16.927899999999909</c:v>
                </c:pt>
                <c:pt idx="629">
                  <c:v>16.927999999999908</c:v>
                </c:pt>
                <c:pt idx="630">
                  <c:v>16.928099999999908</c:v>
                </c:pt>
                <c:pt idx="631">
                  <c:v>16.928199999999908</c:v>
                </c:pt>
                <c:pt idx="632">
                  <c:v>16.928299999999908</c:v>
                </c:pt>
                <c:pt idx="633">
                  <c:v>16.928399999999908</c:v>
                </c:pt>
                <c:pt idx="634">
                  <c:v>16.928499999999907</c:v>
                </c:pt>
                <c:pt idx="635">
                  <c:v>16.928599999999907</c:v>
                </c:pt>
                <c:pt idx="636">
                  <c:v>16.928699999999907</c:v>
                </c:pt>
                <c:pt idx="637">
                  <c:v>16.928799999999907</c:v>
                </c:pt>
                <c:pt idx="638">
                  <c:v>16.928899999999906</c:v>
                </c:pt>
                <c:pt idx="639">
                  <c:v>16.928999999999906</c:v>
                </c:pt>
                <c:pt idx="640">
                  <c:v>16.929099999999906</c:v>
                </c:pt>
                <c:pt idx="641">
                  <c:v>16.929199999999906</c:v>
                </c:pt>
                <c:pt idx="642">
                  <c:v>16.929299999999905</c:v>
                </c:pt>
                <c:pt idx="643">
                  <c:v>16.929399999999905</c:v>
                </c:pt>
                <c:pt idx="644">
                  <c:v>16.929499999999905</c:v>
                </c:pt>
                <c:pt idx="645">
                  <c:v>16.929599999999905</c:v>
                </c:pt>
                <c:pt idx="646">
                  <c:v>16.929699999999904</c:v>
                </c:pt>
                <c:pt idx="647">
                  <c:v>16.929799999999904</c:v>
                </c:pt>
                <c:pt idx="648">
                  <c:v>16.929899999999904</c:v>
                </c:pt>
                <c:pt idx="649">
                  <c:v>16.929999999999904</c:v>
                </c:pt>
                <c:pt idx="650">
                  <c:v>16.930099999999904</c:v>
                </c:pt>
                <c:pt idx="651">
                  <c:v>16.930199999999903</c:v>
                </c:pt>
                <c:pt idx="652">
                  <c:v>16.930299999999903</c:v>
                </c:pt>
                <c:pt idx="653">
                  <c:v>16.930399999999903</c:v>
                </c:pt>
                <c:pt idx="654">
                  <c:v>16.930499999999903</c:v>
                </c:pt>
                <c:pt idx="655">
                  <c:v>16.930599999999902</c:v>
                </c:pt>
                <c:pt idx="656">
                  <c:v>16.930699999999902</c:v>
                </c:pt>
                <c:pt idx="657">
                  <c:v>16.930799999999902</c:v>
                </c:pt>
                <c:pt idx="658">
                  <c:v>16.930899999999902</c:v>
                </c:pt>
                <c:pt idx="659">
                  <c:v>16.930999999999901</c:v>
                </c:pt>
                <c:pt idx="660">
                  <c:v>16.931099999999901</c:v>
                </c:pt>
                <c:pt idx="661">
                  <c:v>16.931199999999901</c:v>
                </c:pt>
                <c:pt idx="662">
                  <c:v>16.931299999999901</c:v>
                </c:pt>
                <c:pt idx="663">
                  <c:v>16.931399999999901</c:v>
                </c:pt>
                <c:pt idx="664">
                  <c:v>16.9314999999999</c:v>
                </c:pt>
                <c:pt idx="665">
                  <c:v>16.9315999999999</c:v>
                </c:pt>
                <c:pt idx="666">
                  <c:v>16.9316999999999</c:v>
                </c:pt>
                <c:pt idx="667">
                  <c:v>16.9317999999999</c:v>
                </c:pt>
                <c:pt idx="668">
                  <c:v>16.931899999999899</c:v>
                </c:pt>
                <c:pt idx="669">
                  <c:v>16.931999999999899</c:v>
                </c:pt>
                <c:pt idx="670">
                  <c:v>16.932099999999899</c:v>
                </c:pt>
                <c:pt idx="671">
                  <c:v>16.932199999999899</c:v>
                </c:pt>
                <c:pt idx="672">
                  <c:v>16.932299999999898</c:v>
                </c:pt>
                <c:pt idx="673">
                  <c:v>16.932399999999898</c:v>
                </c:pt>
                <c:pt idx="674">
                  <c:v>16.932499999999898</c:v>
                </c:pt>
                <c:pt idx="675">
                  <c:v>16.932599999999898</c:v>
                </c:pt>
                <c:pt idx="676">
                  <c:v>16.932699999999897</c:v>
                </c:pt>
                <c:pt idx="677">
                  <c:v>16.932799999999897</c:v>
                </c:pt>
                <c:pt idx="678">
                  <c:v>16.932899999999897</c:v>
                </c:pt>
                <c:pt idx="679">
                  <c:v>16.932999999999897</c:v>
                </c:pt>
                <c:pt idx="680">
                  <c:v>16.933099999999897</c:v>
                </c:pt>
                <c:pt idx="681">
                  <c:v>16.933199999999896</c:v>
                </c:pt>
                <c:pt idx="682">
                  <c:v>16.933299999999896</c:v>
                </c:pt>
                <c:pt idx="683">
                  <c:v>16.933399999999896</c:v>
                </c:pt>
                <c:pt idx="684">
                  <c:v>16.933499999999896</c:v>
                </c:pt>
                <c:pt idx="685">
                  <c:v>16.933599999999895</c:v>
                </c:pt>
                <c:pt idx="686">
                  <c:v>16.933699999999895</c:v>
                </c:pt>
                <c:pt idx="687">
                  <c:v>16.933799999999895</c:v>
                </c:pt>
                <c:pt idx="688">
                  <c:v>16.933899999999895</c:v>
                </c:pt>
                <c:pt idx="689">
                  <c:v>16.933999999999894</c:v>
                </c:pt>
                <c:pt idx="690">
                  <c:v>16.934099999999894</c:v>
                </c:pt>
                <c:pt idx="691">
                  <c:v>16.934199999999894</c:v>
                </c:pt>
                <c:pt idx="692">
                  <c:v>16.934299999999894</c:v>
                </c:pt>
                <c:pt idx="693">
                  <c:v>16.934399999999894</c:v>
                </c:pt>
                <c:pt idx="694">
                  <c:v>16.934499999999893</c:v>
                </c:pt>
                <c:pt idx="695">
                  <c:v>16.934599999999893</c:v>
                </c:pt>
                <c:pt idx="696">
                  <c:v>16.934699999999893</c:v>
                </c:pt>
                <c:pt idx="697">
                  <c:v>16.934799999999893</c:v>
                </c:pt>
                <c:pt idx="698">
                  <c:v>16.934899999999892</c:v>
                </c:pt>
                <c:pt idx="699">
                  <c:v>16.934999999999892</c:v>
                </c:pt>
                <c:pt idx="700">
                  <c:v>16.935099999999892</c:v>
                </c:pt>
                <c:pt idx="701">
                  <c:v>16.935199999999892</c:v>
                </c:pt>
                <c:pt idx="702">
                  <c:v>16.935299999999891</c:v>
                </c:pt>
                <c:pt idx="703">
                  <c:v>16.935399999999891</c:v>
                </c:pt>
                <c:pt idx="704">
                  <c:v>16.935499999999891</c:v>
                </c:pt>
                <c:pt idx="705">
                  <c:v>16.935599999999891</c:v>
                </c:pt>
                <c:pt idx="706">
                  <c:v>16.935699999999891</c:v>
                </c:pt>
                <c:pt idx="707">
                  <c:v>16.93579999999989</c:v>
                </c:pt>
                <c:pt idx="708">
                  <c:v>16.93589999999989</c:v>
                </c:pt>
                <c:pt idx="709">
                  <c:v>16.93599999999989</c:v>
                </c:pt>
                <c:pt idx="710">
                  <c:v>16.93609999999989</c:v>
                </c:pt>
                <c:pt idx="711">
                  <c:v>16.936199999999889</c:v>
                </c:pt>
                <c:pt idx="712">
                  <c:v>16.936299999999889</c:v>
                </c:pt>
                <c:pt idx="713">
                  <c:v>16.936399999999889</c:v>
                </c:pt>
                <c:pt idx="714">
                  <c:v>16.936499999999889</c:v>
                </c:pt>
                <c:pt idx="715">
                  <c:v>16.936599999999888</c:v>
                </c:pt>
                <c:pt idx="716">
                  <c:v>16.936699999999888</c:v>
                </c:pt>
                <c:pt idx="717">
                  <c:v>16.936799999999888</c:v>
                </c:pt>
                <c:pt idx="718">
                  <c:v>16.936899999999888</c:v>
                </c:pt>
                <c:pt idx="719">
                  <c:v>16.936999999999887</c:v>
                </c:pt>
                <c:pt idx="720">
                  <c:v>16.937099999999887</c:v>
                </c:pt>
                <c:pt idx="721">
                  <c:v>16.937199999999887</c:v>
                </c:pt>
                <c:pt idx="722">
                  <c:v>16.937299999999887</c:v>
                </c:pt>
                <c:pt idx="723">
                  <c:v>16.937399999999887</c:v>
                </c:pt>
                <c:pt idx="724">
                  <c:v>16.937499999999886</c:v>
                </c:pt>
                <c:pt idx="725">
                  <c:v>16.937599999999886</c:v>
                </c:pt>
                <c:pt idx="726">
                  <c:v>16.937699999999886</c:v>
                </c:pt>
                <c:pt idx="727">
                  <c:v>16.937799999999886</c:v>
                </c:pt>
                <c:pt idx="728">
                  <c:v>16.937899999999885</c:v>
                </c:pt>
                <c:pt idx="729">
                  <c:v>16.937999999999885</c:v>
                </c:pt>
                <c:pt idx="730">
                  <c:v>16.938099999999885</c:v>
                </c:pt>
                <c:pt idx="731">
                  <c:v>16.938199999999885</c:v>
                </c:pt>
                <c:pt idx="732">
                  <c:v>16.938299999999884</c:v>
                </c:pt>
                <c:pt idx="733">
                  <c:v>16.938399999999884</c:v>
                </c:pt>
                <c:pt idx="734">
                  <c:v>16.938499999999884</c:v>
                </c:pt>
                <c:pt idx="735">
                  <c:v>16.938599999999884</c:v>
                </c:pt>
                <c:pt idx="736">
                  <c:v>16.938699999999884</c:v>
                </c:pt>
                <c:pt idx="737">
                  <c:v>16.938799999999883</c:v>
                </c:pt>
                <c:pt idx="738">
                  <c:v>16.938899999999883</c:v>
                </c:pt>
                <c:pt idx="739">
                  <c:v>16.938999999999883</c:v>
                </c:pt>
                <c:pt idx="740">
                  <c:v>16.939099999999883</c:v>
                </c:pt>
                <c:pt idx="741">
                  <c:v>16.939199999999882</c:v>
                </c:pt>
                <c:pt idx="742">
                  <c:v>16.939299999999882</c:v>
                </c:pt>
                <c:pt idx="743">
                  <c:v>16.939399999999882</c:v>
                </c:pt>
                <c:pt idx="744">
                  <c:v>16.939499999999882</c:v>
                </c:pt>
                <c:pt idx="745">
                  <c:v>16.939599999999881</c:v>
                </c:pt>
                <c:pt idx="746">
                  <c:v>16.939699999999881</c:v>
                </c:pt>
                <c:pt idx="747">
                  <c:v>16.939799999999881</c:v>
                </c:pt>
                <c:pt idx="748">
                  <c:v>16.939899999999881</c:v>
                </c:pt>
                <c:pt idx="749">
                  <c:v>16.93999999999988</c:v>
                </c:pt>
                <c:pt idx="750">
                  <c:v>16.94009999999988</c:v>
                </c:pt>
                <c:pt idx="751">
                  <c:v>16.94019999999988</c:v>
                </c:pt>
                <c:pt idx="752">
                  <c:v>16.94029999999988</c:v>
                </c:pt>
                <c:pt idx="753">
                  <c:v>16.94039999999988</c:v>
                </c:pt>
                <c:pt idx="754">
                  <c:v>16.940499999999879</c:v>
                </c:pt>
                <c:pt idx="755">
                  <c:v>16.940599999999879</c:v>
                </c:pt>
                <c:pt idx="756">
                  <c:v>16.940699999999879</c:v>
                </c:pt>
                <c:pt idx="757">
                  <c:v>16.940799999999879</c:v>
                </c:pt>
                <c:pt idx="758">
                  <c:v>16.940899999999878</c:v>
                </c:pt>
                <c:pt idx="759">
                  <c:v>16.940999999999878</c:v>
                </c:pt>
                <c:pt idx="760">
                  <c:v>16.941099999999878</c:v>
                </c:pt>
                <c:pt idx="761">
                  <c:v>16.941199999999878</c:v>
                </c:pt>
                <c:pt idx="762">
                  <c:v>16.941299999999877</c:v>
                </c:pt>
                <c:pt idx="763">
                  <c:v>16.941399999999877</c:v>
                </c:pt>
                <c:pt idx="764">
                  <c:v>16.941499999999877</c:v>
                </c:pt>
                <c:pt idx="765">
                  <c:v>16.941599999999877</c:v>
                </c:pt>
                <c:pt idx="766">
                  <c:v>16.941699999999877</c:v>
                </c:pt>
                <c:pt idx="767">
                  <c:v>16.941799999999876</c:v>
                </c:pt>
                <c:pt idx="768">
                  <c:v>16.941899999999876</c:v>
                </c:pt>
                <c:pt idx="769">
                  <c:v>16.941999999999876</c:v>
                </c:pt>
                <c:pt idx="770">
                  <c:v>16.942099999999876</c:v>
                </c:pt>
                <c:pt idx="771">
                  <c:v>16.942199999999875</c:v>
                </c:pt>
                <c:pt idx="772">
                  <c:v>16.942299999999875</c:v>
                </c:pt>
                <c:pt idx="773">
                  <c:v>16.942399999999875</c:v>
                </c:pt>
                <c:pt idx="774">
                  <c:v>16.942499999999875</c:v>
                </c:pt>
                <c:pt idx="775">
                  <c:v>16.942599999999874</c:v>
                </c:pt>
                <c:pt idx="776">
                  <c:v>16.942699999999874</c:v>
                </c:pt>
                <c:pt idx="777">
                  <c:v>16.942799999999874</c:v>
                </c:pt>
                <c:pt idx="778">
                  <c:v>16.942899999999874</c:v>
                </c:pt>
                <c:pt idx="779">
                  <c:v>16.942999999999873</c:v>
                </c:pt>
                <c:pt idx="780">
                  <c:v>16.943099999999873</c:v>
                </c:pt>
                <c:pt idx="781">
                  <c:v>16.943199999999873</c:v>
                </c:pt>
                <c:pt idx="782">
                  <c:v>16.943299999999873</c:v>
                </c:pt>
                <c:pt idx="783">
                  <c:v>16.943399999999873</c:v>
                </c:pt>
                <c:pt idx="784">
                  <c:v>16.943499999999872</c:v>
                </c:pt>
                <c:pt idx="785">
                  <c:v>16.943599999999872</c:v>
                </c:pt>
                <c:pt idx="786">
                  <c:v>16.943699999999872</c:v>
                </c:pt>
                <c:pt idx="787">
                  <c:v>16.943799999999872</c:v>
                </c:pt>
                <c:pt idx="788">
                  <c:v>16.943899999999871</c:v>
                </c:pt>
                <c:pt idx="789">
                  <c:v>16.943999999999871</c:v>
                </c:pt>
                <c:pt idx="790">
                  <c:v>16.944099999999871</c:v>
                </c:pt>
                <c:pt idx="791">
                  <c:v>16.944199999999871</c:v>
                </c:pt>
                <c:pt idx="792">
                  <c:v>16.94429999999987</c:v>
                </c:pt>
                <c:pt idx="793">
                  <c:v>16.94439999999987</c:v>
                </c:pt>
                <c:pt idx="794">
                  <c:v>16.94449999999987</c:v>
                </c:pt>
                <c:pt idx="795">
                  <c:v>16.94459999999987</c:v>
                </c:pt>
                <c:pt idx="796">
                  <c:v>16.94469999999987</c:v>
                </c:pt>
                <c:pt idx="797">
                  <c:v>16.944799999999869</c:v>
                </c:pt>
                <c:pt idx="798">
                  <c:v>16.944899999999869</c:v>
                </c:pt>
                <c:pt idx="799">
                  <c:v>16.944999999999869</c:v>
                </c:pt>
                <c:pt idx="800">
                  <c:v>16.945099999999869</c:v>
                </c:pt>
                <c:pt idx="801">
                  <c:v>16.945199999999868</c:v>
                </c:pt>
                <c:pt idx="802">
                  <c:v>16.945299999999868</c:v>
                </c:pt>
                <c:pt idx="803">
                  <c:v>16.945399999999868</c:v>
                </c:pt>
                <c:pt idx="804">
                  <c:v>16.945499999999868</c:v>
                </c:pt>
                <c:pt idx="805">
                  <c:v>16.945599999999867</c:v>
                </c:pt>
                <c:pt idx="806">
                  <c:v>16.945699999999867</c:v>
                </c:pt>
                <c:pt idx="807">
                  <c:v>16.945799999999867</c:v>
                </c:pt>
                <c:pt idx="808">
                  <c:v>16.945899999999867</c:v>
                </c:pt>
                <c:pt idx="809">
                  <c:v>16.945999999999867</c:v>
                </c:pt>
                <c:pt idx="810">
                  <c:v>16.946099999999866</c:v>
                </c:pt>
                <c:pt idx="811">
                  <c:v>16.946199999999866</c:v>
                </c:pt>
                <c:pt idx="812">
                  <c:v>16.946299999999866</c:v>
                </c:pt>
                <c:pt idx="813">
                  <c:v>16.946399999999866</c:v>
                </c:pt>
                <c:pt idx="814">
                  <c:v>16.946499999999865</c:v>
                </c:pt>
                <c:pt idx="815">
                  <c:v>16.946599999999865</c:v>
                </c:pt>
                <c:pt idx="816">
                  <c:v>16.946699999999865</c:v>
                </c:pt>
                <c:pt idx="817">
                  <c:v>16.946799999999865</c:v>
                </c:pt>
                <c:pt idx="818">
                  <c:v>16.946899999999864</c:v>
                </c:pt>
                <c:pt idx="819">
                  <c:v>16.946999999999864</c:v>
                </c:pt>
                <c:pt idx="820">
                  <c:v>16.947099999999864</c:v>
                </c:pt>
                <c:pt idx="821">
                  <c:v>16.947199999999864</c:v>
                </c:pt>
                <c:pt idx="822">
                  <c:v>16.947299999999863</c:v>
                </c:pt>
                <c:pt idx="823">
                  <c:v>16.947399999999863</c:v>
                </c:pt>
                <c:pt idx="824">
                  <c:v>16.947499999999863</c:v>
                </c:pt>
                <c:pt idx="825">
                  <c:v>16.947599999999863</c:v>
                </c:pt>
                <c:pt idx="826">
                  <c:v>16.947699999999863</c:v>
                </c:pt>
                <c:pt idx="827">
                  <c:v>16.947799999999862</c:v>
                </c:pt>
                <c:pt idx="828">
                  <c:v>16.947899999999862</c:v>
                </c:pt>
                <c:pt idx="829">
                  <c:v>16.947999999999862</c:v>
                </c:pt>
                <c:pt idx="830">
                  <c:v>16.948099999999862</c:v>
                </c:pt>
                <c:pt idx="831">
                  <c:v>16.948199999999861</c:v>
                </c:pt>
                <c:pt idx="832">
                  <c:v>16.948299999999861</c:v>
                </c:pt>
                <c:pt idx="833">
                  <c:v>16.948399999999861</c:v>
                </c:pt>
                <c:pt idx="834">
                  <c:v>16.948499999999861</c:v>
                </c:pt>
                <c:pt idx="835">
                  <c:v>16.94859999999986</c:v>
                </c:pt>
                <c:pt idx="836">
                  <c:v>16.94869999999986</c:v>
                </c:pt>
                <c:pt idx="837">
                  <c:v>16.94879999999986</c:v>
                </c:pt>
                <c:pt idx="838">
                  <c:v>16.94889999999986</c:v>
                </c:pt>
                <c:pt idx="839">
                  <c:v>16.94899999999986</c:v>
                </c:pt>
                <c:pt idx="840">
                  <c:v>16.949099999999859</c:v>
                </c:pt>
                <c:pt idx="841">
                  <c:v>16.949199999999859</c:v>
                </c:pt>
                <c:pt idx="842">
                  <c:v>16.949299999999859</c:v>
                </c:pt>
                <c:pt idx="843">
                  <c:v>16.949399999999859</c:v>
                </c:pt>
                <c:pt idx="844">
                  <c:v>16.949499999999858</c:v>
                </c:pt>
                <c:pt idx="845">
                  <c:v>16.949599999999858</c:v>
                </c:pt>
                <c:pt idx="846">
                  <c:v>16.949699999999858</c:v>
                </c:pt>
                <c:pt idx="847">
                  <c:v>16.949799999999858</c:v>
                </c:pt>
                <c:pt idx="848">
                  <c:v>16.949899999999857</c:v>
                </c:pt>
                <c:pt idx="849">
                  <c:v>16.949999999999857</c:v>
                </c:pt>
                <c:pt idx="850">
                  <c:v>16.950099999999857</c:v>
                </c:pt>
                <c:pt idx="851">
                  <c:v>16.950199999999857</c:v>
                </c:pt>
                <c:pt idx="852">
                  <c:v>16.950299999999856</c:v>
                </c:pt>
                <c:pt idx="853">
                  <c:v>16.950399999999856</c:v>
                </c:pt>
                <c:pt idx="854">
                  <c:v>16.950499999999856</c:v>
                </c:pt>
                <c:pt idx="855">
                  <c:v>16.950599999999856</c:v>
                </c:pt>
                <c:pt idx="856">
                  <c:v>16.950699999999856</c:v>
                </c:pt>
                <c:pt idx="857">
                  <c:v>16.950799999999855</c:v>
                </c:pt>
                <c:pt idx="858">
                  <c:v>16.950899999999855</c:v>
                </c:pt>
                <c:pt idx="859">
                  <c:v>16.950999999999855</c:v>
                </c:pt>
                <c:pt idx="860">
                  <c:v>16.951099999999855</c:v>
                </c:pt>
                <c:pt idx="861">
                  <c:v>16.951199999999854</c:v>
                </c:pt>
                <c:pt idx="862">
                  <c:v>16.951299999999854</c:v>
                </c:pt>
                <c:pt idx="863">
                  <c:v>16.951399999999854</c:v>
                </c:pt>
                <c:pt idx="864">
                  <c:v>16.951499999999854</c:v>
                </c:pt>
                <c:pt idx="865">
                  <c:v>16.951599999999853</c:v>
                </c:pt>
                <c:pt idx="866">
                  <c:v>16.951699999999853</c:v>
                </c:pt>
                <c:pt idx="867">
                  <c:v>16.951799999999853</c:v>
                </c:pt>
                <c:pt idx="868">
                  <c:v>16.951899999999853</c:v>
                </c:pt>
                <c:pt idx="869">
                  <c:v>16.951999999999853</c:v>
                </c:pt>
                <c:pt idx="870">
                  <c:v>16.952099999999852</c:v>
                </c:pt>
                <c:pt idx="871">
                  <c:v>16.952199999999852</c:v>
                </c:pt>
                <c:pt idx="872">
                  <c:v>16.952299999999852</c:v>
                </c:pt>
                <c:pt idx="873">
                  <c:v>16.952399999999852</c:v>
                </c:pt>
                <c:pt idx="874">
                  <c:v>16.952499999999851</c:v>
                </c:pt>
                <c:pt idx="875">
                  <c:v>16.952599999999851</c:v>
                </c:pt>
                <c:pt idx="876">
                  <c:v>16.952699999999851</c:v>
                </c:pt>
                <c:pt idx="877">
                  <c:v>16.952799999999851</c:v>
                </c:pt>
                <c:pt idx="878">
                  <c:v>16.95289999999985</c:v>
                </c:pt>
                <c:pt idx="879">
                  <c:v>16.95299999999985</c:v>
                </c:pt>
                <c:pt idx="880">
                  <c:v>16.95309999999985</c:v>
                </c:pt>
                <c:pt idx="881">
                  <c:v>16.95319999999985</c:v>
                </c:pt>
                <c:pt idx="882">
                  <c:v>16.953299999999849</c:v>
                </c:pt>
                <c:pt idx="883">
                  <c:v>16.953399999999849</c:v>
                </c:pt>
                <c:pt idx="884">
                  <c:v>16.953499999999849</c:v>
                </c:pt>
                <c:pt idx="885">
                  <c:v>16.953599999999849</c:v>
                </c:pt>
                <c:pt idx="886">
                  <c:v>16.953699999999849</c:v>
                </c:pt>
                <c:pt idx="887">
                  <c:v>16.953799999999848</c:v>
                </c:pt>
                <c:pt idx="888">
                  <c:v>16.953899999999848</c:v>
                </c:pt>
                <c:pt idx="889">
                  <c:v>16.953999999999848</c:v>
                </c:pt>
                <c:pt idx="890">
                  <c:v>16.954099999999848</c:v>
                </c:pt>
                <c:pt idx="891">
                  <c:v>16.954199999999847</c:v>
                </c:pt>
                <c:pt idx="892">
                  <c:v>16.954299999999847</c:v>
                </c:pt>
                <c:pt idx="893">
                  <c:v>16.954399999999847</c:v>
                </c:pt>
                <c:pt idx="894">
                  <c:v>16.954499999999847</c:v>
                </c:pt>
                <c:pt idx="895">
                  <c:v>16.954599999999846</c:v>
                </c:pt>
                <c:pt idx="896">
                  <c:v>16.954699999999846</c:v>
                </c:pt>
                <c:pt idx="897">
                  <c:v>16.954799999999846</c:v>
                </c:pt>
                <c:pt idx="898">
                  <c:v>16.954899999999846</c:v>
                </c:pt>
                <c:pt idx="899">
                  <c:v>16.954999999999846</c:v>
                </c:pt>
                <c:pt idx="900">
                  <c:v>16.955099999999845</c:v>
                </c:pt>
                <c:pt idx="901">
                  <c:v>16.955199999999845</c:v>
                </c:pt>
                <c:pt idx="902">
                  <c:v>16.955299999999845</c:v>
                </c:pt>
                <c:pt idx="903">
                  <c:v>16.955399999999845</c:v>
                </c:pt>
                <c:pt idx="904">
                  <c:v>16.955499999999844</c:v>
                </c:pt>
                <c:pt idx="905">
                  <c:v>16.955599999999844</c:v>
                </c:pt>
                <c:pt idx="906">
                  <c:v>16.955699999999844</c:v>
                </c:pt>
                <c:pt idx="907">
                  <c:v>16.955799999999844</c:v>
                </c:pt>
                <c:pt idx="908">
                  <c:v>16.955899999999843</c:v>
                </c:pt>
                <c:pt idx="909">
                  <c:v>16.955999999999843</c:v>
                </c:pt>
                <c:pt idx="910">
                  <c:v>16.956099999999843</c:v>
                </c:pt>
                <c:pt idx="911">
                  <c:v>16.956199999999843</c:v>
                </c:pt>
                <c:pt idx="912">
                  <c:v>16.956299999999842</c:v>
                </c:pt>
                <c:pt idx="913">
                  <c:v>16.956399999999842</c:v>
                </c:pt>
                <c:pt idx="914">
                  <c:v>16.956499999999842</c:v>
                </c:pt>
                <c:pt idx="915">
                  <c:v>16.956599999999842</c:v>
                </c:pt>
                <c:pt idx="916">
                  <c:v>16.956699999999842</c:v>
                </c:pt>
                <c:pt idx="917">
                  <c:v>16.956799999999841</c:v>
                </c:pt>
                <c:pt idx="918">
                  <c:v>16.956899999999841</c:v>
                </c:pt>
                <c:pt idx="919">
                  <c:v>16.956999999999841</c:v>
                </c:pt>
                <c:pt idx="920">
                  <c:v>16.957099999999841</c:v>
                </c:pt>
                <c:pt idx="921">
                  <c:v>16.95719999999984</c:v>
                </c:pt>
                <c:pt idx="922">
                  <c:v>16.95729999999984</c:v>
                </c:pt>
                <c:pt idx="923">
                  <c:v>16.95739999999984</c:v>
                </c:pt>
                <c:pt idx="924">
                  <c:v>16.95749999999984</c:v>
                </c:pt>
                <c:pt idx="925">
                  <c:v>16.957599999999839</c:v>
                </c:pt>
                <c:pt idx="926">
                  <c:v>16.957699999999839</c:v>
                </c:pt>
                <c:pt idx="927">
                  <c:v>16.957799999999839</c:v>
                </c:pt>
                <c:pt idx="928">
                  <c:v>16.957899999999839</c:v>
                </c:pt>
                <c:pt idx="929">
                  <c:v>16.957999999999839</c:v>
                </c:pt>
                <c:pt idx="930">
                  <c:v>16.958099999999838</c:v>
                </c:pt>
                <c:pt idx="931">
                  <c:v>16.958199999999838</c:v>
                </c:pt>
                <c:pt idx="932">
                  <c:v>16.958299999999838</c:v>
                </c:pt>
                <c:pt idx="933">
                  <c:v>16.958399999999838</c:v>
                </c:pt>
                <c:pt idx="934">
                  <c:v>16.958499999999837</c:v>
                </c:pt>
                <c:pt idx="935">
                  <c:v>16.958599999999837</c:v>
                </c:pt>
                <c:pt idx="936">
                  <c:v>16.958699999999837</c:v>
                </c:pt>
                <c:pt idx="937">
                  <c:v>16.958799999999837</c:v>
                </c:pt>
                <c:pt idx="938">
                  <c:v>16.958899999999836</c:v>
                </c:pt>
                <c:pt idx="939">
                  <c:v>16.958999999999836</c:v>
                </c:pt>
                <c:pt idx="940">
                  <c:v>16.959099999999836</c:v>
                </c:pt>
                <c:pt idx="941">
                  <c:v>16.959199999999836</c:v>
                </c:pt>
                <c:pt idx="942">
                  <c:v>16.959299999999836</c:v>
                </c:pt>
                <c:pt idx="943">
                  <c:v>16.959399999999835</c:v>
                </c:pt>
                <c:pt idx="944">
                  <c:v>16.959499999999835</c:v>
                </c:pt>
                <c:pt idx="945">
                  <c:v>16.959599999999835</c:v>
                </c:pt>
                <c:pt idx="946">
                  <c:v>16.959699999999835</c:v>
                </c:pt>
                <c:pt idx="947">
                  <c:v>16.959799999999834</c:v>
                </c:pt>
                <c:pt idx="948">
                  <c:v>16.959899999999834</c:v>
                </c:pt>
                <c:pt idx="949">
                  <c:v>16.959999999999834</c:v>
                </c:pt>
                <c:pt idx="950">
                  <c:v>16.960099999999834</c:v>
                </c:pt>
                <c:pt idx="951">
                  <c:v>16.960199999999833</c:v>
                </c:pt>
                <c:pt idx="952">
                  <c:v>16.960299999999833</c:v>
                </c:pt>
                <c:pt idx="953">
                  <c:v>16.960399999999833</c:v>
                </c:pt>
                <c:pt idx="954">
                  <c:v>16.960499999999833</c:v>
                </c:pt>
                <c:pt idx="955">
                  <c:v>16.960599999999832</c:v>
                </c:pt>
                <c:pt idx="956">
                  <c:v>16.960699999999832</c:v>
                </c:pt>
                <c:pt idx="957">
                  <c:v>16.960799999999832</c:v>
                </c:pt>
                <c:pt idx="958">
                  <c:v>16.960899999999832</c:v>
                </c:pt>
                <c:pt idx="959">
                  <c:v>16.960999999999832</c:v>
                </c:pt>
                <c:pt idx="960">
                  <c:v>16.961099999999831</c:v>
                </c:pt>
                <c:pt idx="961">
                  <c:v>16.961199999999831</c:v>
                </c:pt>
                <c:pt idx="962">
                  <c:v>16.961299999999831</c:v>
                </c:pt>
                <c:pt idx="963">
                  <c:v>16.961399999999831</c:v>
                </c:pt>
                <c:pt idx="964">
                  <c:v>16.96149999999983</c:v>
                </c:pt>
                <c:pt idx="965">
                  <c:v>16.96159999999983</c:v>
                </c:pt>
                <c:pt idx="966">
                  <c:v>16.96169999999983</c:v>
                </c:pt>
                <c:pt idx="967">
                  <c:v>16.96179999999983</c:v>
                </c:pt>
                <c:pt idx="968">
                  <c:v>16.961899999999829</c:v>
                </c:pt>
                <c:pt idx="969">
                  <c:v>16.961999999999829</c:v>
                </c:pt>
                <c:pt idx="970">
                  <c:v>16.962099999999829</c:v>
                </c:pt>
                <c:pt idx="971">
                  <c:v>16.962199999999829</c:v>
                </c:pt>
                <c:pt idx="972">
                  <c:v>16.962299999999829</c:v>
                </c:pt>
                <c:pt idx="973">
                  <c:v>16.962399999999828</c:v>
                </c:pt>
                <c:pt idx="974">
                  <c:v>16.962499999999828</c:v>
                </c:pt>
                <c:pt idx="975">
                  <c:v>16.962599999999828</c:v>
                </c:pt>
                <c:pt idx="976">
                  <c:v>16.962699999999828</c:v>
                </c:pt>
                <c:pt idx="977">
                  <c:v>16.962799999999827</c:v>
                </c:pt>
                <c:pt idx="978">
                  <c:v>16.962899999999827</c:v>
                </c:pt>
                <c:pt idx="979">
                  <c:v>16.962999999999827</c:v>
                </c:pt>
                <c:pt idx="980">
                  <c:v>16.963099999999827</c:v>
                </c:pt>
                <c:pt idx="981">
                  <c:v>16.963199999999826</c:v>
                </c:pt>
                <c:pt idx="982">
                  <c:v>16.963299999999826</c:v>
                </c:pt>
                <c:pt idx="983">
                  <c:v>16.963399999999826</c:v>
                </c:pt>
                <c:pt idx="984">
                  <c:v>16.963499999999826</c:v>
                </c:pt>
                <c:pt idx="985">
                  <c:v>16.963599999999825</c:v>
                </c:pt>
                <c:pt idx="986">
                  <c:v>16.963699999999825</c:v>
                </c:pt>
                <c:pt idx="987">
                  <c:v>16.963799999999825</c:v>
                </c:pt>
                <c:pt idx="988">
                  <c:v>16.963899999999825</c:v>
                </c:pt>
                <c:pt idx="989">
                  <c:v>16.963999999999825</c:v>
                </c:pt>
                <c:pt idx="990">
                  <c:v>16.964099999999824</c:v>
                </c:pt>
                <c:pt idx="991">
                  <c:v>16.964199999999824</c:v>
                </c:pt>
                <c:pt idx="992">
                  <c:v>16.964299999999824</c:v>
                </c:pt>
                <c:pt idx="993">
                  <c:v>16.964399999999824</c:v>
                </c:pt>
                <c:pt idx="994">
                  <c:v>16.964499999999823</c:v>
                </c:pt>
                <c:pt idx="995">
                  <c:v>16.964599999999823</c:v>
                </c:pt>
                <c:pt idx="996">
                  <c:v>16.964699999999823</c:v>
                </c:pt>
                <c:pt idx="997">
                  <c:v>16.964799999999823</c:v>
                </c:pt>
                <c:pt idx="998">
                  <c:v>16.964899999999822</c:v>
                </c:pt>
                <c:pt idx="999">
                  <c:v>16.964999999999822</c:v>
                </c:pt>
                <c:pt idx="1000">
                  <c:v>16.965099999999822</c:v>
                </c:pt>
              </c:numCache>
            </c:numRef>
          </c:xVal>
          <c:yVal>
            <c:numRef>
              <c:f>Calculs!$T$4:$T$1004</c:f>
              <c:numCache>
                <c:formatCode>0.00</c:formatCode>
                <c:ptCount val="1001"/>
                <c:pt idx="0">
                  <c:v>4.5224099999999998</c:v>
                </c:pt>
                <c:pt idx="1">
                  <c:v>4.521591410273464</c:v>
                </c:pt>
                <c:pt idx="2">
                  <c:v>4.5192180683711687</c:v>
                </c:pt>
                <c:pt idx="3">
                  <c:v>4.5157377353902524</c:v>
                </c:pt>
                <c:pt idx="4">
                  <c:v>4.5129414557192673</c:v>
                </c:pt>
                <c:pt idx="5">
                  <c:v>4.5108292293582126</c:v>
                </c:pt>
                <c:pt idx="6">
                  <c:v>4.5091496344016697</c:v>
                </c:pt>
                <c:pt idx="7">
                  <c:v>4.5075089417614143</c:v>
                </c:pt>
                <c:pt idx="8">
                  <c:v>4.5058122799822415</c:v>
                </c:pt>
                <c:pt idx="9">
                  <c:v>4.5040596490641542</c:v>
                </c:pt>
                <c:pt idx="10">
                  <c:v>4.5022510490071506</c:v>
                </c:pt>
                <c:pt idx="11">
                  <c:v>4.5004223606821085</c:v>
                </c:pt>
                <c:pt idx="12">
                  <c:v>4.49857358408903</c:v>
                </c:pt>
                <c:pt idx="13">
                  <c:v>4.4967047192279122</c:v>
                </c:pt>
                <c:pt idx="14">
                  <c:v>4.4948157660987569</c:v>
                </c:pt>
                <c:pt idx="15">
                  <c:v>4.4929067247015642</c:v>
                </c:pt>
                <c:pt idx="16">
                  <c:v>4.490977595036334</c:v>
                </c:pt>
                <c:pt idx="17">
                  <c:v>4.4890283771030646</c:v>
                </c:pt>
                <c:pt idx="18">
                  <c:v>4.4870590709017586</c:v>
                </c:pt>
                <c:pt idx="19">
                  <c:v>4.4850696764324143</c:v>
                </c:pt>
                <c:pt idx="20">
                  <c:v>4.4830601936950316</c:v>
                </c:pt>
                <c:pt idx="21">
                  <c:v>4.4810306226896124</c:v>
                </c:pt>
                <c:pt idx="22">
                  <c:v>4.4789852444260694</c:v>
                </c:pt>
                <c:pt idx="23">
                  <c:v>4.4769340479275392</c:v>
                </c:pt>
                <c:pt idx="24">
                  <c:v>4.474877033194022</c:v>
                </c:pt>
                <c:pt idx="25">
                  <c:v>4.4728142002255185</c:v>
                </c:pt>
                <c:pt idx="26">
                  <c:v>4.4707455490220269</c:v>
                </c:pt>
                <c:pt idx="27">
                  <c:v>4.4686710795835483</c:v>
                </c:pt>
                <c:pt idx="28">
                  <c:v>4.4665907919100825</c:v>
                </c:pt>
                <c:pt idx="29">
                  <c:v>4.4645046860016295</c:v>
                </c:pt>
                <c:pt idx="30">
                  <c:v>4.4624127618581895</c:v>
                </c:pt>
                <c:pt idx="31">
                  <c:v>4.4603150194797632</c:v>
                </c:pt>
                <c:pt idx="32">
                  <c:v>4.458211458866348</c:v>
                </c:pt>
                <c:pt idx="33">
                  <c:v>4.4561020800179465</c:v>
                </c:pt>
                <c:pt idx="34">
                  <c:v>4.4539868829345579</c:v>
                </c:pt>
                <c:pt idx="35">
                  <c:v>4.4518669750873103</c:v>
                </c:pt>
                <c:pt idx="36">
                  <c:v>4.4497523237163614</c:v>
                </c:pt>
                <c:pt idx="37">
                  <c:v>4.4476429288217094</c:v>
                </c:pt>
                <c:pt idx="38">
                  <c:v>4.4455387904033552</c:v>
                </c:pt>
                <c:pt idx="39">
                  <c:v>4.4434399084612979</c:v>
                </c:pt>
                <c:pt idx="40">
                  <c:v>4.4413462829955392</c:v>
                </c:pt>
                <c:pt idx="41">
                  <c:v>4.4392579140060775</c:v>
                </c:pt>
                <c:pt idx="42">
                  <c:v>4.4371748014929144</c:v>
                </c:pt>
                <c:pt idx="43">
                  <c:v>4.4350969454560483</c:v>
                </c:pt>
                <c:pt idx="44">
                  <c:v>4.4330243458954799</c:v>
                </c:pt>
                <c:pt idx="45">
                  <c:v>4.4309570028112093</c:v>
                </c:pt>
                <c:pt idx="46">
                  <c:v>4.4288949162032365</c:v>
                </c:pt>
                <c:pt idx="47">
                  <c:v>4.4268380860715615</c:v>
                </c:pt>
                <c:pt idx="48">
                  <c:v>4.4247865124161834</c:v>
                </c:pt>
                <c:pt idx="49">
                  <c:v>4.422740195237103</c:v>
                </c:pt>
                <c:pt idx="50">
                  <c:v>4.4206991345343214</c:v>
                </c:pt>
                <c:pt idx="51">
                  <c:v>4.4186633303078366</c:v>
                </c:pt>
                <c:pt idx="52">
                  <c:v>4.4166327825576497</c:v>
                </c:pt>
                <c:pt idx="53">
                  <c:v>4.4146074912837596</c:v>
                </c:pt>
                <c:pt idx="54">
                  <c:v>4.4125874564861682</c:v>
                </c:pt>
                <c:pt idx="55">
                  <c:v>4.4105726781648746</c:v>
                </c:pt>
                <c:pt idx="56">
                  <c:v>4.4085631563198788</c:v>
                </c:pt>
                <c:pt idx="57">
                  <c:v>4.4065588909511799</c:v>
                </c:pt>
                <c:pt idx="58">
                  <c:v>4.4045598820587788</c:v>
                </c:pt>
                <c:pt idx="59">
                  <c:v>4.4025661296426755</c:v>
                </c:pt>
                <c:pt idx="60">
                  <c:v>4.4005776337028699</c:v>
                </c:pt>
                <c:pt idx="61">
                  <c:v>4.3985943942393622</c:v>
                </c:pt>
                <c:pt idx="62">
                  <c:v>4.3966164112521513</c:v>
                </c:pt>
                <c:pt idx="63">
                  <c:v>4.3946436847412391</c:v>
                </c:pt>
                <c:pt idx="64">
                  <c:v>4.3926762147066238</c:v>
                </c:pt>
                <c:pt idx="65">
                  <c:v>4.3907140011483063</c:v>
                </c:pt>
                <c:pt idx="66">
                  <c:v>4.3887570440662866</c:v>
                </c:pt>
                <c:pt idx="67">
                  <c:v>4.3868053434605647</c:v>
                </c:pt>
                <c:pt idx="68">
                  <c:v>4.3848588993311406</c:v>
                </c:pt>
                <c:pt idx="69">
                  <c:v>4.3829177116780142</c:v>
                </c:pt>
                <c:pt idx="70">
                  <c:v>4.3809817805011848</c:v>
                </c:pt>
                <c:pt idx="71">
                  <c:v>4.379051105800654</c:v>
                </c:pt>
                <c:pt idx="72">
                  <c:v>4.3771256875764202</c:v>
                </c:pt>
                <c:pt idx="73">
                  <c:v>4.3752055258284841</c:v>
                </c:pt>
                <c:pt idx="74">
                  <c:v>4.3732906205568458</c:v>
                </c:pt>
                <c:pt idx="75">
                  <c:v>4.3713809717615053</c:v>
                </c:pt>
                <c:pt idx="76">
                  <c:v>4.3694765794424626</c:v>
                </c:pt>
                <c:pt idx="77">
                  <c:v>4.3675774435997168</c:v>
                </c:pt>
                <c:pt idx="78">
                  <c:v>4.3656835642332688</c:v>
                </c:pt>
                <c:pt idx="79">
                  <c:v>4.3637949413431194</c:v>
                </c:pt>
                <c:pt idx="80">
                  <c:v>4.361911574929267</c:v>
                </c:pt>
                <c:pt idx="81">
                  <c:v>4.3600334649917123</c:v>
                </c:pt>
                <c:pt idx="82">
                  <c:v>4.3581606115304554</c:v>
                </c:pt>
                <c:pt idx="83">
                  <c:v>4.3562930145454963</c:v>
                </c:pt>
                <c:pt idx="84">
                  <c:v>4.3544306740368341</c:v>
                </c:pt>
                <c:pt idx="85">
                  <c:v>4.3525735900044706</c:v>
                </c:pt>
                <c:pt idx="86">
                  <c:v>4.350721762448404</c:v>
                </c:pt>
                <c:pt idx="87">
                  <c:v>4.3488751913686352</c:v>
                </c:pt>
                <c:pt idx="88">
                  <c:v>4.3470338767651642</c:v>
                </c:pt>
                <c:pt idx="89">
                  <c:v>4.3451978186379909</c:v>
                </c:pt>
                <c:pt idx="90">
                  <c:v>4.3433670169871155</c:v>
                </c:pt>
                <c:pt idx="91">
                  <c:v>4.3415414718125378</c:v>
                </c:pt>
                <c:pt idx="92">
                  <c:v>4.339721183114257</c:v>
                </c:pt>
                <c:pt idx="93">
                  <c:v>4.3379061508922749</c:v>
                </c:pt>
                <c:pt idx="94">
                  <c:v>4.3360963751465897</c:v>
                </c:pt>
                <c:pt idx="95">
                  <c:v>4.3342918558772023</c:v>
                </c:pt>
                <c:pt idx="96">
                  <c:v>4.3324925930841127</c:v>
                </c:pt>
                <c:pt idx="97">
                  <c:v>4.3306985867673209</c:v>
                </c:pt>
                <c:pt idx="98">
                  <c:v>4.3289098369268268</c:v>
                </c:pt>
                <c:pt idx="99">
                  <c:v>4.3271263435626306</c:v>
                </c:pt>
                <c:pt idx="100">
                  <c:v>4.3253481066747312</c:v>
                </c:pt>
                <c:pt idx="101">
                  <c:v>4.3235751262631297</c:v>
                </c:pt>
                <c:pt idx="102">
                  <c:v>4.3218074023278259</c:v>
                </c:pt>
                <c:pt idx="103">
                  <c:v>4.3200449348688199</c:v>
                </c:pt>
                <c:pt idx="104">
                  <c:v>4.3182877238861117</c:v>
                </c:pt>
                <c:pt idx="105">
                  <c:v>4.3165357693797013</c:v>
                </c:pt>
                <c:pt idx="106">
                  <c:v>4.3147890713495878</c:v>
                </c:pt>
                <c:pt idx="107">
                  <c:v>4.3130476297957729</c:v>
                </c:pt>
                <c:pt idx="108">
                  <c:v>4.311311444718255</c:v>
                </c:pt>
                <c:pt idx="109">
                  <c:v>4.3095805161170349</c:v>
                </c:pt>
                <c:pt idx="110">
                  <c:v>4.3078548439921125</c:v>
                </c:pt>
                <c:pt idx="111">
                  <c:v>4.3061344283434879</c:v>
                </c:pt>
                <c:pt idx="112">
                  <c:v>4.3044192691711611</c:v>
                </c:pt>
                <c:pt idx="113">
                  <c:v>4.3027093664751312</c:v>
                </c:pt>
                <c:pt idx="114">
                  <c:v>4.3010047202554</c:v>
                </c:pt>
                <c:pt idx="115">
                  <c:v>4.2993053305119657</c:v>
                </c:pt>
                <c:pt idx="116">
                  <c:v>4.2976111972448301</c:v>
                </c:pt>
                <c:pt idx="117">
                  <c:v>4.2959223204539914</c:v>
                </c:pt>
                <c:pt idx="118">
                  <c:v>4.2942387001394495</c:v>
                </c:pt>
                <c:pt idx="119">
                  <c:v>4.2925603363012064</c:v>
                </c:pt>
                <c:pt idx="120">
                  <c:v>4.290887228939261</c:v>
                </c:pt>
                <c:pt idx="121">
                  <c:v>4.2892193780536125</c:v>
                </c:pt>
                <c:pt idx="122">
                  <c:v>4.2875567836442627</c:v>
                </c:pt>
                <c:pt idx="123">
                  <c:v>4.2858994457112098</c:v>
                </c:pt>
                <c:pt idx="124">
                  <c:v>4.2842473642544547</c:v>
                </c:pt>
                <c:pt idx="125">
                  <c:v>4.2826005392739974</c:v>
                </c:pt>
                <c:pt idx="126">
                  <c:v>4.2809589707698379</c:v>
                </c:pt>
                <c:pt idx="127">
                  <c:v>4.2793226587419761</c:v>
                </c:pt>
                <c:pt idx="128">
                  <c:v>4.2776916031904113</c:v>
                </c:pt>
                <c:pt idx="129">
                  <c:v>4.2760658041151451</c:v>
                </c:pt>
                <c:pt idx="130">
                  <c:v>4.2744452615161759</c:v>
                </c:pt>
                <c:pt idx="131">
                  <c:v>4.2728299753935044</c:v>
                </c:pt>
                <c:pt idx="132">
                  <c:v>4.2712199457471307</c:v>
                </c:pt>
                <c:pt idx="133">
                  <c:v>4.2696151725770548</c:v>
                </c:pt>
                <c:pt idx="134">
                  <c:v>4.2680156558832767</c:v>
                </c:pt>
                <c:pt idx="135">
                  <c:v>4.2664213956657955</c:v>
                </c:pt>
                <c:pt idx="136">
                  <c:v>4.2648323919246129</c:v>
                </c:pt>
                <c:pt idx="137">
                  <c:v>4.2632486446597273</c:v>
                </c:pt>
                <c:pt idx="138">
                  <c:v>4.2616701538711403</c:v>
                </c:pt>
                <c:pt idx="139">
                  <c:v>4.2600969195588503</c:v>
                </c:pt>
                <c:pt idx="140">
                  <c:v>4.2585289417228571</c:v>
                </c:pt>
                <c:pt idx="141">
                  <c:v>4.2569662203631626</c:v>
                </c:pt>
                <c:pt idx="142">
                  <c:v>4.2554087554797659</c:v>
                </c:pt>
                <c:pt idx="143">
                  <c:v>4.253856547072667</c:v>
                </c:pt>
                <c:pt idx="144">
                  <c:v>4.252309595141865</c:v>
                </c:pt>
                <c:pt idx="145">
                  <c:v>4.2507678996873608</c:v>
                </c:pt>
                <c:pt idx="146">
                  <c:v>4.2492314607091544</c:v>
                </c:pt>
                <c:pt idx="147">
                  <c:v>4.2477002782072457</c:v>
                </c:pt>
                <c:pt idx="148">
                  <c:v>4.2461743521816349</c:v>
                </c:pt>
                <c:pt idx="149">
                  <c:v>4.2446536826323218</c:v>
                </c:pt>
                <c:pt idx="150">
                  <c:v>4.2431382695593056</c:v>
                </c:pt>
                <c:pt idx="151">
                  <c:v>4.2416281129625881</c:v>
                </c:pt>
                <c:pt idx="152">
                  <c:v>4.2401232128421675</c:v>
                </c:pt>
                <c:pt idx="153">
                  <c:v>4.2386235691980447</c:v>
                </c:pt>
                <c:pt idx="154">
                  <c:v>4.2371291820302197</c:v>
                </c:pt>
                <c:pt idx="155">
                  <c:v>4.2356400513386925</c:v>
                </c:pt>
                <c:pt idx="156">
                  <c:v>4.234156177123463</c:v>
                </c:pt>
                <c:pt idx="157">
                  <c:v>4.2326775593845305</c:v>
                </c:pt>
                <c:pt idx="158">
                  <c:v>4.2311945928915113</c:v>
                </c:pt>
                <c:pt idx="159">
                  <c:v>4.2297048763368066</c:v>
                </c:pt>
                <c:pt idx="160">
                  <c:v>4.2282084097204189</c:v>
                </c:pt>
                <c:pt idx="161">
                  <c:v>4.2267051930423456</c:v>
                </c:pt>
                <c:pt idx="162">
                  <c:v>4.2251952263025885</c:v>
                </c:pt>
                <c:pt idx="163">
                  <c:v>4.2236785095011475</c:v>
                </c:pt>
                <c:pt idx="164">
                  <c:v>4.2221691357079854</c:v>
                </c:pt>
                <c:pt idx="165">
                  <c:v>4.2206882445280476</c:v>
                </c:pt>
                <c:pt idx="166">
                  <c:v>4.2192358359613351</c:v>
                </c:pt>
                <c:pt idx="167">
                  <c:v>4.2178262681332708</c:v>
                </c:pt>
                <c:pt idx="168">
                  <c:v>4.2165169735455486</c:v>
                </c:pt>
                <c:pt idx="169">
                  <c:v>4.2153079521981685</c:v>
                </c:pt>
                <c:pt idx="170">
                  <c:v>4.2141992040911296</c:v>
                </c:pt>
                <c:pt idx="171">
                  <c:v>4.2131907292244337</c:v>
                </c:pt>
                <c:pt idx="172">
                  <c:v>4.2122825275980791</c:v>
                </c:pt>
                <c:pt idx="173">
                  <c:v>4.2114745992120666</c:v>
                </c:pt>
                <c:pt idx="174">
                  <c:v>4.2107669440663953</c:v>
                </c:pt>
                <c:pt idx="175">
                  <c:v>4.210159562161067</c:v>
                </c:pt>
                <c:pt idx="176">
                  <c:v>4.20965245349608</c:v>
                </c:pt>
                <c:pt idx="177">
                  <c:v>4.209245618071435</c:v>
                </c:pt>
                <c:pt idx="178">
                  <c:v>4.2089390558871322</c:v>
                </c:pt>
                <c:pt idx="179">
                  <c:v>4.2087327669431716</c:v>
                </c:pt>
                <c:pt idx="180">
                  <c:v>4.2085744521722255</c:v>
                </c:pt>
                <c:pt idx="181">
                  <c:v>4.2084641115742931</c:v>
                </c:pt>
                <c:pt idx="182">
                  <c:v>4.2084017451493745</c:v>
                </c:pt>
                <c:pt idx="183">
                  <c:v>4.2083873528974696</c:v>
                </c:pt>
                <c:pt idx="184">
                  <c:v>4.2083873528974696</c:v>
                </c:pt>
                <c:pt idx="185">
                  <c:v>4.2083873528974696</c:v>
                </c:pt>
                <c:pt idx="186">
                  <c:v>4.2083873528974696</c:v>
                </c:pt>
                <c:pt idx="187">
                  <c:v>4.2083873528974696</c:v>
                </c:pt>
                <c:pt idx="188">
                  <c:v>4.2083873528974696</c:v>
                </c:pt>
                <c:pt idx="189">
                  <c:v>4.2083873528974696</c:v>
                </c:pt>
                <c:pt idx="190">
                  <c:v>4.2083873528974696</c:v>
                </c:pt>
                <c:pt idx="191">
                  <c:v>4.2083873528974696</c:v>
                </c:pt>
                <c:pt idx="192">
                  <c:v>4.2083873528974696</c:v>
                </c:pt>
                <c:pt idx="193">
                  <c:v>4.2083873528974696</c:v>
                </c:pt>
                <c:pt idx="194">
                  <c:v>4.2083873528974696</c:v>
                </c:pt>
                <c:pt idx="195">
                  <c:v>4.2083873528974696</c:v>
                </c:pt>
                <c:pt idx="196">
                  <c:v>4.2083873528974696</c:v>
                </c:pt>
                <c:pt idx="197">
                  <c:v>4.2083873528974696</c:v>
                </c:pt>
                <c:pt idx="198">
                  <c:v>4.2083873528974696</c:v>
                </c:pt>
                <c:pt idx="199">
                  <c:v>4.2083873528974696</c:v>
                </c:pt>
                <c:pt idx="200">
                  <c:v>4.2083873528974696</c:v>
                </c:pt>
                <c:pt idx="201">
                  <c:v>4.2083873528974696</c:v>
                </c:pt>
                <c:pt idx="202">
                  <c:v>4.2083873528974696</c:v>
                </c:pt>
                <c:pt idx="203">
                  <c:v>4.2083873528974696</c:v>
                </c:pt>
                <c:pt idx="204">
                  <c:v>4.2083873528974696</c:v>
                </c:pt>
                <c:pt idx="205">
                  <c:v>4.2083873528974696</c:v>
                </c:pt>
                <c:pt idx="206">
                  <c:v>4.2083873528974696</c:v>
                </c:pt>
                <c:pt idx="207">
                  <c:v>4.2083873528974696</c:v>
                </c:pt>
                <c:pt idx="208">
                  <c:v>4.2083873528974696</c:v>
                </c:pt>
                <c:pt idx="209">
                  <c:v>4.2083873528974696</c:v>
                </c:pt>
                <c:pt idx="210">
                  <c:v>4.2083873528974696</c:v>
                </c:pt>
                <c:pt idx="211">
                  <c:v>4.2083873528974696</c:v>
                </c:pt>
                <c:pt idx="212">
                  <c:v>4.2083873528974696</c:v>
                </c:pt>
                <c:pt idx="213">
                  <c:v>4.2083873528974696</c:v>
                </c:pt>
                <c:pt idx="214">
                  <c:v>4.2083873528974696</c:v>
                </c:pt>
                <c:pt idx="215">
                  <c:v>4.2083873528974696</c:v>
                </c:pt>
                <c:pt idx="216">
                  <c:v>4.2083873528974696</c:v>
                </c:pt>
                <c:pt idx="217">
                  <c:v>4.2083873528974696</c:v>
                </c:pt>
                <c:pt idx="218">
                  <c:v>4.2083873528974696</c:v>
                </c:pt>
                <c:pt idx="219">
                  <c:v>4.2083873528974696</c:v>
                </c:pt>
                <c:pt idx="220">
                  <c:v>4.2083873528974696</c:v>
                </c:pt>
                <c:pt idx="221">
                  <c:v>4.2083873528974696</c:v>
                </c:pt>
                <c:pt idx="222">
                  <c:v>4.2083873528974696</c:v>
                </c:pt>
                <c:pt idx="223">
                  <c:v>4.2083873528974696</c:v>
                </c:pt>
                <c:pt idx="224">
                  <c:v>4.2083873528974696</c:v>
                </c:pt>
                <c:pt idx="225">
                  <c:v>4.2083873528974696</c:v>
                </c:pt>
                <c:pt idx="226">
                  <c:v>4.2083873528974696</c:v>
                </c:pt>
                <c:pt idx="227">
                  <c:v>4.2083873528974696</c:v>
                </c:pt>
                <c:pt idx="228">
                  <c:v>4.2083873528974696</c:v>
                </c:pt>
                <c:pt idx="229">
                  <c:v>4.2083873528974696</c:v>
                </c:pt>
                <c:pt idx="230">
                  <c:v>4.2083873528974696</c:v>
                </c:pt>
                <c:pt idx="231">
                  <c:v>4.2083873528974696</c:v>
                </c:pt>
                <c:pt idx="232">
                  <c:v>4.2083873528974696</c:v>
                </c:pt>
                <c:pt idx="233">
                  <c:v>4.2083873528974696</c:v>
                </c:pt>
                <c:pt idx="234">
                  <c:v>4.2083873528974696</c:v>
                </c:pt>
                <c:pt idx="235">
                  <c:v>4.2083873528974696</c:v>
                </c:pt>
                <c:pt idx="236">
                  <c:v>4.2083873528974696</c:v>
                </c:pt>
                <c:pt idx="237">
                  <c:v>4.2083873528974696</c:v>
                </c:pt>
                <c:pt idx="238">
                  <c:v>4.2083873528974696</c:v>
                </c:pt>
                <c:pt idx="239">
                  <c:v>4.2083873528974696</c:v>
                </c:pt>
                <c:pt idx="240">
                  <c:v>4.2083873528974696</c:v>
                </c:pt>
                <c:pt idx="241">
                  <c:v>4.2083873528974696</c:v>
                </c:pt>
                <c:pt idx="242">
                  <c:v>4.2083873528974696</c:v>
                </c:pt>
                <c:pt idx="243">
                  <c:v>4.2083873528974696</c:v>
                </c:pt>
                <c:pt idx="244">
                  <c:v>4.2083873528974696</c:v>
                </c:pt>
                <c:pt idx="245">
                  <c:v>4.2083873528974696</c:v>
                </c:pt>
                <c:pt idx="246">
                  <c:v>4.2083873528974696</c:v>
                </c:pt>
                <c:pt idx="247">
                  <c:v>4.2083873528974696</c:v>
                </c:pt>
                <c:pt idx="248">
                  <c:v>4.2083873528974696</c:v>
                </c:pt>
                <c:pt idx="249">
                  <c:v>4.2083873528974696</c:v>
                </c:pt>
                <c:pt idx="250">
                  <c:v>4.2083873528974696</c:v>
                </c:pt>
                <c:pt idx="251">
                  <c:v>4.2083873528974696</c:v>
                </c:pt>
                <c:pt idx="252">
                  <c:v>4.2083873528974696</c:v>
                </c:pt>
                <c:pt idx="253">
                  <c:v>4.2083873528974696</c:v>
                </c:pt>
                <c:pt idx="254">
                  <c:v>4.2083873528974696</c:v>
                </c:pt>
                <c:pt idx="255">
                  <c:v>4.2083873528974696</c:v>
                </c:pt>
                <c:pt idx="256">
                  <c:v>4.2083873528974696</c:v>
                </c:pt>
                <c:pt idx="257">
                  <c:v>4.2083873528974696</c:v>
                </c:pt>
                <c:pt idx="258">
                  <c:v>4.2083873528974696</c:v>
                </c:pt>
                <c:pt idx="259">
                  <c:v>4.2083873528974696</c:v>
                </c:pt>
                <c:pt idx="260">
                  <c:v>4.2083873528974696</c:v>
                </c:pt>
                <c:pt idx="261">
                  <c:v>4.2083873528974696</c:v>
                </c:pt>
                <c:pt idx="262">
                  <c:v>4.2083873528974696</c:v>
                </c:pt>
                <c:pt idx="263">
                  <c:v>4.2083873528974696</c:v>
                </c:pt>
                <c:pt idx="264">
                  <c:v>4.2083873528974696</c:v>
                </c:pt>
                <c:pt idx="265">
                  <c:v>4.2083873528974696</c:v>
                </c:pt>
                <c:pt idx="266">
                  <c:v>4.2083873528974696</c:v>
                </c:pt>
                <c:pt idx="267">
                  <c:v>4.2083873528974696</c:v>
                </c:pt>
                <c:pt idx="268">
                  <c:v>4.2083873528974696</c:v>
                </c:pt>
                <c:pt idx="269">
                  <c:v>4.2083873528974696</c:v>
                </c:pt>
                <c:pt idx="270">
                  <c:v>4.2083873528974696</c:v>
                </c:pt>
                <c:pt idx="271">
                  <c:v>4.2083873528974696</c:v>
                </c:pt>
                <c:pt idx="272">
                  <c:v>4.2083873528974696</c:v>
                </c:pt>
                <c:pt idx="273">
                  <c:v>4.2083873528974696</c:v>
                </c:pt>
                <c:pt idx="274">
                  <c:v>4.2083873528974696</c:v>
                </c:pt>
                <c:pt idx="275">
                  <c:v>4.2083873528974696</c:v>
                </c:pt>
                <c:pt idx="276">
                  <c:v>4.2083873528974696</c:v>
                </c:pt>
                <c:pt idx="277">
                  <c:v>4.2083873528974696</c:v>
                </c:pt>
                <c:pt idx="278">
                  <c:v>4.2083873528974696</c:v>
                </c:pt>
                <c:pt idx="279">
                  <c:v>4.2083873528974696</c:v>
                </c:pt>
                <c:pt idx="280">
                  <c:v>4.2083873528974696</c:v>
                </c:pt>
                <c:pt idx="281">
                  <c:v>4.2083873528974696</c:v>
                </c:pt>
                <c:pt idx="282">
                  <c:v>4.2083873528974696</c:v>
                </c:pt>
                <c:pt idx="283">
                  <c:v>4.2083873528974696</c:v>
                </c:pt>
                <c:pt idx="284">
                  <c:v>4.2083873528974696</c:v>
                </c:pt>
                <c:pt idx="285">
                  <c:v>4.2083873528974696</c:v>
                </c:pt>
                <c:pt idx="286">
                  <c:v>4.2083873528974696</c:v>
                </c:pt>
                <c:pt idx="287">
                  <c:v>4.2083873528974696</c:v>
                </c:pt>
                <c:pt idx="288">
                  <c:v>4.2083873528974696</c:v>
                </c:pt>
                <c:pt idx="289">
                  <c:v>4.2083873528974696</c:v>
                </c:pt>
                <c:pt idx="290">
                  <c:v>4.2083873528974696</c:v>
                </c:pt>
                <c:pt idx="291">
                  <c:v>4.2083873528974696</c:v>
                </c:pt>
                <c:pt idx="292">
                  <c:v>4.2083873528974696</c:v>
                </c:pt>
                <c:pt idx="293">
                  <c:v>4.2083873528974696</c:v>
                </c:pt>
                <c:pt idx="294">
                  <c:v>4.2083873528974696</c:v>
                </c:pt>
                <c:pt idx="295">
                  <c:v>4.2083873528974696</c:v>
                </c:pt>
                <c:pt idx="296">
                  <c:v>4.2083873528974696</c:v>
                </c:pt>
                <c:pt idx="297">
                  <c:v>4.2083873528974696</c:v>
                </c:pt>
                <c:pt idx="298">
                  <c:v>4.2083873528974696</c:v>
                </c:pt>
                <c:pt idx="299">
                  <c:v>4.2083873528974696</c:v>
                </c:pt>
                <c:pt idx="300">
                  <c:v>4.2083873528974696</c:v>
                </c:pt>
                <c:pt idx="301">
                  <c:v>4.2083873528974696</c:v>
                </c:pt>
                <c:pt idx="302">
                  <c:v>4.2083873528974696</c:v>
                </c:pt>
                <c:pt idx="303">
                  <c:v>4.2083873528974696</c:v>
                </c:pt>
                <c:pt idx="304">
                  <c:v>4.2083873528974696</c:v>
                </c:pt>
                <c:pt idx="305">
                  <c:v>4.2083873528974696</c:v>
                </c:pt>
                <c:pt idx="306">
                  <c:v>4.2083873528974696</c:v>
                </c:pt>
                <c:pt idx="307">
                  <c:v>4.2083873528974696</c:v>
                </c:pt>
                <c:pt idx="308">
                  <c:v>4.2083873528974696</c:v>
                </c:pt>
                <c:pt idx="309">
                  <c:v>4.2083873528974696</c:v>
                </c:pt>
                <c:pt idx="310">
                  <c:v>4.2083873528974696</c:v>
                </c:pt>
                <c:pt idx="311">
                  <c:v>4.2083873528974696</c:v>
                </c:pt>
                <c:pt idx="312">
                  <c:v>4.2083873528974696</c:v>
                </c:pt>
                <c:pt idx="313">
                  <c:v>4.2083873528974696</c:v>
                </c:pt>
                <c:pt idx="314">
                  <c:v>4.2083873528974696</c:v>
                </c:pt>
                <c:pt idx="315">
                  <c:v>4.2083873528974696</c:v>
                </c:pt>
                <c:pt idx="316">
                  <c:v>4.2083873528974696</c:v>
                </c:pt>
                <c:pt idx="317">
                  <c:v>4.2083873528974696</c:v>
                </c:pt>
                <c:pt idx="318">
                  <c:v>4.2083873528974696</c:v>
                </c:pt>
                <c:pt idx="319">
                  <c:v>4.2083873528974696</c:v>
                </c:pt>
                <c:pt idx="320">
                  <c:v>4.2083873528974696</c:v>
                </c:pt>
                <c:pt idx="321">
                  <c:v>4.2083873528974696</c:v>
                </c:pt>
                <c:pt idx="322">
                  <c:v>4.2083873528974696</c:v>
                </c:pt>
                <c:pt idx="323">
                  <c:v>4.2083873528974696</c:v>
                </c:pt>
                <c:pt idx="324">
                  <c:v>4.2083873528974696</c:v>
                </c:pt>
                <c:pt idx="325">
                  <c:v>4.2083873528974696</c:v>
                </c:pt>
                <c:pt idx="326">
                  <c:v>4.2083873528974696</c:v>
                </c:pt>
                <c:pt idx="327">
                  <c:v>4.2083873528974696</c:v>
                </c:pt>
                <c:pt idx="328">
                  <c:v>4.2083873528974696</c:v>
                </c:pt>
                <c:pt idx="329">
                  <c:v>4.2083873528974696</c:v>
                </c:pt>
                <c:pt idx="330">
                  <c:v>4.2083873528974696</c:v>
                </c:pt>
                <c:pt idx="331">
                  <c:v>4.2083873528974696</c:v>
                </c:pt>
                <c:pt idx="332">
                  <c:v>4.2083873528974696</c:v>
                </c:pt>
                <c:pt idx="333">
                  <c:v>4.2083873528974696</c:v>
                </c:pt>
                <c:pt idx="334">
                  <c:v>4.2083873528974696</c:v>
                </c:pt>
                <c:pt idx="335">
                  <c:v>4.2083873528974696</c:v>
                </c:pt>
                <c:pt idx="336">
                  <c:v>4.2083873528974696</c:v>
                </c:pt>
                <c:pt idx="337">
                  <c:v>4.2083873528974696</c:v>
                </c:pt>
                <c:pt idx="338">
                  <c:v>4.2083873528974696</c:v>
                </c:pt>
                <c:pt idx="339">
                  <c:v>4.2083873528974696</c:v>
                </c:pt>
                <c:pt idx="340">
                  <c:v>4.2083873528974696</c:v>
                </c:pt>
                <c:pt idx="341">
                  <c:v>4.2083873528974696</c:v>
                </c:pt>
                <c:pt idx="342">
                  <c:v>4.2083873528974696</c:v>
                </c:pt>
                <c:pt idx="343">
                  <c:v>4.2083873528974696</c:v>
                </c:pt>
                <c:pt idx="344">
                  <c:v>4.2083873528974696</c:v>
                </c:pt>
                <c:pt idx="345">
                  <c:v>4.2083873528974696</c:v>
                </c:pt>
                <c:pt idx="346">
                  <c:v>4.2083873528974696</c:v>
                </c:pt>
                <c:pt idx="347">
                  <c:v>4.2083873528974696</c:v>
                </c:pt>
                <c:pt idx="348">
                  <c:v>4.2083873528974696</c:v>
                </c:pt>
                <c:pt idx="349">
                  <c:v>4.2083873528974696</c:v>
                </c:pt>
                <c:pt idx="350">
                  <c:v>4.2083873528974696</c:v>
                </c:pt>
                <c:pt idx="351">
                  <c:v>4.2083873528974696</c:v>
                </c:pt>
                <c:pt idx="352">
                  <c:v>4.2083873528974696</c:v>
                </c:pt>
                <c:pt idx="353">
                  <c:v>4.2083873528974696</c:v>
                </c:pt>
                <c:pt idx="354">
                  <c:v>4.2083873528974696</c:v>
                </c:pt>
                <c:pt idx="355">
                  <c:v>4.2083873528974696</c:v>
                </c:pt>
                <c:pt idx="356">
                  <c:v>4.2083873528974696</c:v>
                </c:pt>
                <c:pt idx="357">
                  <c:v>4.2083873528974696</c:v>
                </c:pt>
                <c:pt idx="358">
                  <c:v>4.2083873528974696</c:v>
                </c:pt>
                <c:pt idx="359">
                  <c:v>4.2083873528974696</c:v>
                </c:pt>
                <c:pt idx="360">
                  <c:v>4.2083873528974696</c:v>
                </c:pt>
                <c:pt idx="361">
                  <c:v>4.2083873528974696</c:v>
                </c:pt>
                <c:pt idx="362">
                  <c:v>4.2083873528974696</c:v>
                </c:pt>
                <c:pt idx="363">
                  <c:v>4.2083873528974696</c:v>
                </c:pt>
                <c:pt idx="364">
                  <c:v>4.2083873528974696</c:v>
                </c:pt>
                <c:pt idx="365">
                  <c:v>4.2083873528974696</c:v>
                </c:pt>
                <c:pt idx="366">
                  <c:v>4.2083873528974696</c:v>
                </c:pt>
                <c:pt idx="367">
                  <c:v>4.2083873528974696</c:v>
                </c:pt>
                <c:pt idx="368">
                  <c:v>4.2083873528974696</c:v>
                </c:pt>
                <c:pt idx="369">
                  <c:v>4.2083873528974696</c:v>
                </c:pt>
                <c:pt idx="370">
                  <c:v>4.2083873528974696</c:v>
                </c:pt>
                <c:pt idx="371">
                  <c:v>4.2083873528974696</c:v>
                </c:pt>
                <c:pt idx="372">
                  <c:v>4.2083873528974696</c:v>
                </c:pt>
                <c:pt idx="373">
                  <c:v>4.2083873528974696</c:v>
                </c:pt>
                <c:pt idx="374">
                  <c:v>4.2083873528974696</c:v>
                </c:pt>
                <c:pt idx="375">
                  <c:v>4.2083873528974696</c:v>
                </c:pt>
                <c:pt idx="376">
                  <c:v>4.2083873528974696</c:v>
                </c:pt>
                <c:pt idx="377">
                  <c:v>4.2083873528974696</c:v>
                </c:pt>
                <c:pt idx="378">
                  <c:v>4.2083873528974696</c:v>
                </c:pt>
                <c:pt idx="379">
                  <c:v>4.2083873528974696</c:v>
                </c:pt>
                <c:pt idx="380">
                  <c:v>4.2083873528974696</c:v>
                </c:pt>
                <c:pt idx="381">
                  <c:v>4.2083873528974696</c:v>
                </c:pt>
                <c:pt idx="382">
                  <c:v>4.2083873528974696</c:v>
                </c:pt>
                <c:pt idx="383">
                  <c:v>4.2083873528974696</c:v>
                </c:pt>
                <c:pt idx="384">
                  <c:v>4.2083873528974696</c:v>
                </c:pt>
                <c:pt idx="385">
                  <c:v>4.2083873528974696</c:v>
                </c:pt>
                <c:pt idx="386">
                  <c:v>4.2083873528974696</c:v>
                </c:pt>
                <c:pt idx="387">
                  <c:v>4.2083873528974696</c:v>
                </c:pt>
                <c:pt idx="388">
                  <c:v>4.2083873528974696</c:v>
                </c:pt>
                <c:pt idx="389">
                  <c:v>4.2083873528974696</c:v>
                </c:pt>
                <c:pt idx="390">
                  <c:v>4.2083873528974696</c:v>
                </c:pt>
                <c:pt idx="391">
                  <c:v>4.2083873528974696</c:v>
                </c:pt>
                <c:pt idx="392">
                  <c:v>4.2083873528974696</c:v>
                </c:pt>
                <c:pt idx="393">
                  <c:v>4.2083873528974696</c:v>
                </c:pt>
                <c:pt idx="394">
                  <c:v>4.2083873528974696</c:v>
                </c:pt>
                <c:pt idx="395">
                  <c:v>4.2083873528974696</c:v>
                </c:pt>
                <c:pt idx="396">
                  <c:v>4.2083873528974696</c:v>
                </c:pt>
                <c:pt idx="397">
                  <c:v>4.2083873528974696</c:v>
                </c:pt>
                <c:pt idx="398">
                  <c:v>4.2083873528974696</c:v>
                </c:pt>
                <c:pt idx="399">
                  <c:v>4.2083873528974696</c:v>
                </c:pt>
                <c:pt idx="400">
                  <c:v>4.2083873528974696</c:v>
                </c:pt>
                <c:pt idx="401">
                  <c:v>4.2083873528974696</c:v>
                </c:pt>
                <c:pt idx="402">
                  <c:v>4.2083873528974696</c:v>
                </c:pt>
                <c:pt idx="403">
                  <c:v>4.2083873528974696</c:v>
                </c:pt>
                <c:pt idx="404">
                  <c:v>4.2083873528974696</c:v>
                </c:pt>
                <c:pt idx="405">
                  <c:v>4.2083873528974696</c:v>
                </c:pt>
                <c:pt idx="406">
                  <c:v>4.2083873528974696</c:v>
                </c:pt>
                <c:pt idx="407">
                  <c:v>4.2083873528974696</c:v>
                </c:pt>
                <c:pt idx="408">
                  <c:v>4.2083873528974696</c:v>
                </c:pt>
                <c:pt idx="409">
                  <c:v>4.2083873528974696</c:v>
                </c:pt>
                <c:pt idx="410">
                  <c:v>4.2083873528974696</c:v>
                </c:pt>
                <c:pt idx="411">
                  <c:v>4.2083873528974696</c:v>
                </c:pt>
                <c:pt idx="412">
                  <c:v>4.2083873528974696</c:v>
                </c:pt>
                <c:pt idx="413">
                  <c:v>4.2083873528974696</c:v>
                </c:pt>
                <c:pt idx="414">
                  <c:v>4.2083873528974696</c:v>
                </c:pt>
                <c:pt idx="415">
                  <c:v>4.2083873528974696</c:v>
                </c:pt>
                <c:pt idx="416">
                  <c:v>4.2083873528974696</c:v>
                </c:pt>
                <c:pt idx="417">
                  <c:v>4.2083873528974696</c:v>
                </c:pt>
                <c:pt idx="418">
                  <c:v>4.2083873528974696</c:v>
                </c:pt>
                <c:pt idx="419">
                  <c:v>4.2083873528974696</c:v>
                </c:pt>
                <c:pt idx="420">
                  <c:v>4.2083873528974696</c:v>
                </c:pt>
                <c:pt idx="421">
                  <c:v>4.2083873528974696</c:v>
                </c:pt>
                <c:pt idx="422">
                  <c:v>4.2083873528974696</c:v>
                </c:pt>
                <c:pt idx="423">
                  <c:v>4.2083873528974696</c:v>
                </c:pt>
                <c:pt idx="424">
                  <c:v>4.2083873528974696</c:v>
                </c:pt>
                <c:pt idx="425">
                  <c:v>4.2083873528974696</c:v>
                </c:pt>
                <c:pt idx="426">
                  <c:v>4.2083873528974696</c:v>
                </c:pt>
                <c:pt idx="427">
                  <c:v>4.2083873528974696</c:v>
                </c:pt>
                <c:pt idx="428">
                  <c:v>4.2083873528974696</c:v>
                </c:pt>
                <c:pt idx="429">
                  <c:v>4.2083873528974696</c:v>
                </c:pt>
                <c:pt idx="430">
                  <c:v>4.2083873528974696</c:v>
                </c:pt>
                <c:pt idx="431">
                  <c:v>4.2083873528974696</c:v>
                </c:pt>
                <c:pt idx="432">
                  <c:v>4.2083873528974696</c:v>
                </c:pt>
                <c:pt idx="433">
                  <c:v>4.2083873528974696</c:v>
                </c:pt>
                <c:pt idx="434">
                  <c:v>4.2083873528974696</c:v>
                </c:pt>
                <c:pt idx="435">
                  <c:v>4.2083873528974696</c:v>
                </c:pt>
                <c:pt idx="436">
                  <c:v>4.2083873528974696</c:v>
                </c:pt>
                <c:pt idx="437">
                  <c:v>4.2083873528974696</c:v>
                </c:pt>
                <c:pt idx="438">
                  <c:v>4.2083873528974696</c:v>
                </c:pt>
                <c:pt idx="439">
                  <c:v>4.2083873528974696</c:v>
                </c:pt>
                <c:pt idx="440">
                  <c:v>4.2083873528974696</c:v>
                </c:pt>
                <c:pt idx="441">
                  <c:v>4.2083873528974696</c:v>
                </c:pt>
                <c:pt idx="442">
                  <c:v>4.2083873528974696</c:v>
                </c:pt>
                <c:pt idx="443">
                  <c:v>4.2083873528974696</c:v>
                </c:pt>
                <c:pt idx="444">
                  <c:v>4.2083873528974696</c:v>
                </c:pt>
                <c:pt idx="445">
                  <c:v>4.2083873528974696</c:v>
                </c:pt>
                <c:pt idx="446">
                  <c:v>4.2083873528974696</c:v>
                </c:pt>
                <c:pt idx="447">
                  <c:v>4.2083873528974696</c:v>
                </c:pt>
                <c:pt idx="448">
                  <c:v>4.2083873528974696</c:v>
                </c:pt>
                <c:pt idx="449">
                  <c:v>4.2083873528974696</c:v>
                </c:pt>
                <c:pt idx="450">
                  <c:v>4.2083873528974696</c:v>
                </c:pt>
                <c:pt idx="451">
                  <c:v>4.2083873528974696</c:v>
                </c:pt>
                <c:pt idx="452">
                  <c:v>4.2083873528974696</c:v>
                </c:pt>
                <c:pt idx="453">
                  <c:v>4.2083873528974696</c:v>
                </c:pt>
                <c:pt idx="454">
                  <c:v>4.2083873528974696</c:v>
                </c:pt>
                <c:pt idx="455">
                  <c:v>4.2083873528974696</c:v>
                </c:pt>
                <c:pt idx="456">
                  <c:v>4.2083873528974696</c:v>
                </c:pt>
                <c:pt idx="457">
                  <c:v>4.2083873528974696</c:v>
                </c:pt>
                <c:pt idx="458">
                  <c:v>4.2083873528974696</c:v>
                </c:pt>
                <c:pt idx="459">
                  <c:v>4.2083873528974696</c:v>
                </c:pt>
                <c:pt idx="460">
                  <c:v>4.2083873528974696</c:v>
                </c:pt>
                <c:pt idx="461">
                  <c:v>4.2083873528974696</c:v>
                </c:pt>
                <c:pt idx="462">
                  <c:v>4.2083873528974696</c:v>
                </c:pt>
                <c:pt idx="463">
                  <c:v>4.2083873528974696</c:v>
                </c:pt>
                <c:pt idx="464">
                  <c:v>4.2083873528974696</c:v>
                </c:pt>
                <c:pt idx="465">
                  <c:v>4.2083873528974696</c:v>
                </c:pt>
                <c:pt idx="466">
                  <c:v>4.2083873528974696</c:v>
                </c:pt>
                <c:pt idx="467">
                  <c:v>4.2083873528974696</c:v>
                </c:pt>
                <c:pt idx="468">
                  <c:v>4.2083873528974696</c:v>
                </c:pt>
                <c:pt idx="469">
                  <c:v>4.2083873528974696</c:v>
                </c:pt>
                <c:pt idx="470">
                  <c:v>4.2083873528974696</c:v>
                </c:pt>
                <c:pt idx="471">
                  <c:v>4.2083873528974696</c:v>
                </c:pt>
                <c:pt idx="472">
                  <c:v>4.2083873528974696</c:v>
                </c:pt>
                <c:pt idx="473">
                  <c:v>4.2083873528974696</c:v>
                </c:pt>
                <c:pt idx="474">
                  <c:v>4.2083873528974696</c:v>
                </c:pt>
                <c:pt idx="475">
                  <c:v>4.2083873528974696</c:v>
                </c:pt>
                <c:pt idx="476">
                  <c:v>4.2083873528974696</c:v>
                </c:pt>
                <c:pt idx="477">
                  <c:v>4.2083873528974696</c:v>
                </c:pt>
                <c:pt idx="478">
                  <c:v>4.2083873528974696</c:v>
                </c:pt>
                <c:pt idx="479">
                  <c:v>4.2083873528974696</c:v>
                </c:pt>
                <c:pt idx="480">
                  <c:v>4.2083873528974696</c:v>
                </c:pt>
                <c:pt idx="481">
                  <c:v>4.2083873528974696</c:v>
                </c:pt>
                <c:pt idx="482">
                  <c:v>4.2083873528974696</c:v>
                </c:pt>
                <c:pt idx="483">
                  <c:v>4.2083873528974696</c:v>
                </c:pt>
                <c:pt idx="484">
                  <c:v>4.2083873528974696</c:v>
                </c:pt>
                <c:pt idx="485">
                  <c:v>4.2083873528974696</c:v>
                </c:pt>
                <c:pt idx="486">
                  <c:v>4.2083873528974696</c:v>
                </c:pt>
                <c:pt idx="487">
                  <c:v>4.2083873528974696</c:v>
                </c:pt>
                <c:pt idx="488">
                  <c:v>4.2083873528974696</c:v>
                </c:pt>
                <c:pt idx="489">
                  <c:v>4.2083873528974696</c:v>
                </c:pt>
                <c:pt idx="490">
                  <c:v>4.2083873528974696</c:v>
                </c:pt>
                <c:pt idx="491">
                  <c:v>4.2083873528974696</c:v>
                </c:pt>
                <c:pt idx="492">
                  <c:v>4.2083873528974696</c:v>
                </c:pt>
                <c:pt idx="493">
                  <c:v>4.2083873528974696</c:v>
                </c:pt>
                <c:pt idx="494">
                  <c:v>4.2083873528974696</c:v>
                </c:pt>
                <c:pt idx="495">
                  <c:v>4.2083873528974696</c:v>
                </c:pt>
                <c:pt idx="496">
                  <c:v>4.2083873528974696</c:v>
                </c:pt>
                <c:pt idx="497">
                  <c:v>4.2083873528974696</c:v>
                </c:pt>
                <c:pt idx="498">
                  <c:v>4.2083873528974696</c:v>
                </c:pt>
                <c:pt idx="499">
                  <c:v>4.2083873528974696</c:v>
                </c:pt>
                <c:pt idx="500">
                  <c:v>4.2083873528974696</c:v>
                </c:pt>
                <c:pt idx="501">
                  <c:v>4.2083873528974696</c:v>
                </c:pt>
                <c:pt idx="502">
                  <c:v>4.2083873528974696</c:v>
                </c:pt>
                <c:pt idx="503">
                  <c:v>4.2083873528974696</c:v>
                </c:pt>
                <c:pt idx="504">
                  <c:v>4.2083873528974696</c:v>
                </c:pt>
                <c:pt idx="505">
                  <c:v>4.2083873528974696</c:v>
                </c:pt>
                <c:pt idx="506">
                  <c:v>4.2083873528974696</c:v>
                </c:pt>
                <c:pt idx="507">
                  <c:v>4.2083873528974696</c:v>
                </c:pt>
                <c:pt idx="508">
                  <c:v>4.2083873528974696</c:v>
                </c:pt>
                <c:pt idx="509">
                  <c:v>4.2083873528974696</c:v>
                </c:pt>
                <c:pt idx="510">
                  <c:v>4.2083873528974696</c:v>
                </c:pt>
                <c:pt idx="511">
                  <c:v>4.2083873528974696</c:v>
                </c:pt>
                <c:pt idx="512">
                  <c:v>4.2083873528974696</c:v>
                </c:pt>
                <c:pt idx="513">
                  <c:v>4.2083873528974696</c:v>
                </c:pt>
                <c:pt idx="514">
                  <c:v>4.2083873528974696</c:v>
                </c:pt>
                <c:pt idx="515">
                  <c:v>4.2083873528974696</c:v>
                </c:pt>
                <c:pt idx="516">
                  <c:v>4.2083873528974696</c:v>
                </c:pt>
                <c:pt idx="517">
                  <c:v>4.2083873528974696</c:v>
                </c:pt>
                <c:pt idx="518">
                  <c:v>4.2083873528974696</c:v>
                </c:pt>
                <c:pt idx="519">
                  <c:v>4.2083873528974696</c:v>
                </c:pt>
                <c:pt idx="520">
                  <c:v>4.2083873528974696</c:v>
                </c:pt>
                <c:pt idx="521">
                  <c:v>4.2083873528974696</c:v>
                </c:pt>
                <c:pt idx="522">
                  <c:v>4.2083873528974696</c:v>
                </c:pt>
                <c:pt idx="523">
                  <c:v>4.2083873528974696</c:v>
                </c:pt>
                <c:pt idx="524">
                  <c:v>4.2083873528974696</c:v>
                </c:pt>
                <c:pt idx="525">
                  <c:v>4.2083873528974696</c:v>
                </c:pt>
                <c:pt idx="526">
                  <c:v>4.2083873528974696</c:v>
                </c:pt>
                <c:pt idx="527">
                  <c:v>4.2083873528974696</c:v>
                </c:pt>
                <c:pt idx="528">
                  <c:v>4.2083873528974696</c:v>
                </c:pt>
                <c:pt idx="529">
                  <c:v>4.2083873528974696</c:v>
                </c:pt>
                <c:pt idx="530">
                  <c:v>4.2083873528974696</c:v>
                </c:pt>
                <c:pt idx="531">
                  <c:v>4.2083873528974696</c:v>
                </c:pt>
                <c:pt idx="532">
                  <c:v>4.2083873528974696</c:v>
                </c:pt>
                <c:pt idx="533">
                  <c:v>4.2083873528974696</c:v>
                </c:pt>
                <c:pt idx="534">
                  <c:v>4.2083873528974696</c:v>
                </c:pt>
                <c:pt idx="535">
                  <c:v>4.2083873528974696</c:v>
                </c:pt>
                <c:pt idx="536">
                  <c:v>4.2083873528974696</c:v>
                </c:pt>
                <c:pt idx="537">
                  <c:v>4.2083873528974696</c:v>
                </c:pt>
                <c:pt idx="538">
                  <c:v>4.2083873528974696</c:v>
                </c:pt>
                <c:pt idx="539">
                  <c:v>4.2083873528974696</c:v>
                </c:pt>
                <c:pt idx="540">
                  <c:v>4.2083873528974696</c:v>
                </c:pt>
                <c:pt idx="541">
                  <c:v>4.2083873528974696</c:v>
                </c:pt>
                <c:pt idx="542">
                  <c:v>4.2083873528974696</c:v>
                </c:pt>
                <c:pt idx="543">
                  <c:v>4.2083873528974696</c:v>
                </c:pt>
                <c:pt idx="544">
                  <c:v>4.2083873528974696</c:v>
                </c:pt>
                <c:pt idx="545">
                  <c:v>4.2083873528974696</c:v>
                </c:pt>
                <c:pt idx="546">
                  <c:v>4.2083873528974696</c:v>
                </c:pt>
                <c:pt idx="547">
                  <c:v>4.2083873528974696</c:v>
                </c:pt>
                <c:pt idx="548">
                  <c:v>4.2083873528974696</c:v>
                </c:pt>
                <c:pt idx="549">
                  <c:v>4.2083873528974696</c:v>
                </c:pt>
                <c:pt idx="550">
                  <c:v>4.2083873528974696</c:v>
                </c:pt>
                <c:pt idx="551">
                  <c:v>4.2083873528974696</c:v>
                </c:pt>
                <c:pt idx="552">
                  <c:v>4.2083873528974696</c:v>
                </c:pt>
                <c:pt idx="553">
                  <c:v>4.2083873528974696</c:v>
                </c:pt>
                <c:pt idx="554">
                  <c:v>4.2083873528974696</c:v>
                </c:pt>
                <c:pt idx="555">
                  <c:v>4.2083873528974696</c:v>
                </c:pt>
                <c:pt idx="556">
                  <c:v>4.2083873528974696</c:v>
                </c:pt>
                <c:pt idx="557">
                  <c:v>4.2083873528974696</c:v>
                </c:pt>
                <c:pt idx="558">
                  <c:v>4.2083873528974696</c:v>
                </c:pt>
                <c:pt idx="559">
                  <c:v>4.2083873528974696</c:v>
                </c:pt>
                <c:pt idx="560">
                  <c:v>4.2083873528974696</c:v>
                </c:pt>
                <c:pt idx="561">
                  <c:v>4.2083873528974696</c:v>
                </c:pt>
                <c:pt idx="562">
                  <c:v>4.2083873528974696</c:v>
                </c:pt>
                <c:pt idx="563">
                  <c:v>4.2083873528974696</c:v>
                </c:pt>
                <c:pt idx="564">
                  <c:v>4.2083873528974696</c:v>
                </c:pt>
                <c:pt idx="565">
                  <c:v>4.2083873528974696</c:v>
                </c:pt>
                <c:pt idx="566">
                  <c:v>4.2083873528974696</c:v>
                </c:pt>
                <c:pt idx="567">
                  <c:v>4.2083873528974696</c:v>
                </c:pt>
                <c:pt idx="568">
                  <c:v>4.2083873528974696</c:v>
                </c:pt>
                <c:pt idx="569">
                  <c:v>4.2083873528974696</c:v>
                </c:pt>
                <c:pt idx="570">
                  <c:v>4.2083873528974696</c:v>
                </c:pt>
                <c:pt idx="571">
                  <c:v>4.2083873528974696</c:v>
                </c:pt>
                <c:pt idx="572">
                  <c:v>4.2083873528974696</c:v>
                </c:pt>
                <c:pt idx="573">
                  <c:v>4.2083873528974696</c:v>
                </c:pt>
                <c:pt idx="574">
                  <c:v>4.2083873528974696</c:v>
                </c:pt>
                <c:pt idx="575">
                  <c:v>4.2083873528974696</c:v>
                </c:pt>
                <c:pt idx="576">
                  <c:v>4.2083873528974696</c:v>
                </c:pt>
                <c:pt idx="577">
                  <c:v>4.2083873528974696</c:v>
                </c:pt>
                <c:pt idx="578">
                  <c:v>4.2083873528974696</c:v>
                </c:pt>
                <c:pt idx="579">
                  <c:v>4.2083873528974696</c:v>
                </c:pt>
                <c:pt idx="580">
                  <c:v>4.2083873528974696</c:v>
                </c:pt>
                <c:pt idx="581">
                  <c:v>4.2083873528974696</c:v>
                </c:pt>
                <c:pt idx="582">
                  <c:v>4.2083873528974696</c:v>
                </c:pt>
                <c:pt idx="583">
                  <c:v>4.2083873528974696</c:v>
                </c:pt>
                <c:pt idx="584">
                  <c:v>4.2083873528974696</c:v>
                </c:pt>
                <c:pt idx="585">
                  <c:v>4.2083873528974696</c:v>
                </c:pt>
                <c:pt idx="586">
                  <c:v>4.2083873528974696</c:v>
                </c:pt>
                <c:pt idx="587">
                  <c:v>4.2083873528974696</c:v>
                </c:pt>
                <c:pt idx="588">
                  <c:v>4.2083873528974696</c:v>
                </c:pt>
                <c:pt idx="589">
                  <c:v>4.2083873528974696</c:v>
                </c:pt>
                <c:pt idx="590">
                  <c:v>4.2083873528974696</c:v>
                </c:pt>
                <c:pt idx="591">
                  <c:v>4.2083873528974696</c:v>
                </c:pt>
                <c:pt idx="592">
                  <c:v>4.2083873528974696</c:v>
                </c:pt>
                <c:pt idx="593">
                  <c:v>4.2083873528974696</c:v>
                </c:pt>
                <c:pt idx="594">
                  <c:v>4.2083873528974696</c:v>
                </c:pt>
                <c:pt idx="595">
                  <c:v>4.2083873528974696</c:v>
                </c:pt>
                <c:pt idx="596">
                  <c:v>4.2083873528974696</c:v>
                </c:pt>
                <c:pt idx="597">
                  <c:v>4.2083873528974696</c:v>
                </c:pt>
                <c:pt idx="598">
                  <c:v>4.2083873528974696</c:v>
                </c:pt>
                <c:pt idx="599">
                  <c:v>4.2083873528974696</c:v>
                </c:pt>
                <c:pt idx="600">
                  <c:v>4.2083873528974696</c:v>
                </c:pt>
                <c:pt idx="601">
                  <c:v>4.2083873528974696</c:v>
                </c:pt>
                <c:pt idx="602">
                  <c:v>4.2083873528974696</c:v>
                </c:pt>
                <c:pt idx="603">
                  <c:v>4.2083873528974696</c:v>
                </c:pt>
                <c:pt idx="604">
                  <c:v>4.2083873528974696</c:v>
                </c:pt>
                <c:pt idx="605">
                  <c:v>4.2083873528974696</c:v>
                </c:pt>
                <c:pt idx="606">
                  <c:v>4.2083873528974696</c:v>
                </c:pt>
                <c:pt idx="607">
                  <c:v>4.2083873528974696</c:v>
                </c:pt>
                <c:pt idx="608">
                  <c:v>4.2083873528974696</c:v>
                </c:pt>
                <c:pt idx="609">
                  <c:v>4.2083873528974696</c:v>
                </c:pt>
                <c:pt idx="610">
                  <c:v>4.2083873528974696</c:v>
                </c:pt>
                <c:pt idx="611">
                  <c:v>4.2083873528974696</c:v>
                </c:pt>
                <c:pt idx="612">
                  <c:v>4.2083873528974696</c:v>
                </c:pt>
                <c:pt idx="613">
                  <c:v>4.2083873528974696</c:v>
                </c:pt>
                <c:pt idx="614">
                  <c:v>4.2083873528974696</c:v>
                </c:pt>
                <c:pt idx="615">
                  <c:v>4.2083873528974696</c:v>
                </c:pt>
                <c:pt idx="616">
                  <c:v>4.2083873528974696</c:v>
                </c:pt>
                <c:pt idx="617">
                  <c:v>4.2083873528974696</c:v>
                </c:pt>
                <c:pt idx="618">
                  <c:v>4.2083873528974696</c:v>
                </c:pt>
                <c:pt idx="619">
                  <c:v>4.2083873528974696</c:v>
                </c:pt>
                <c:pt idx="620">
                  <c:v>4.2083873528974696</c:v>
                </c:pt>
                <c:pt idx="621">
                  <c:v>4.2083873528974696</c:v>
                </c:pt>
                <c:pt idx="622">
                  <c:v>4.2083873528974696</c:v>
                </c:pt>
                <c:pt idx="623">
                  <c:v>4.2083873528974696</c:v>
                </c:pt>
                <c:pt idx="624">
                  <c:v>4.2083873528974696</c:v>
                </c:pt>
                <c:pt idx="625">
                  <c:v>4.2083873528974696</c:v>
                </c:pt>
                <c:pt idx="626">
                  <c:v>4.2083873528974696</c:v>
                </c:pt>
                <c:pt idx="627">
                  <c:v>4.2083873528974696</c:v>
                </c:pt>
                <c:pt idx="628">
                  <c:v>4.2083873528974696</c:v>
                </c:pt>
                <c:pt idx="629">
                  <c:v>4.2083873528974696</c:v>
                </c:pt>
                <c:pt idx="630">
                  <c:v>4.2083873528974696</c:v>
                </c:pt>
                <c:pt idx="631">
                  <c:v>4.2083873528974696</c:v>
                </c:pt>
                <c:pt idx="632">
                  <c:v>4.2083873528974696</c:v>
                </c:pt>
                <c:pt idx="633">
                  <c:v>4.2083873528974696</c:v>
                </c:pt>
                <c:pt idx="634">
                  <c:v>4.2083873528974696</c:v>
                </c:pt>
                <c:pt idx="635">
                  <c:v>4.2083873528974696</c:v>
                </c:pt>
                <c:pt idx="636">
                  <c:v>4.2083873528974696</c:v>
                </c:pt>
                <c:pt idx="637">
                  <c:v>4.2083873528974696</c:v>
                </c:pt>
                <c:pt idx="638">
                  <c:v>4.2083873528974696</c:v>
                </c:pt>
                <c:pt idx="639">
                  <c:v>4.2083873528974696</c:v>
                </c:pt>
                <c:pt idx="640">
                  <c:v>4.2083873528974696</c:v>
                </c:pt>
                <c:pt idx="641">
                  <c:v>4.2083873528974696</c:v>
                </c:pt>
                <c:pt idx="642">
                  <c:v>4.2083873528974696</c:v>
                </c:pt>
                <c:pt idx="643">
                  <c:v>4.2083873528974696</c:v>
                </c:pt>
                <c:pt idx="644">
                  <c:v>4.2083873528974696</c:v>
                </c:pt>
                <c:pt idx="645">
                  <c:v>4.2083873528974696</c:v>
                </c:pt>
                <c:pt idx="646">
                  <c:v>4.2083873528974696</c:v>
                </c:pt>
                <c:pt idx="647">
                  <c:v>4.2083873528974696</c:v>
                </c:pt>
                <c:pt idx="648">
                  <c:v>4.2083873528974696</c:v>
                </c:pt>
                <c:pt idx="649">
                  <c:v>4.2083873528974696</c:v>
                </c:pt>
                <c:pt idx="650">
                  <c:v>4.2083873528974696</c:v>
                </c:pt>
                <c:pt idx="651">
                  <c:v>4.2083873528974696</c:v>
                </c:pt>
                <c:pt idx="652">
                  <c:v>4.2083873528974696</c:v>
                </c:pt>
                <c:pt idx="653">
                  <c:v>4.2083873528974696</c:v>
                </c:pt>
                <c:pt idx="654">
                  <c:v>4.2083873528974696</c:v>
                </c:pt>
                <c:pt idx="655">
                  <c:v>4.2083873528974696</c:v>
                </c:pt>
                <c:pt idx="656">
                  <c:v>4.2083873528974696</c:v>
                </c:pt>
                <c:pt idx="657">
                  <c:v>4.2083873528974696</c:v>
                </c:pt>
                <c:pt idx="658">
                  <c:v>4.2083873528974696</c:v>
                </c:pt>
                <c:pt idx="659">
                  <c:v>4.2083873528974696</c:v>
                </c:pt>
                <c:pt idx="660">
                  <c:v>4.2083873528974696</c:v>
                </c:pt>
                <c:pt idx="661">
                  <c:v>4.2083873528974696</c:v>
                </c:pt>
                <c:pt idx="662">
                  <c:v>4.2083873528974696</c:v>
                </c:pt>
                <c:pt idx="663">
                  <c:v>4.2083873528974696</c:v>
                </c:pt>
                <c:pt idx="664">
                  <c:v>4.2083873528974696</c:v>
                </c:pt>
                <c:pt idx="665">
                  <c:v>4.2083873528974696</c:v>
                </c:pt>
                <c:pt idx="666">
                  <c:v>4.2083873528974696</c:v>
                </c:pt>
                <c:pt idx="667">
                  <c:v>4.2083873528974696</c:v>
                </c:pt>
                <c:pt idx="668">
                  <c:v>4.2083873528974696</c:v>
                </c:pt>
                <c:pt idx="669">
                  <c:v>4.2083873528974696</c:v>
                </c:pt>
                <c:pt idx="670">
                  <c:v>4.2083873528974696</c:v>
                </c:pt>
                <c:pt idx="671">
                  <c:v>4.2083873528974696</c:v>
                </c:pt>
                <c:pt idx="672">
                  <c:v>4.2083873528974696</c:v>
                </c:pt>
                <c:pt idx="673">
                  <c:v>4.2083873528974696</c:v>
                </c:pt>
                <c:pt idx="674">
                  <c:v>4.2083873528974696</c:v>
                </c:pt>
                <c:pt idx="675">
                  <c:v>4.2083873528974696</c:v>
                </c:pt>
                <c:pt idx="676">
                  <c:v>4.2083873528974696</c:v>
                </c:pt>
                <c:pt idx="677">
                  <c:v>4.2083873528974696</c:v>
                </c:pt>
                <c:pt idx="678">
                  <c:v>4.2083873528974696</c:v>
                </c:pt>
                <c:pt idx="679">
                  <c:v>4.2083873528974696</c:v>
                </c:pt>
                <c:pt idx="680">
                  <c:v>4.2083873528974696</c:v>
                </c:pt>
                <c:pt idx="681">
                  <c:v>4.2083873528974696</c:v>
                </c:pt>
                <c:pt idx="682">
                  <c:v>4.2083873528974696</c:v>
                </c:pt>
                <c:pt idx="683">
                  <c:v>4.2083873528974696</c:v>
                </c:pt>
                <c:pt idx="684">
                  <c:v>4.2083873528974696</c:v>
                </c:pt>
                <c:pt idx="685">
                  <c:v>4.2083873528974696</c:v>
                </c:pt>
                <c:pt idx="686">
                  <c:v>4.2083873528974696</c:v>
                </c:pt>
                <c:pt idx="687">
                  <c:v>4.2083873528974696</c:v>
                </c:pt>
                <c:pt idx="688">
                  <c:v>4.2083873528974696</c:v>
                </c:pt>
                <c:pt idx="689">
                  <c:v>4.2083873528974696</c:v>
                </c:pt>
                <c:pt idx="690">
                  <c:v>4.2083873528974696</c:v>
                </c:pt>
                <c:pt idx="691">
                  <c:v>4.2083873528974696</c:v>
                </c:pt>
                <c:pt idx="692">
                  <c:v>4.2083873528974696</c:v>
                </c:pt>
                <c:pt idx="693">
                  <c:v>4.2083873528974696</c:v>
                </c:pt>
                <c:pt idx="694">
                  <c:v>4.2083873528974696</c:v>
                </c:pt>
                <c:pt idx="695">
                  <c:v>4.2083873528974696</c:v>
                </c:pt>
                <c:pt idx="696">
                  <c:v>4.2083873528974696</c:v>
                </c:pt>
                <c:pt idx="697">
                  <c:v>4.2083873528974696</c:v>
                </c:pt>
                <c:pt idx="698">
                  <c:v>4.2083873528974696</c:v>
                </c:pt>
                <c:pt idx="699">
                  <c:v>4.2083873528974696</c:v>
                </c:pt>
                <c:pt idx="700">
                  <c:v>4.2083873528974696</c:v>
                </c:pt>
                <c:pt idx="701">
                  <c:v>4.2083873528974696</c:v>
                </c:pt>
                <c:pt idx="702">
                  <c:v>4.2083873528974696</c:v>
                </c:pt>
                <c:pt idx="703">
                  <c:v>4.2083873528974696</c:v>
                </c:pt>
                <c:pt idx="704">
                  <c:v>4.2083873528974696</c:v>
                </c:pt>
                <c:pt idx="705">
                  <c:v>4.2083873528974696</c:v>
                </c:pt>
                <c:pt idx="706">
                  <c:v>4.2083873528974696</c:v>
                </c:pt>
                <c:pt idx="707">
                  <c:v>4.2083873528974696</c:v>
                </c:pt>
                <c:pt idx="708">
                  <c:v>4.2083873528974696</c:v>
                </c:pt>
                <c:pt idx="709">
                  <c:v>4.2083873528974696</c:v>
                </c:pt>
                <c:pt idx="710">
                  <c:v>4.2083873528974696</c:v>
                </c:pt>
                <c:pt idx="711">
                  <c:v>4.2083873528974696</c:v>
                </c:pt>
                <c:pt idx="712">
                  <c:v>4.2083873528974696</c:v>
                </c:pt>
                <c:pt idx="713">
                  <c:v>4.2083873528974696</c:v>
                </c:pt>
                <c:pt idx="714">
                  <c:v>4.2083873528974696</c:v>
                </c:pt>
                <c:pt idx="715">
                  <c:v>4.2083873528974696</c:v>
                </c:pt>
                <c:pt idx="716">
                  <c:v>4.2083873528974696</c:v>
                </c:pt>
                <c:pt idx="717">
                  <c:v>4.2083873528974696</c:v>
                </c:pt>
                <c:pt idx="718">
                  <c:v>4.2083873528974696</c:v>
                </c:pt>
                <c:pt idx="719">
                  <c:v>4.2083873528974696</c:v>
                </c:pt>
                <c:pt idx="720">
                  <c:v>4.2083873528974696</c:v>
                </c:pt>
                <c:pt idx="721">
                  <c:v>4.2083873528974696</c:v>
                </c:pt>
                <c:pt idx="722">
                  <c:v>4.2083873528974696</c:v>
                </c:pt>
                <c:pt idx="723">
                  <c:v>4.2083873528974696</c:v>
                </c:pt>
                <c:pt idx="724">
                  <c:v>4.2083873528974696</c:v>
                </c:pt>
                <c:pt idx="725">
                  <c:v>4.2083873528974696</c:v>
                </c:pt>
                <c:pt idx="726">
                  <c:v>4.2083873528974696</c:v>
                </c:pt>
                <c:pt idx="727">
                  <c:v>4.2083873528974696</c:v>
                </c:pt>
                <c:pt idx="728">
                  <c:v>4.2083873528974696</c:v>
                </c:pt>
                <c:pt idx="729">
                  <c:v>4.2083873528974696</c:v>
                </c:pt>
                <c:pt idx="730">
                  <c:v>4.2083873528974696</c:v>
                </c:pt>
                <c:pt idx="731">
                  <c:v>4.2083873528974696</c:v>
                </c:pt>
                <c:pt idx="732">
                  <c:v>4.2083873528974696</c:v>
                </c:pt>
                <c:pt idx="733">
                  <c:v>4.2083873528974696</c:v>
                </c:pt>
                <c:pt idx="734">
                  <c:v>4.2083873528974696</c:v>
                </c:pt>
                <c:pt idx="735">
                  <c:v>4.2083873528974696</c:v>
                </c:pt>
                <c:pt idx="736">
                  <c:v>4.2083873528974696</c:v>
                </c:pt>
                <c:pt idx="737">
                  <c:v>4.2083873528974696</c:v>
                </c:pt>
                <c:pt idx="738">
                  <c:v>4.2083873528974696</c:v>
                </c:pt>
                <c:pt idx="739">
                  <c:v>4.2083873528974696</c:v>
                </c:pt>
                <c:pt idx="740">
                  <c:v>4.2083873528974696</c:v>
                </c:pt>
                <c:pt idx="741">
                  <c:v>4.2083873528974696</c:v>
                </c:pt>
                <c:pt idx="742">
                  <c:v>4.2083873528974696</c:v>
                </c:pt>
                <c:pt idx="743">
                  <c:v>4.2083873528974696</c:v>
                </c:pt>
                <c:pt idx="744">
                  <c:v>4.2083873528974696</c:v>
                </c:pt>
                <c:pt idx="745">
                  <c:v>4.2083873528974696</c:v>
                </c:pt>
                <c:pt idx="746">
                  <c:v>4.2083873528974696</c:v>
                </c:pt>
                <c:pt idx="747">
                  <c:v>4.2083873528974696</c:v>
                </c:pt>
                <c:pt idx="748">
                  <c:v>4.2083873528974696</c:v>
                </c:pt>
                <c:pt idx="749">
                  <c:v>4.2083873528974696</c:v>
                </c:pt>
                <c:pt idx="750">
                  <c:v>4.2083873528974696</c:v>
                </c:pt>
                <c:pt idx="751">
                  <c:v>4.2083873528974696</c:v>
                </c:pt>
                <c:pt idx="752">
                  <c:v>4.2083873528974696</c:v>
                </c:pt>
                <c:pt idx="753">
                  <c:v>4.2083873528974696</c:v>
                </c:pt>
                <c:pt idx="754">
                  <c:v>4.2083873528974696</c:v>
                </c:pt>
                <c:pt idx="755">
                  <c:v>4.2083873528974696</c:v>
                </c:pt>
                <c:pt idx="756">
                  <c:v>4.2083873528974696</c:v>
                </c:pt>
                <c:pt idx="757">
                  <c:v>4.2083873528974696</c:v>
                </c:pt>
                <c:pt idx="758">
                  <c:v>4.2083873528974696</c:v>
                </c:pt>
                <c:pt idx="759">
                  <c:v>4.2083873528974696</c:v>
                </c:pt>
                <c:pt idx="760">
                  <c:v>4.2083873528974696</c:v>
                </c:pt>
                <c:pt idx="761">
                  <c:v>4.2083873528974696</c:v>
                </c:pt>
                <c:pt idx="762">
                  <c:v>4.2083873528974696</c:v>
                </c:pt>
                <c:pt idx="763">
                  <c:v>4.2083873528974696</c:v>
                </c:pt>
                <c:pt idx="764">
                  <c:v>4.2083873528974696</c:v>
                </c:pt>
                <c:pt idx="765">
                  <c:v>4.2083873528974696</c:v>
                </c:pt>
                <c:pt idx="766">
                  <c:v>4.2083873528974696</c:v>
                </c:pt>
                <c:pt idx="767">
                  <c:v>4.2083873528974696</c:v>
                </c:pt>
                <c:pt idx="768">
                  <c:v>4.2083873528974696</c:v>
                </c:pt>
                <c:pt idx="769">
                  <c:v>4.2083873528974696</c:v>
                </c:pt>
                <c:pt idx="770">
                  <c:v>4.2083873528974696</c:v>
                </c:pt>
                <c:pt idx="771">
                  <c:v>4.2083873528974696</c:v>
                </c:pt>
                <c:pt idx="772">
                  <c:v>4.2083873528974696</c:v>
                </c:pt>
                <c:pt idx="773">
                  <c:v>4.2083873528974696</c:v>
                </c:pt>
                <c:pt idx="774">
                  <c:v>4.2083873528974696</c:v>
                </c:pt>
                <c:pt idx="775">
                  <c:v>4.2083873528974696</c:v>
                </c:pt>
                <c:pt idx="776">
                  <c:v>4.2083873528974696</c:v>
                </c:pt>
                <c:pt idx="777">
                  <c:v>4.2083873528974696</c:v>
                </c:pt>
                <c:pt idx="778">
                  <c:v>4.2083873528974696</c:v>
                </c:pt>
                <c:pt idx="779">
                  <c:v>4.2083873528974696</c:v>
                </c:pt>
                <c:pt idx="780">
                  <c:v>4.2083873528974696</c:v>
                </c:pt>
                <c:pt idx="781">
                  <c:v>4.2083873528974696</c:v>
                </c:pt>
                <c:pt idx="782">
                  <c:v>4.2083873528974696</c:v>
                </c:pt>
                <c:pt idx="783">
                  <c:v>4.2083873528974696</c:v>
                </c:pt>
                <c:pt idx="784">
                  <c:v>4.2083873528974696</c:v>
                </c:pt>
                <c:pt idx="785">
                  <c:v>4.2083873528974696</c:v>
                </c:pt>
                <c:pt idx="786">
                  <c:v>4.2083873528974696</c:v>
                </c:pt>
                <c:pt idx="787">
                  <c:v>4.2083873528974696</c:v>
                </c:pt>
                <c:pt idx="788">
                  <c:v>4.2083873528974696</c:v>
                </c:pt>
                <c:pt idx="789">
                  <c:v>4.2083873528974696</c:v>
                </c:pt>
                <c:pt idx="790">
                  <c:v>4.2083873528974696</c:v>
                </c:pt>
                <c:pt idx="791">
                  <c:v>4.2083873528974696</c:v>
                </c:pt>
                <c:pt idx="792">
                  <c:v>4.2083873528974696</c:v>
                </c:pt>
                <c:pt idx="793">
                  <c:v>4.2083873528974696</c:v>
                </c:pt>
                <c:pt idx="794">
                  <c:v>4.2083873528974696</c:v>
                </c:pt>
                <c:pt idx="795">
                  <c:v>4.2083873528974696</c:v>
                </c:pt>
                <c:pt idx="796">
                  <c:v>4.2083873528974696</c:v>
                </c:pt>
                <c:pt idx="797">
                  <c:v>4.2083873528974696</c:v>
                </c:pt>
                <c:pt idx="798">
                  <c:v>4.2083873528974696</c:v>
                </c:pt>
                <c:pt idx="799">
                  <c:v>4.2083873528974696</c:v>
                </c:pt>
                <c:pt idx="800">
                  <c:v>4.2083873528974696</c:v>
                </c:pt>
                <c:pt idx="801">
                  <c:v>4.2083873528974696</c:v>
                </c:pt>
                <c:pt idx="802">
                  <c:v>4.2083873528974696</c:v>
                </c:pt>
                <c:pt idx="803">
                  <c:v>4.2083873528974696</c:v>
                </c:pt>
                <c:pt idx="804">
                  <c:v>4.2083873528974696</c:v>
                </c:pt>
                <c:pt idx="805">
                  <c:v>4.2083873528974696</c:v>
                </c:pt>
                <c:pt idx="806">
                  <c:v>4.2083873528974696</c:v>
                </c:pt>
                <c:pt idx="807">
                  <c:v>4.2083873528974696</c:v>
                </c:pt>
                <c:pt idx="808">
                  <c:v>4.2083873528974696</c:v>
                </c:pt>
                <c:pt idx="809">
                  <c:v>4.2083873528974696</c:v>
                </c:pt>
                <c:pt idx="810">
                  <c:v>4.2083873528974696</c:v>
                </c:pt>
                <c:pt idx="811">
                  <c:v>4.2083873528974696</c:v>
                </c:pt>
                <c:pt idx="812">
                  <c:v>4.2083873528974696</c:v>
                </c:pt>
                <c:pt idx="813">
                  <c:v>4.2083873528974696</c:v>
                </c:pt>
                <c:pt idx="814">
                  <c:v>4.2083873528974696</c:v>
                </c:pt>
                <c:pt idx="815">
                  <c:v>4.2083873528974696</c:v>
                </c:pt>
                <c:pt idx="816">
                  <c:v>4.2083873528974696</c:v>
                </c:pt>
                <c:pt idx="817">
                  <c:v>4.2083873528974696</c:v>
                </c:pt>
                <c:pt idx="818">
                  <c:v>4.2083873528974696</c:v>
                </c:pt>
                <c:pt idx="819">
                  <c:v>4.2083873528974696</c:v>
                </c:pt>
                <c:pt idx="820">
                  <c:v>4.2083873528974696</c:v>
                </c:pt>
                <c:pt idx="821">
                  <c:v>4.2083873528974696</c:v>
                </c:pt>
                <c:pt idx="822">
                  <c:v>4.2083873528974696</c:v>
                </c:pt>
                <c:pt idx="823">
                  <c:v>4.2083873528974696</c:v>
                </c:pt>
                <c:pt idx="824">
                  <c:v>4.2083873528974696</c:v>
                </c:pt>
                <c:pt idx="825">
                  <c:v>4.2083873528974696</c:v>
                </c:pt>
                <c:pt idx="826">
                  <c:v>4.2083873528974696</c:v>
                </c:pt>
                <c:pt idx="827">
                  <c:v>4.2083873528974696</c:v>
                </c:pt>
                <c:pt idx="828">
                  <c:v>4.2083873528974696</c:v>
                </c:pt>
                <c:pt idx="829">
                  <c:v>4.2083873528974696</c:v>
                </c:pt>
                <c:pt idx="830">
                  <c:v>4.2083873528974696</c:v>
                </c:pt>
                <c:pt idx="831">
                  <c:v>4.2083873528974696</c:v>
                </c:pt>
                <c:pt idx="832">
                  <c:v>4.2083873528974696</c:v>
                </c:pt>
                <c:pt idx="833">
                  <c:v>4.2083873528974696</c:v>
                </c:pt>
                <c:pt idx="834">
                  <c:v>4.2083873528974696</c:v>
                </c:pt>
                <c:pt idx="835">
                  <c:v>4.2083873528974696</c:v>
                </c:pt>
                <c:pt idx="836">
                  <c:v>4.2083873528974696</c:v>
                </c:pt>
                <c:pt idx="837">
                  <c:v>4.2083873528974696</c:v>
                </c:pt>
                <c:pt idx="838">
                  <c:v>4.2083873528974696</c:v>
                </c:pt>
                <c:pt idx="839">
                  <c:v>4.2083873528974696</c:v>
                </c:pt>
                <c:pt idx="840">
                  <c:v>4.2083873528974696</c:v>
                </c:pt>
                <c:pt idx="841">
                  <c:v>4.2083873528974696</c:v>
                </c:pt>
                <c:pt idx="842">
                  <c:v>4.2083873528974696</c:v>
                </c:pt>
                <c:pt idx="843">
                  <c:v>4.2083873528974696</c:v>
                </c:pt>
                <c:pt idx="844">
                  <c:v>4.2083873528974696</c:v>
                </c:pt>
                <c:pt idx="845">
                  <c:v>4.2083873528974696</c:v>
                </c:pt>
                <c:pt idx="846">
                  <c:v>4.2083873528974696</c:v>
                </c:pt>
                <c:pt idx="847">
                  <c:v>4.2083873528974696</c:v>
                </c:pt>
                <c:pt idx="848">
                  <c:v>4.2083873528974696</c:v>
                </c:pt>
                <c:pt idx="849">
                  <c:v>4.2083873528974696</c:v>
                </c:pt>
                <c:pt idx="850">
                  <c:v>4.2083873528974696</c:v>
                </c:pt>
                <c:pt idx="851">
                  <c:v>4.2083873528974696</c:v>
                </c:pt>
                <c:pt idx="852">
                  <c:v>4.2083873528974696</c:v>
                </c:pt>
                <c:pt idx="853">
                  <c:v>4.2083873528974696</c:v>
                </c:pt>
                <c:pt idx="854">
                  <c:v>4.2083873528974696</c:v>
                </c:pt>
                <c:pt idx="855">
                  <c:v>4.2083873528974696</c:v>
                </c:pt>
                <c:pt idx="856">
                  <c:v>4.2083873528974696</c:v>
                </c:pt>
                <c:pt idx="857">
                  <c:v>4.2083873528974696</c:v>
                </c:pt>
                <c:pt idx="858">
                  <c:v>4.2083873528974696</c:v>
                </c:pt>
                <c:pt idx="859">
                  <c:v>4.2083873528974696</c:v>
                </c:pt>
                <c:pt idx="860">
                  <c:v>4.2083873528974696</c:v>
                </c:pt>
                <c:pt idx="861">
                  <c:v>4.2083873528974696</c:v>
                </c:pt>
                <c:pt idx="862">
                  <c:v>4.2083873528974696</c:v>
                </c:pt>
                <c:pt idx="863">
                  <c:v>4.2083873528974696</c:v>
                </c:pt>
                <c:pt idx="864">
                  <c:v>4.2083873528974696</c:v>
                </c:pt>
                <c:pt idx="865">
                  <c:v>4.2083873528974696</c:v>
                </c:pt>
                <c:pt idx="866">
                  <c:v>4.2083873528974696</c:v>
                </c:pt>
                <c:pt idx="867">
                  <c:v>4.2083873528974696</c:v>
                </c:pt>
                <c:pt idx="868">
                  <c:v>4.2083873528974696</c:v>
                </c:pt>
                <c:pt idx="869">
                  <c:v>4.2083873528974696</c:v>
                </c:pt>
                <c:pt idx="870">
                  <c:v>4.2083873528974696</c:v>
                </c:pt>
                <c:pt idx="871">
                  <c:v>4.2083873528974696</c:v>
                </c:pt>
                <c:pt idx="872">
                  <c:v>4.2083873528974696</c:v>
                </c:pt>
                <c:pt idx="873">
                  <c:v>4.2083873528974696</c:v>
                </c:pt>
                <c:pt idx="874">
                  <c:v>4.2083873528974696</c:v>
                </c:pt>
                <c:pt idx="875">
                  <c:v>4.2083873528974696</c:v>
                </c:pt>
                <c:pt idx="876">
                  <c:v>4.2083873528974696</c:v>
                </c:pt>
                <c:pt idx="877">
                  <c:v>4.2083873528974696</c:v>
                </c:pt>
                <c:pt idx="878">
                  <c:v>4.2083873528974696</c:v>
                </c:pt>
                <c:pt idx="879">
                  <c:v>4.2083873528974696</c:v>
                </c:pt>
                <c:pt idx="880">
                  <c:v>4.2083873528974696</c:v>
                </c:pt>
                <c:pt idx="881">
                  <c:v>4.2083873528974696</c:v>
                </c:pt>
                <c:pt idx="882">
                  <c:v>4.2083873528974696</c:v>
                </c:pt>
                <c:pt idx="883">
                  <c:v>4.2083873528974696</c:v>
                </c:pt>
                <c:pt idx="884">
                  <c:v>4.2083873528974696</c:v>
                </c:pt>
                <c:pt idx="885">
                  <c:v>4.2083873528974696</c:v>
                </c:pt>
                <c:pt idx="886">
                  <c:v>4.2083873528974696</c:v>
                </c:pt>
                <c:pt idx="887">
                  <c:v>4.2083873528974696</c:v>
                </c:pt>
                <c:pt idx="888">
                  <c:v>4.2083873528974696</c:v>
                </c:pt>
                <c:pt idx="889">
                  <c:v>4.2083873528974696</c:v>
                </c:pt>
                <c:pt idx="890">
                  <c:v>4.2083873528974696</c:v>
                </c:pt>
                <c:pt idx="891">
                  <c:v>4.2083873528974696</c:v>
                </c:pt>
                <c:pt idx="892">
                  <c:v>4.2083873528974696</c:v>
                </c:pt>
                <c:pt idx="893">
                  <c:v>4.2083873528974696</c:v>
                </c:pt>
                <c:pt idx="894">
                  <c:v>4.2083873528974696</c:v>
                </c:pt>
                <c:pt idx="895">
                  <c:v>4.2083873528974696</c:v>
                </c:pt>
                <c:pt idx="896">
                  <c:v>4.2083873528974696</c:v>
                </c:pt>
                <c:pt idx="897">
                  <c:v>4.2083873528974696</c:v>
                </c:pt>
                <c:pt idx="898">
                  <c:v>4.2083873528974696</c:v>
                </c:pt>
                <c:pt idx="899">
                  <c:v>4.2083873528974696</c:v>
                </c:pt>
                <c:pt idx="900">
                  <c:v>4.2083873528974696</c:v>
                </c:pt>
                <c:pt idx="901">
                  <c:v>4.2083873528974696</c:v>
                </c:pt>
                <c:pt idx="902">
                  <c:v>4.2083873528974696</c:v>
                </c:pt>
                <c:pt idx="903">
                  <c:v>4.2083873528974696</c:v>
                </c:pt>
                <c:pt idx="904">
                  <c:v>4.2083873528974696</c:v>
                </c:pt>
                <c:pt idx="905">
                  <c:v>4.2083873528974696</c:v>
                </c:pt>
                <c:pt idx="906">
                  <c:v>4.2083873528974696</c:v>
                </c:pt>
                <c:pt idx="907">
                  <c:v>4.2083873528974696</c:v>
                </c:pt>
                <c:pt idx="908">
                  <c:v>4.2083873528974696</c:v>
                </c:pt>
                <c:pt idx="909">
                  <c:v>4.2083873528974696</c:v>
                </c:pt>
                <c:pt idx="910">
                  <c:v>4.2083873528974696</c:v>
                </c:pt>
                <c:pt idx="911">
                  <c:v>4.2083873528974696</c:v>
                </c:pt>
                <c:pt idx="912">
                  <c:v>4.2083873528974696</c:v>
                </c:pt>
                <c:pt idx="913">
                  <c:v>4.2083873528974696</c:v>
                </c:pt>
                <c:pt idx="914">
                  <c:v>4.2083873528974696</c:v>
                </c:pt>
                <c:pt idx="915">
                  <c:v>4.2083873528974696</c:v>
                </c:pt>
                <c:pt idx="916">
                  <c:v>4.2083873528974696</c:v>
                </c:pt>
                <c:pt idx="917">
                  <c:v>4.2083873528974696</c:v>
                </c:pt>
                <c:pt idx="918">
                  <c:v>4.2083873528974696</c:v>
                </c:pt>
                <c:pt idx="919">
                  <c:v>4.2083873528974696</c:v>
                </c:pt>
                <c:pt idx="920">
                  <c:v>4.2083873528974696</c:v>
                </c:pt>
                <c:pt idx="921">
                  <c:v>4.2083873528974696</c:v>
                </c:pt>
                <c:pt idx="922">
                  <c:v>4.2083873528974696</c:v>
                </c:pt>
                <c:pt idx="923">
                  <c:v>4.2083873528974696</c:v>
                </c:pt>
                <c:pt idx="924">
                  <c:v>4.2083873528974696</c:v>
                </c:pt>
                <c:pt idx="925">
                  <c:v>4.2083873528974696</c:v>
                </c:pt>
                <c:pt idx="926">
                  <c:v>4.2083873528974696</c:v>
                </c:pt>
                <c:pt idx="927">
                  <c:v>4.2083873528974696</c:v>
                </c:pt>
                <c:pt idx="928">
                  <c:v>4.2083873528974696</c:v>
                </c:pt>
                <c:pt idx="929">
                  <c:v>4.2083873528974696</c:v>
                </c:pt>
                <c:pt idx="930">
                  <c:v>4.2083873528974696</c:v>
                </c:pt>
                <c:pt idx="931">
                  <c:v>4.2083873528974696</c:v>
                </c:pt>
                <c:pt idx="932">
                  <c:v>4.2083873528974696</c:v>
                </c:pt>
                <c:pt idx="933">
                  <c:v>4.2083873528974696</c:v>
                </c:pt>
                <c:pt idx="934">
                  <c:v>4.2083873528974696</c:v>
                </c:pt>
                <c:pt idx="935">
                  <c:v>4.2083873528974696</c:v>
                </c:pt>
                <c:pt idx="936">
                  <c:v>4.2083873528974696</c:v>
                </c:pt>
                <c:pt idx="937">
                  <c:v>4.2083873528974696</c:v>
                </c:pt>
                <c:pt idx="938">
                  <c:v>4.2083873528974696</c:v>
                </c:pt>
                <c:pt idx="939">
                  <c:v>4.2083873528974696</c:v>
                </c:pt>
                <c:pt idx="940">
                  <c:v>4.2083873528974696</c:v>
                </c:pt>
                <c:pt idx="941">
                  <c:v>4.2083873528974696</c:v>
                </c:pt>
                <c:pt idx="942">
                  <c:v>4.2083873528974696</c:v>
                </c:pt>
                <c:pt idx="943">
                  <c:v>4.2083873528974696</c:v>
                </c:pt>
                <c:pt idx="944">
                  <c:v>4.2083873528974696</c:v>
                </c:pt>
                <c:pt idx="945">
                  <c:v>4.2083873528974696</c:v>
                </c:pt>
                <c:pt idx="946">
                  <c:v>4.2083873528974696</c:v>
                </c:pt>
                <c:pt idx="947">
                  <c:v>4.2083873528974696</c:v>
                </c:pt>
                <c:pt idx="948">
                  <c:v>4.2083873528974696</c:v>
                </c:pt>
                <c:pt idx="949">
                  <c:v>4.2083873528974696</c:v>
                </c:pt>
                <c:pt idx="950">
                  <c:v>4.2083873528974696</c:v>
                </c:pt>
                <c:pt idx="951">
                  <c:v>4.2083873528974696</c:v>
                </c:pt>
                <c:pt idx="952">
                  <c:v>4.2083873528974696</c:v>
                </c:pt>
                <c:pt idx="953">
                  <c:v>4.2083873528974696</c:v>
                </c:pt>
                <c:pt idx="954">
                  <c:v>4.2083873528974696</c:v>
                </c:pt>
                <c:pt idx="955">
                  <c:v>4.2083873528974696</c:v>
                </c:pt>
                <c:pt idx="956">
                  <c:v>4.2083873528974696</c:v>
                </c:pt>
                <c:pt idx="957">
                  <c:v>4.2083873528974696</c:v>
                </c:pt>
                <c:pt idx="958">
                  <c:v>4.2083873528974696</c:v>
                </c:pt>
                <c:pt idx="959">
                  <c:v>4.2083873528974696</c:v>
                </c:pt>
                <c:pt idx="960">
                  <c:v>4.2083873528974696</c:v>
                </c:pt>
                <c:pt idx="961">
                  <c:v>4.2083873528974696</c:v>
                </c:pt>
                <c:pt idx="962">
                  <c:v>4.2083873528974696</c:v>
                </c:pt>
                <c:pt idx="963">
                  <c:v>4.2083873528974696</c:v>
                </c:pt>
                <c:pt idx="964">
                  <c:v>4.2083873528974696</c:v>
                </c:pt>
                <c:pt idx="965">
                  <c:v>4.2083873528974696</c:v>
                </c:pt>
                <c:pt idx="966">
                  <c:v>4.2083873528974696</c:v>
                </c:pt>
                <c:pt idx="967">
                  <c:v>4.2083873528974696</c:v>
                </c:pt>
                <c:pt idx="968">
                  <c:v>4.2083873528974696</c:v>
                </c:pt>
                <c:pt idx="969">
                  <c:v>4.2083873528974696</c:v>
                </c:pt>
                <c:pt idx="970">
                  <c:v>4.2083873528974696</c:v>
                </c:pt>
                <c:pt idx="971">
                  <c:v>4.2083873528974696</c:v>
                </c:pt>
                <c:pt idx="972">
                  <c:v>4.2083873528974696</c:v>
                </c:pt>
                <c:pt idx="973">
                  <c:v>4.2083873528974696</c:v>
                </c:pt>
                <c:pt idx="974">
                  <c:v>4.2083873528974696</c:v>
                </c:pt>
                <c:pt idx="975">
                  <c:v>4.2083873528974696</c:v>
                </c:pt>
                <c:pt idx="976">
                  <c:v>4.2083873528974696</c:v>
                </c:pt>
                <c:pt idx="977">
                  <c:v>4.2083873528974696</c:v>
                </c:pt>
                <c:pt idx="978">
                  <c:v>4.2083873528974696</c:v>
                </c:pt>
                <c:pt idx="979">
                  <c:v>4.2083873528974696</c:v>
                </c:pt>
                <c:pt idx="980">
                  <c:v>4.2083873528974696</c:v>
                </c:pt>
                <c:pt idx="981">
                  <c:v>4.2083873528974696</c:v>
                </c:pt>
                <c:pt idx="982">
                  <c:v>4.2083873528974696</c:v>
                </c:pt>
                <c:pt idx="983">
                  <c:v>4.2083873528974696</c:v>
                </c:pt>
                <c:pt idx="984">
                  <c:v>4.2083873528974696</c:v>
                </c:pt>
                <c:pt idx="985">
                  <c:v>4.2083873528974696</c:v>
                </c:pt>
                <c:pt idx="986">
                  <c:v>4.2083873528974696</c:v>
                </c:pt>
                <c:pt idx="987">
                  <c:v>4.2083873528974696</c:v>
                </c:pt>
                <c:pt idx="988">
                  <c:v>4.2083873528974696</c:v>
                </c:pt>
                <c:pt idx="989">
                  <c:v>4.2083873528974696</c:v>
                </c:pt>
                <c:pt idx="990">
                  <c:v>4.2083873528974696</c:v>
                </c:pt>
                <c:pt idx="991">
                  <c:v>4.2083873528974696</c:v>
                </c:pt>
                <c:pt idx="992">
                  <c:v>4.2083873528974696</c:v>
                </c:pt>
                <c:pt idx="993">
                  <c:v>4.2083873528974696</c:v>
                </c:pt>
                <c:pt idx="994">
                  <c:v>4.2083873528974696</c:v>
                </c:pt>
                <c:pt idx="995">
                  <c:v>4.2083873528974696</c:v>
                </c:pt>
                <c:pt idx="996">
                  <c:v>4.2083873528974696</c:v>
                </c:pt>
                <c:pt idx="997">
                  <c:v>4.2083873528974696</c:v>
                </c:pt>
                <c:pt idx="998">
                  <c:v>4.2083873528974696</c:v>
                </c:pt>
                <c:pt idx="999">
                  <c:v>4.2083873528974696</c:v>
                </c:pt>
                <c:pt idx="1000">
                  <c:v>4.2083873528974696</c:v>
                </c:pt>
              </c:numCache>
            </c:numRef>
          </c:yVal>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16.900099999999973</c:v>
                </c:pt>
                <c:pt idx="351">
                  <c:v>16.900199999999973</c:v>
                </c:pt>
                <c:pt idx="352">
                  <c:v>16.900299999999973</c:v>
                </c:pt>
                <c:pt idx="353">
                  <c:v>16.900399999999973</c:v>
                </c:pt>
                <c:pt idx="354">
                  <c:v>16.900499999999973</c:v>
                </c:pt>
                <c:pt idx="355">
                  <c:v>16.900599999999972</c:v>
                </c:pt>
                <c:pt idx="356">
                  <c:v>16.900699999999972</c:v>
                </c:pt>
                <c:pt idx="357">
                  <c:v>16.900799999999972</c:v>
                </c:pt>
                <c:pt idx="358">
                  <c:v>16.900899999999972</c:v>
                </c:pt>
                <c:pt idx="359">
                  <c:v>16.900999999999971</c:v>
                </c:pt>
                <c:pt idx="360">
                  <c:v>16.901099999999971</c:v>
                </c:pt>
                <c:pt idx="361">
                  <c:v>16.901199999999971</c:v>
                </c:pt>
                <c:pt idx="362">
                  <c:v>16.901299999999971</c:v>
                </c:pt>
                <c:pt idx="363">
                  <c:v>16.90139999999997</c:v>
                </c:pt>
                <c:pt idx="364">
                  <c:v>16.90149999999997</c:v>
                </c:pt>
                <c:pt idx="365">
                  <c:v>16.90159999999997</c:v>
                </c:pt>
                <c:pt idx="366">
                  <c:v>16.90169999999997</c:v>
                </c:pt>
                <c:pt idx="367">
                  <c:v>16.90179999999997</c:v>
                </c:pt>
                <c:pt idx="368">
                  <c:v>16.901899999999969</c:v>
                </c:pt>
                <c:pt idx="369">
                  <c:v>16.901999999999969</c:v>
                </c:pt>
                <c:pt idx="370">
                  <c:v>16.902099999999969</c:v>
                </c:pt>
                <c:pt idx="371">
                  <c:v>16.902199999999969</c:v>
                </c:pt>
                <c:pt idx="372">
                  <c:v>16.902299999999968</c:v>
                </c:pt>
                <c:pt idx="373">
                  <c:v>16.902399999999968</c:v>
                </c:pt>
                <c:pt idx="374">
                  <c:v>16.902499999999968</c:v>
                </c:pt>
                <c:pt idx="375">
                  <c:v>16.902599999999968</c:v>
                </c:pt>
                <c:pt idx="376">
                  <c:v>16.902699999999967</c:v>
                </c:pt>
                <c:pt idx="377">
                  <c:v>16.902799999999967</c:v>
                </c:pt>
                <c:pt idx="378">
                  <c:v>16.902899999999967</c:v>
                </c:pt>
                <c:pt idx="379">
                  <c:v>16.902999999999967</c:v>
                </c:pt>
                <c:pt idx="380">
                  <c:v>16.903099999999966</c:v>
                </c:pt>
                <c:pt idx="381">
                  <c:v>16.903199999999966</c:v>
                </c:pt>
                <c:pt idx="382">
                  <c:v>16.903299999999966</c:v>
                </c:pt>
                <c:pt idx="383">
                  <c:v>16.903399999999966</c:v>
                </c:pt>
                <c:pt idx="384">
                  <c:v>16.903499999999966</c:v>
                </c:pt>
                <c:pt idx="385">
                  <c:v>16.903599999999965</c:v>
                </c:pt>
                <c:pt idx="386">
                  <c:v>16.903699999999965</c:v>
                </c:pt>
                <c:pt idx="387">
                  <c:v>16.903799999999965</c:v>
                </c:pt>
                <c:pt idx="388">
                  <c:v>16.903899999999965</c:v>
                </c:pt>
                <c:pt idx="389">
                  <c:v>16.903999999999964</c:v>
                </c:pt>
                <c:pt idx="390">
                  <c:v>16.904099999999964</c:v>
                </c:pt>
                <c:pt idx="391">
                  <c:v>16.904199999999964</c:v>
                </c:pt>
                <c:pt idx="392">
                  <c:v>16.904299999999964</c:v>
                </c:pt>
                <c:pt idx="393">
                  <c:v>16.904399999999963</c:v>
                </c:pt>
                <c:pt idx="394">
                  <c:v>16.904499999999963</c:v>
                </c:pt>
                <c:pt idx="395">
                  <c:v>16.904599999999963</c:v>
                </c:pt>
                <c:pt idx="396">
                  <c:v>16.904699999999963</c:v>
                </c:pt>
                <c:pt idx="397">
                  <c:v>16.904799999999963</c:v>
                </c:pt>
                <c:pt idx="398">
                  <c:v>16.904899999999962</c:v>
                </c:pt>
                <c:pt idx="399">
                  <c:v>16.904999999999962</c:v>
                </c:pt>
                <c:pt idx="400">
                  <c:v>16.905099999999962</c:v>
                </c:pt>
                <c:pt idx="401">
                  <c:v>16.905199999999962</c:v>
                </c:pt>
                <c:pt idx="402">
                  <c:v>16.905299999999961</c:v>
                </c:pt>
                <c:pt idx="403">
                  <c:v>16.905399999999961</c:v>
                </c:pt>
                <c:pt idx="404">
                  <c:v>16.905499999999961</c:v>
                </c:pt>
                <c:pt idx="405">
                  <c:v>16.905599999999961</c:v>
                </c:pt>
                <c:pt idx="406">
                  <c:v>16.90569999999996</c:v>
                </c:pt>
                <c:pt idx="407">
                  <c:v>16.90579999999996</c:v>
                </c:pt>
                <c:pt idx="408">
                  <c:v>16.90589999999996</c:v>
                </c:pt>
                <c:pt idx="409">
                  <c:v>16.90599999999996</c:v>
                </c:pt>
                <c:pt idx="410">
                  <c:v>16.906099999999959</c:v>
                </c:pt>
                <c:pt idx="411">
                  <c:v>16.906199999999959</c:v>
                </c:pt>
                <c:pt idx="412">
                  <c:v>16.906299999999959</c:v>
                </c:pt>
                <c:pt idx="413">
                  <c:v>16.906399999999959</c:v>
                </c:pt>
                <c:pt idx="414">
                  <c:v>16.906499999999959</c:v>
                </c:pt>
                <c:pt idx="415">
                  <c:v>16.906599999999958</c:v>
                </c:pt>
                <c:pt idx="416">
                  <c:v>16.906699999999958</c:v>
                </c:pt>
                <c:pt idx="417">
                  <c:v>16.906799999999958</c:v>
                </c:pt>
                <c:pt idx="418">
                  <c:v>16.906899999999958</c:v>
                </c:pt>
                <c:pt idx="419">
                  <c:v>16.906999999999957</c:v>
                </c:pt>
                <c:pt idx="420">
                  <c:v>16.907099999999957</c:v>
                </c:pt>
                <c:pt idx="421">
                  <c:v>16.907199999999957</c:v>
                </c:pt>
                <c:pt idx="422">
                  <c:v>16.907299999999957</c:v>
                </c:pt>
                <c:pt idx="423">
                  <c:v>16.907399999999956</c:v>
                </c:pt>
                <c:pt idx="424">
                  <c:v>16.907499999999956</c:v>
                </c:pt>
                <c:pt idx="425">
                  <c:v>16.907599999999956</c:v>
                </c:pt>
                <c:pt idx="426">
                  <c:v>16.907699999999956</c:v>
                </c:pt>
                <c:pt idx="427">
                  <c:v>16.907799999999956</c:v>
                </c:pt>
                <c:pt idx="428">
                  <c:v>16.907899999999955</c:v>
                </c:pt>
                <c:pt idx="429">
                  <c:v>16.907999999999955</c:v>
                </c:pt>
                <c:pt idx="430">
                  <c:v>16.908099999999955</c:v>
                </c:pt>
                <c:pt idx="431">
                  <c:v>16.908199999999955</c:v>
                </c:pt>
                <c:pt idx="432">
                  <c:v>16.908299999999954</c:v>
                </c:pt>
                <c:pt idx="433">
                  <c:v>16.908399999999954</c:v>
                </c:pt>
                <c:pt idx="434">
                  <c:v>16.908499999999954</c:v>
                </c:pt>
                <c:pt idx="435">
                  <c:v>16.908599999999954</c:v>
                </c:pt>
                <c:pt idx="436">
                  <c:v>16.908699999999953</c:v>
                </c:pt>
                <c:pt idx="437">
                  <c:v>16.908799999999953</c:v>
                </c:pt>
                <c:pt idx="438">
                  <c:v>16.908899999999953</c:v>
                </c:pt>
                <c:pt idx="439">
                  <c:v>16.908999999999953</c:v>
                </c:pt>
                <c:pt idx="440">
                  <c:v>16.909099999999953</c:v>
                </c:pt>
                <c:pt idx="441">
                  <c:v>16.909199999999952</c:v>
                </c:pt>
                <c:pt idx="442">
                  <c:v>16.909299999999952</c:v>
                </c:pt>
                <c:pt idx="443">
                  <c:v>16.909399999999952</c:v>
                </c:pt>
                <c:pt idx="444">
                  <c:v>16.909499999999952</c:v>
                </c:pt>
                <c:pt idx="445">
                  <c:v>16.909599999999951</c:v>
                </c:pt>
                <c:pt idx="446">
                  <c:v>16.909699999999951</c:v>
                </c:pt>
                <c:pt idx="447">
                  <c:v>16.909799999999951</c:v>
                </c:pt>
                <c:pt idx="448">
                  <c:v>16.909899999999951</c:v>
                </c:pt>
                <c:pt idx="449">
                  <c:v>16.90999999999995</c:v>
                </c:pt>
                <c:pt idx="450">
                  <c:v>16.91009999999995</c:v>
                </c:pt>
                <c:pt idx="451">
                  <c:v>16.91019999999995</c:v>
                </c:pt>
                <c:pt idx="452">
                  <c:v>16.91029999999995</c:v>
                </c:pt>
                <c:pt idx="453">
                  <c:v>16.910399999999949</c:v>
                </c:pt>
                <c:pt idx="454">
                  <c:v>16.910499999999949</c:v>
                </c:pt>
                <c:pt idx="455">
                  <c:v>16.910599999999949</c:v>
                </c:pt>
                <c:pt idx="456">
                  <c:v>16.910699999999949</c:v>
                </c:pt>
                <c:pt idx="457">
                  <c:v>16.910799999999949</c:v>
                </c:pt>
                <c:pt idx="458">
                  <c:v>16.910899999999948</c:v>
                </c:pt>
                <c:pt idx="459">
                  <c:v>16.910999999999948</c:v>
                </c:pt>
                <c:pt idx="460">
                  <c:v>16.911099999999948</c:v>
                </c:pt>
                <c:pt idx="461">
                  <c:v>16.911199999999948</c:v>
                </c:pt>
                <c:pt idx="462">
                  <c:v>16.911299999999947</c:v>
                </c:pt>
                <c:pt idx="463">
                  <c:v>16.911399999999947</c:v>
                </c:pt>
                <c:pt idx="464">
                  <c:v>16.911499999999947</c:v>
                </c:pt>
                <c:pt idx="465">
                  <c:v>16.911599999999947</c:v>
                </c:pt>
                <c:pt idx="466">
                  <c:v>16.911699999999946</c:v>
                </c:pt>
                <c:pt idx="467">
                  <c:v>16.911799999999946</c:v>
                </c:pt>
                <c:pt idx="468">
                  <c:v>16.911899999999946</c:v>
                </c:pt>
                <c:pt idx="469">
                  <c:v>16.911999999999946</c:v>
                </c:pt>
                <c:pt idx="470">
                  <c:v>16.912099999999946</c:v>
                </c:pt>
                <c:pt idx="471">
                  <c:v>16.912199999999945</c:v>
                </c:pt>
                <c:pt idx="472">
                  <c:v>16.912299999999945</c:v>
                </c:pt>
                <c:pt idx="473">
                  <c:v>16.912399999999945</c:v>
                </c:pt>
                <c:pt idx="474">
                  <c:v>16.912499999999945</c:v>
                </c:pt>
                <c:pt idx="475">
                  <c:v>16.912599999999944</c:v>
                </c:pt>
                <c:pt idx="476">
                  <c:v>16.912699999999944</c:v>
                </c:pt>
                <c:pt idx="477">
                  <c:v>16.912799999999944</c:v>
                </c:pt>
                <c:pt idx="478">
                  <c:v>16.912899999999944</c:v>
                </c:pt>
                <c:pt idx="479">
                  <c:v>16.912999999999943</c:v>
                </c:pt>
                <c:pt idx="480">
                  <c:v>16.913099999999943</c:v>
                </c:pt>
                <c:pt idx="481">
                  <c:v>16.913199999999943</c:v>
                </c:pt>
                <c:pt idx="482">
                  <c:v>16.913299999999943</c:v>
                </c:pt>
                <c:pt idx="483">
                  <c:v>16.913399999999942</c:v>
                </c:pt>
                <c:pt idx="484">
                  <c:v>16.913499999999942</c:v>
                </c:pt>
                <c:pt idx="485">
                  <c:v>16.913599999999942</c:v>
                </c:pt>
                <c:pt idx="486">
                  <c:v>16.913699999999942</c:v>
                </c:pt>
                <c:pt idx="487">
                  <c:v>16.913799999999942</c:v>
                </c:pt>
                <c:pt idx="488">
                  <c:v>16.913899999999941</c:v>
                </c:pt>
                <c:pt idx="489">
                  <c:v>16.913999999999941</c:v>
                </c:pt>
                <c:pt idx="490">
                  <c:v>16.914099999999941</c:v>
                </c:pt>
                <c:pt idx="491">
                  <c:v>16.914199999999941</c:v>
                </c:pt>
                <c:pt idx="492">
                  <c:v>16.91429999999994</c:v>
                </c:pt>
                <c:pt idx="493">
                  <c:v>16.91439999999994</c:v>
                </c:pt>
                <c:pt idx="494">
                  <c:v>16.91449999999994</c:v>
                </c:pt>
                <c:pt idx="495">
                  <c:v>16.91459999999994</c:v>
                </c:pt>
                <c:pt idx="496">
                  <c:v>16.914699999999939</c:v>
                </c:pt>
                <c:pt idx="497">
                  <c:v>16.914799999999939</c:v>
                </c:pt>
                <c:pt idx="498">
                  <c:v>16.914899999999939</c:v>
                </c:pt>
                <c:pt idx="499">
                  <c:v>16.914999999999939</c:v>
                </c:pt>
                <c:pt idx="500">
                  <c:v>16.915099999999939</c:v>
                </c:pt>
                <c:pt idx="501">
                  <c:v>16.915199999999938</c:v>
                </c:pt>
                <c:pt idx="502">
                  <c:v>16.915299999999938</c:v>
                </c:pt>
                <c:pt idx="503">
                  <c:v>16.915399999999938</c:v>
                </c:pt>
                <c:pt idx="504">
                  <c:v>16.915499999999938</c:v>
                </c:pt>
                <c:pt idx="505">
                  <c:v>16.915599999999937</c:v>
                </c:pt>
                <c:pt idx="506">
                  <c:v>16.915699999999937</c:v>
                </c:pt>
                <c:pt idx="507">
                  <c:v>16.915799999999937</c:v>
                </c:pt>
                <c:pt idx="508">
                  <c:v>16.915899999999937</c:v>
                </c:pt>
                <c:pt idx="509">
                  <c:v>16.915999999999936</c:v>
                </c:pt>
                <c:pt idx="510">
                  <c:v>16.916099999999936</c:v>
                </c:pt>
                <c:pt idx="511">
                  <c:v>16.916199999999936</c:v>
                </c:pt>
                <c:pt idx="512">
                  <c:v>16.916299999999936</c:v>
                </c:pt>
                <c:pt idx="513">
                  <c:v>16.916399999999935</c:v>
                </c:pt>
                <c:pt idx="514">
                  <c:v>16.916499999999935</c:v>
                </c:pt>
                <c:pt idx="515">
                  <c:v>16.916599999999935</c:v>
                </c:pt>
                <c:pt idx="516">
                  <c:v>16.916699999999935</c:v>
                </c:pt>
                <c:pt idx="517">
                  <c:v>16.916799999999935</c:v>
                </c:pt>
                <c:pt idx="518">
                  <c:v>16.916899999999934</c:v>
                </c:pt>
                <c:pt idx="519">
                  <c:v>16.916999999999934</c:v>
                </c:pt>
                <c:pt idx="520">
                  <c:v>16.917099999999934</c:v>
                </c:pt>
                <c:pt idx="521">
                  <c:v>16.917199999999934</c:v>
                </c:pt>
                <c:pt idx="522">
                  <c:v>16.917299999999933</c:v>
                </c:pt>
                <c:pt idx="523">
                  <c:v>16.917399999999933</c:v>
                </c:pt>
                <c:pt idx="524">
                  <c:v>16.917499999999933</c:v>
                </c:pt>
                <c:pt idx="525">
                  <c:v>16.917599999999933</c:v>
                </c:pt>
                <c:pt idx="526">
                  <c:v>16.917699999999932</c:v>
                </c:pt>
                <c:pt idx="527">
                  <c:v>16.917799999999932</c:v>
                </c:pt>
                <c:pt idx="528">
                  <c:v>16.917899999999932</c:v>
                </c:pt>
                <c:pt idx="529">
                  <c:v>16.917999999999932</c:v>
                </c:pt>
                <c:pt idx="530">
                  <c:v>16.918099999999932</c:v>
                </c:pt>
                <c:pt idx="531">
                  <c:v>16.918199999999931</c:v>
                </c:pt>
                <c:pt idx="532">
                  <c:v>16.918299999999931</c:v>
                </c:pt>
                <c:pt idx="533">
                  <c:v>16.918399999999931</c:v>
                </c:pt>
                <c:pt idx="534">
                  <c:v>16.918499999999931</c:v>
                </c:pt>
                <c:pt idx="535">
                  <c:v>16.91859999999993</c:v>
                </c:pt>
                <c:pt idx="536">
                  <c:v>16.91869999999993</c:v>
                </c:pt>
                <c:pt idx="537">
                  <c:v>16.91879999999993</c:v>
                </c:pt>
                <c:pt idx="538">
                  <c:v>16.91889999999993</c:v>
                </c:pt>
                <c:pt idx="539">
                  <c:v>16.918999999999929</c:v>
                </c:pt>
                <c:pt idx="540">
                  <c:v>16.919099999999929</c:v>
                </c:pt>
                <c:pt idx="541">
                  <c:v>16.919199999999929</c:v>
                </c:pt>
                <c:pt idx="542">
                  <c:v>16.919299999999929</c:v>
                </c:pt>
                <c:pt idx="543">
                  <c:v>16.919399999999928</c:v>
                </c:pt>
                <c:pt idx="544">
                  <c:v>16.919499999999928</c:v>
                </c:pt>
                <c:pt idx="545">
                  <c:v>16.919599999999928</c:v>
                </c:pt>
                <c:pt idx="546">
                  <c:v>16.919699999999928</c:v>
                </c:pt>
                <c:pt idx="547">
                  <c:v>16.919799999999928</c:v>
                </c:pt>
                <c:pt idx="548">
                  <c:v>16.919899999999927</c:v>
                </c:pt>
                <c:pt idx="549">
                  <c:v>16.919999999999927</c:v>
                </c:pt>
                <c:pt idx="550">
                  <c:v>16.920099999999927</c:v>
                </c:pt>
                <c:pt idx="551">
                  <c:v>16.920199999999927</c:v>
                </c:pt>
                <c:pt idx="552">
                  <c:v>16.920299999999926</c:v>
                </c:pt>
                <c:pt idx="553">
                  <c:v>16.920399999999926</c:v>
                </c:pt>
                <c:pt idx="554">
                  <c:v>16.920499999999926</c:v>
                </c:pt>
                <c:pt idx="555">
                  <c:v>16.920599999999926</c:v>
                </c:pt>
                <c:pt idx="556">
                  <c:v>16.920699999999925</c:v>
                </c:pt>
                <c:pt idx="557">
                  <c:v>16.920799999999925</c:v>
                </c:pt>
                <c:pt idx="558">
                  <c:v>16.920899999999925</c:v>
                </c:pt>
                <c:pt idx="559">
                  <c:v>16.920999999999925</c:v>
                </c:pt>
                <c:pt idx="560">
                  <c:v>16.921099999999925</c:v>
                </c:pt>
                <c:pt idx="561">
                  <c:v>16.921199999999924</c:v>
                </c:pt>
                <c:pt idx="562">
                  <c:v>16.921299999999924</c:v>
                </c:pt>
                <c:pt idx="563">
                  <c:v>16.921399999999924</c:v>
                </c:pt>
                <c:pt idx="564">
                  <c:v>16.921499999999924</c:v>
                </c:pt>
                <c:pt idx="565">
                  <c:v>16.921599999999923</c:v>
                </c:pt>
                <c:pt idx="566">
                  <c:v>16.921699999999923</c:v>
                </c:pt>
                <c:pt idx="567">
                  <c:v>16.921799999999923</c:v>
                </c:pt>
                <c:pt idx="568">
                  <c:v>16.921899999999923</c:v>
                </c:pt>
                <c:pt idx="569">
                  <c:v>16.921999999999922</c:v>
                </c:pt>
                <c:pt idx="570">
                  <c:v>16.922099999999922</c:v>
                </c:pt>
                <c:pt idx="571">
                  <c:v>16.922199999999922</c:v>
                </c:pt>
                <c:pt idx="572">
                  <c:v>16.922299999999922</c:v>
                </c:pt>
                <c:pt idx="573">
                  <c:v>16.922399999999922</c:v>
                </c:pt>
                <c:pt idx="574">
                  <c:v>16.922499999999921</c:v>
                </c:pt>
                <c:pt idx="575">
                  <c:v>16.922599999999921</c:v>
                </c:pt>
                <c:pt idx="576">
                  <c:v>16.922699999999921</c:v>
                </c:pt>
                <c:pt idx="577">
                  <c:v>16.922799999999921</c:v>
                </c:pt>
                <c:pt idx="578">
                  <c:v>16.92289999999992</c:v>
                </c:pt>
                <c:pt idx="579">
                  <c:v>16.92299999999992</c:v>
                </c:pt>
                <c:pt idx="580">
                  <c:v>16.92309999999992</c:v>
                </c:pt>
                <c:pt idx="581">
                  <c:v>16.92319999999992</c:v>
                </c:pt>
                <c:pt idx="582">
                  <c:v>16.923299999999919</c:v>
                </c:pt>
                <c:pt idx="583">
                  <c:v>16.923399999999919</c:v>
                </c:pt>
                <c:pt idx="584">
                  <c:v>16.923499999999919</c:v>
                </c:pt>
                <c:pt idx="585">
                  <c:v>16.923599999999919</c:v>
                </c:pt>
                <c:pt idx="586">
                  <c:v>16.923699999999918</c:v>
                </c:pt>
                <c:pt idx="587">
                  <c:v>16.923799999999918</c:v>
                </c:pt>
                <c:pt idx="588">
                  <c:v>16.923899999999918</c:v>
                </c:pt>
                <c:pt idx="589">
                  <c:v>16.923999999999918</c:v>
                </c:pt>
                <c:pt idx="590">
                  <c:v>16.924099999999918</c:v>
                </c:pt>
                <c:pt idx="591">
                  <c:v>16.924199999999917</c:v>
                </c:pt>
                <c:pt idx="592">
                  <c:v>16.924299999999917</c:v>
                </c:pt>
                <c:pt idx="593">
                  <c:v>16.924399999999917</c:v>
                </c:pt>
                <c:pt idx="594">
                  <c:v>16.924499999999917</c:v>
                </c:pt>
                <c:pt idx="595">
                  <c:v>16.924599999999916</c:v>
                </c:pt>
                <c:pt idx="596">
                  <c:v>16.924699999999916</c:v>
                </c:pt>
                <c:pt idx="597">
                  <c:v>16.924799999999916</c:v>
                </c:pt>
                <c:pt idx="598">
                  <c:v>16.924899999999916</c:v>
                </c:pt>
                <c:pt idx="599">
                  <c:v>16.924999999999915</c:v>
                </c:pt>
                <c:pt idx="600">
                  <c:v>16.925099999999915</c:v>
                </c:pt>
                <c:pt idx="601">
                  <c:v>16.925199999999915</c:v>
                </c:pt>
                <c:pt idx="602">
                  <c:v>16.925299999999915</c:v>
                </c:pt>
                <c:pt idx="603">
                  <c:v>16.925399999999915</c:v>
                </c:pt>
                <c:pt idx="604">
                  <c:v>16.925499999999914</c:v>
                </c:pt>
                <c:pt idx="605">
                  <c:v>16.925599999999914</c:v>
                </c:pt>
                <c:pt idx="606">
                  <c:v>16.925699999999914</c:v>
                </c:pt>
                <c:pt idx="607">
                  <c:v>16.925799999999914</c:v>
                </c:pt>
                <c:pt idx="608">
                  <c:v>16.925899999999913</c:v>
                </c:pt>
                <c:pt idx="609">
                  <c:v>16.925999999999913</c:v>
                </c:pt>
                <c:pt idx="610">
                  <c:v>16.926099999999913</c:v>
                </c:pt>
                <c:pt idx="611">
                  <c:v>16.926199999999913</c:v>
                </c:pt>
                <c:pt idx="612">
                  <c:v>16.926299999999912</c:v>
                </c:pt>
                <c:pt idx="613">
                  <c:v>16.926399999999912</c:v>
                </c:pt>
                <c:pt idx="614">
                  <c:v>16.926499999999912</c:v>
                </c:pt>
                <c:pt idx="615">
                  <c:v>16.926599999999912</c:v>
                </c:pt>
                <c:pt idx="616">
                  <c:v>16.926699999999911</c:v>
                </c:pt>
                <c:pt idx="617">
                  <c:v>16.926799999999911</c:v>
                </c:pt>
                <c:pt idx="618">
                  <c:v>16.926899999999911</c:v>
                </c:pt>
                <c:pt idx="619">
                  <c:v>16.926999999999911</c:v>
                </c:pt>
                <c:pt idx="620">
                  <c:v>16.927099999999911</c:v>
                </c:pt>
                <c:pt idx="621">
                  <c:v>16.92719999999991</c:v>
                </c:pt>
                <c:pt idx="622">
                  <c:v>16.92729999999991</c:v>
                </c:pt>
                <c:pt idx="623">
                  <c:v>16.92739999999991</c:v>
                </c:pt>
                <c:pt idx="624">
                  <c:v>16.92749999999991</c:v>
                </c:pt>
                <c:pt idx="625">
                  <c:v>16.927599999999909</c:v>
                </c:pt>
                <c:pt idx="626">
                  <c:v>16.927699999999909</c:v>
                </c:pt>
                <c:pt idx="627">
                  <c:v>16.927799999999909</c:v>
                </c:pt>
                <c:pt idx="628">
                  <c:v>16.927899999999909</c:v>
                </c:pt>
                <c:pt idx="629">
                  <c:v>16.927999999999908</c:v>
                </c:pt>
                <c:pt idx="630">
                  <c:v>16.928099999999908</c:v>
                </c:pt>
                <c:pt idx="631">
                  <c:v>16.928199999999908</c:v>
                </c:pt>
                <c:pt idx="632">
                  <c:v>16.928299999999908</c:v>
                </c:pt>
                <c:pt idx="633">
                  <c:v>16.928399999999908</c:v>
                </c:pt>
                <c:pt idx="634">
                  <c:v>16.928499999999907</c:v>
                </c:pt>
                <c:pt idx="635">
                  <c:v>16.928599999999907</c:v>
                </c:pt>
                <c:pt idx="636">
                  <c:v>16.928699999999907</c:v>
                </c:pt>
                <c:pt idx="637">
                  <c:v>16.928799999999907</c:v>
                </c:pt>
                <c:pt idx="638">
                  <c:v>16.928899999999906</c:v>
                </c:pt>
                <c:pt idx="639">
                  <c:v>16.928999999999906</c:v>
                </c:pt>
                <c:pt idx="640">
                  <c:v>16.929099999999906</c:v>
                </c:pt>
                <c:pt idx="641">
                  <c:v>16.929199999999906</c:v>
                </c:pt>
                <c:pt idx="642">
                  <c:v>16.929299999999905</c:v>
                </c:pt>
                <c:pt idx="643">
                  <c:v>16.929399999999905</c:v>
                </c:pt>
                <c:pt idx="644">
                  <c:v>16.929499999999905</c:v>
                </c:pt>
                <c:pt idx="645">
                  <c:v>16.929599999999905</c:v>
                </c:pt>
                <c:pt idx="646">
                  <c:v>16.929699999999904</c:v>
                </c:pt>
                <c:pt idx="647">
                  <c:v>16.929799999999904</c:v>
                </c:pt>
                <c:pt idx="648">
                  <c:v>16.929899999999904</c:v>
                </c:pt>
                <c:pt idx="649">
                  <c:v>16.929999999999904</c:v>
                </c:pt>
                <c:pt idx="650">
                  <c:v>16.930099999999904</c:v>
                </c:pt>
                <c:pt idx="651">
                  <c:v>16.930199999999903</c:v>
                </c:pt>
                <c:pt idx="652">
                  <c:v>16.930299999999903</c:v>
                </c:pt>
                <c:pt idx="653">
                  <c:v>16.930399999999903</c:v>
                </c:pt>
                <c:pt idx="654">
                  <c:v>16.930499999999903</c:v>
                </c:pt>
                <c:pt idx="655">
                  <c:v>16.930599999999902</c:v>
                </c:pt>
                <c:pt idx="656">
                  <c:v>16.930699999999902</c:v>
                </c:pt>
                <c:pt idx="657">
                  <c:v>16.930799999999902</c:v>
                </c:pt>
                <c:pt idx="658">
                  <c:v>16.930899999999902</c:v>
                </c:pt>
                <c:pt idx="659">
                  <c:v>16.930999999999901</c:v>
                </c:pt>
                <c:pt idx="660">
                  <c:v>16.931099999999901</c:v>
                </c:pt>
                <c:pt idx="661">
                  <c:v>16.931199999999901</c:v>
                </c:pt>
                <c:pt idx="662">
                  <c:v>16.931299999999901</c:v>
                </c:pt>
                <c:pt idx="663">
                  <c:v>16.931399999999901</c:v>
                </c:pt>
                <c:pt idx="664">
                  <c:v>16.9314999999999</c:v>
                </c:pt>
                <c:pt idx="665">
                  <c:v>16.9315999999999</c:v>
                </c:pt>
                <c:pt idx="666">
                  <c:v>16.9316999999999</c:v>
                </c:pt>
                <c:pt idx="667">
                  <c:v>16.9317999999999</c:v>
                </c:pt>
                <c:pt idx="668">
                  <c:v>16.931899999999899</c:v>
                </c:pt>
                <c:pt idx="669">
                  <c:v>16.931999999999899</c:v>
                </c:pt>
                <c:pt idx="670">
                  <c:v>16.932099999999899</c:v>
                </c:pt>
                <c:pt idx="671">
                  <c:v>16.932199999999899</c:v>
                </c:pt>
                <c:pt idx="672">
                  <c:v>16.932299999999898</c:v>
                </c:pt>
                <c:pt idx="673">
                  <c:v>16.932399999999898</c:v>
                </c:pt>
                <c:pt idx="674">
                  <c:v>16.932499999999898</c:v>
                </c:pt>
                <c:pt idx="675">
                  <c:v>16.932599999999898</c:v>
                </c:pt>
                <c:pt idx="676">
                  <c:v>16.932699999999897</c:v>
                </c:pt>
                <c:pt idx="677">
                  <c:v>16.932799999999897</c:v>
                </c:pt>
                <c:pt idx="678">
                  <c:v>16.932899999999897</c:v>
                </c:pt>
                <c:pt idx="679">
                  <c:v>16.932999999999897</c:v>
                </c:pt>
                <c:pt idx="680">
                  <c:v>16.933099999999897</c:v>
                </c:pt>
                <c:pt idx="681">
                  <c:v>16.933199999999896</c:v>
                </c:pt>
                <c:pt idx="682">
                  <c:v>16.933299999999896</c:v>
                </c:pt>
                <c:pt idx="683">
                  <c:v>16.933399999999896</c:v>
                </c:pt>
                <c:pt idx="684">
                  <c:v>16.933499999999896</c:v>
                </c:pt>
                <c:pt idx="685">
                  <c:v>16.933599999999895</c:v>
                </c:pt>
                <c:pt idx="686">
                  <c:v>16.933699999999895</c:v>
                </c:pt>
                <c:pt idx="687">
                  <c:v>16.933799999999895</c:v>
                </c:pt>
                <c:pt idx="688">
                  <c:v>16.933899999999895</c:v>
                </c:pt>
                <c:pt idx="689">
                  <c:v>16.933999999999894</c:v>
                </c:pt>
                <c:pt idx="690">
                  <c:v>16.934099999999894</c:v>
                </c:pt>
                <c:pt idx="691">
                  <c:v>16.934199999999894</c:v>
                </c:pt>
                <c:pt idx="692">
                  <c:v>16.934299999999894</c:v>
                </c:pt>
                <c:pt idx="693">
                  <c:v>16.934399999999894</c:v>
                </c:pt>
                <c:pt idx="694">
                  <c:v>16.934499999999893</c:v>
                </c:pt>
                <c:pt idx="695">
                  <c:v>16.934599999999893</c:v>
                </c:pt>
                <c:pt idx="696">
                  <c:v>16.934699999999893</c:v>
                </c:pt>
                <c:pt idx="697">
                  <c:v>16.934799999999893</c:v>
                </c:pt>
                <c:pt idx="698">
                  <c:v>16.934899999999892</c:v>
                </c:pt>
                <c:pt idx="699">
                  <c:v>16.934999999999892</c:v>
                </c:pt>
                <c:pt idx="700">
                  <c:v>16.935099999999892</c:v>
                </c:pt>
                <c:pt idx="701">
                  <c:v>16.935199999999892</c:v>
                </c:pt>
                <c:pt idx="702">
                  <c:v>16.935299999999891</c:v>
                </c:pt>
                <c:pt idx="703">
                  <c:v>16.935399999999891</c:v>
                </c:pt>
                <c:pt idx="704">
                  <c:v>16.935499999999891</c:v>
                </c:pt>
                <c:pt idx="705">
                  <c:v>16.935599999999891</c:v>
                </c:pt>
                <c:pt idx="706">
                  <c:v>16.935699999999891</c:v>
                </c:pt>
                <c:pt idx="707">
                  <c:v>16.93579999999989</c:v>
                </c:pt>
                <c:pt idx="708">
                  <c:v>16.93589999999989</c:v>
                </c:pt>
                <c:pt idx="709">
                  <c:v>16.93599999999989</c:v>
                </c:pt>
                <c:pt idx="710">
                  <c:v>16.93609999999989</c:v>
                </c:pt>
                <c:pt idx="711">
                  <c:v>16.936199999999889</c:v>
                </c:pt>
                <c:pt idx="712">
                  <c:v>16.936299999999889</c:v>
                </c:pt>
                <c:pt idx="713">
                  <c:v>16.936399999999889</c:v>
                </c:pt>
                <c:pt idx="714">
                  <c:v>16.936499999999889</c:v>
                </c:pt>
                <c:pt idx="715">
                  <c:v>16.936599999999888</c:v>
                </c:pt>
                <c:pt idx="716">
                  <c:v>16.936699999999888</c:v>
                </c:pt>
                <c:pt idx="717">
                  <c:v>16.936799999999888</c:v>
                </c:pt>
                <c:pt idx="718">
                  <c:v>16.936899999999888</c:v>
                </c:pt>
                <c:pt idx="719">
                  <c:v>16.936999999999887</c:v>
                </c:pt>
                <c:pt idx="720">
                  <c:v>16.937099999999887</c:v>
                </c:pt>
                <c:pt idx="721">
                  <c:v>16.937199999999887</c:v>
                </c:pt>
                <c:pt idx="722">
                  <c:v>16.937299999999887</c:v>
                </c:pt>
                <c:pt idx="723">
                  <c:v>16.937399999999887</c:v>
                </c:pt>
                <c:pt idx="724">
                  <c:v>16.937499999999886</c:v>
                </c:pt>
                <c:pt idx="725">
                  <c:v>16.937599999999886</c:v>
                </c:pt>
                <c:pt idx="726">
                  <c:v>16.937699999999886</c:v>
                </c:pt>
                <c:pt idx="727">
                  <c:v>16.937799999999886</c:v>
                </c:pt>
                <c:pt idx="728">
                  <c:v>16.937899999999885</c:v>
                </c:pt>
                <c:pt idx="729">
                  <c:v>16.937999999999885</c:v>
                </c:pt>
                <c:pt idx="730">
                  <c:v>16.938099999999885</c:v>
                </c:pt>
                <c:pt idx="731">
                  <c:v>16.938199999999885</c:v>
                </c:pt>
                <c:pt idx="732">
                  <c:v>16.938299999999884</c:v>
                </c:pt>
                <c:pt idx="733">
                  <c:v>16.938399999999884</c:v>
                </c:pt>
                <c:pt idx="734">
                  <c:v>16.938499999999884</c:v>
                </c:pt>
                <c:pt idx="735">
                  <c:v>16.938599999999884</c:v>
                </c:pt>
                <c:pt idx="736">
                  <c:v>16.938699999999884</c:v>
                </c:pt>
                <c:pt idx="737">
                  <c:v>16.938799999999883</c:v>
                </c:pt>
                <c:pt idx="738">
                  <c:v>16.938899999999883</c:v>
                </c:pt>
                <c:pt idx="739">
                  <c:v>16.938999999999883</c:v>
                </c:pt>
                <c:pt idx="740">
                  <c:v>16.939099999999883</c:v>
                </c:pt>
                <c:pt idx="741">
                  <c:v>16.939199999999882</c:v>
                </c:pt>
                <c:pt idx="742">
                  <c:v>16.939299999999882</c:v>
                </c:pt>
                <c:pt idx="743">
                  <c:v>16.939399999999882</c:v>
                </c:pt>
                <c:pt idx="744">
                  <c:v>16.939499999999882</c:v>
                </c:pt>
                <c:pt idx="745">
                  <c:v>16.939599999999881</c:v>
                </c:pt>
                <c:pt idx="746">
                  <c:v>16.939699999999881</c:v>
                </c:pt>
                <c:pt idx="747">
                  <c:v>16.939799999999881</c:v>
                </c:pt>
                <c:pt idx="748">
                  <c:v>16.939899999999881</c:v>
                </c:pt>
                <c:pt idx="749">
                  <c:v>16.93999999999988</c:v>
                </c:pt>
                <c:pt idx="750">
                  <c:v>16.94009999999988</c:v>
                </c:pt>
                <c:pt idx="751">
                  <c:v>16.94019999999988</c:v>
                </c:pt>
                <c:pt idx="752">
                  <c:v>16.94029999999988</c:v>
                </c:pt>
                <c:pt idx="753">
                  <c:v>16.94039999999988</c:v>
                </c:pt>
                <c:pt idx="754">
                  <c:v>16.940499999999879</c:v>
                </c:pt>
                <c:pt idx="755">
                  <c:v>16.940599999999879</c:v>
                </c:pt>
                <c:pt idx="756">
                  <c:v>16.940699999999879</c:v>
                </c:pt>
                <c:pt idx="757">
                  <c:v>16.940799999999879</c:v>
                </c:pt>
                <c:pt idx="758">
                  <c:v>16.940899999999878</c:v>
                </c:pt>
                <c:pt idx="759">
                  <c:v>16.940999999999878</c:v>
                </c:pt>
                <c:pt idx="760">
                  <c:v>16.941099999999878</c:v>
                </c:pt>
                <c:pt idx="761">
                  <c:v>16.941199999999878</c:v>
                </c:pt>
                <c:pt idx="762">
                  <c:v>16.941299999999877</c:v>
                </c:pt>
                <c:pt idx="763">
                  <c:v>16.941399999999877</c:v>
                </c:pt>
                <c:pt idx="764">
                  <c:v>16.941499999999877</c:v>
                </c:pt>
                <c:pt idx="765">
                  <c:v>16.941599999999877</c:v>
                </c:pt>
                <c:pt idx="766">
                  <c:v>16.941699999999877</c:v>
                </c:pt>
                <c:pt idx="767">
                  <c:v>16.941799999999876</c:v>
                </c:pt>
                <c:pt idx="768">
                  <c:v>16.941899999999876</c:v>
                </c:pt>
                <c:pt idx="769">
                  <c:v>16.941999999999876</c:v>
                </c:pt>
                <c:pt idx="770">
                  <c:v>16.942099999999876</c:v>
                </c:pt>
                <c:pt idx="771">
                  <c:v>16.942199999999875</c:v>
                </c:pt>
                <c:pt idx="772">
                  <c:v>16.942299999999875</c:v>
                </c:pt>
                <c:pt idx="773">
                  <c:v>16.942399999999875</c:v>
                </c:pt>
                <c:pt idx="774">
                  <c:v>16.942499999999875</c:v>
                </c:pt>
                <c:pt idx="775">
                  <c:v>16.942599999999874</c:v>
                </c:pt>
                <c:pt idx="776">
                  <c:v>16.942699999999874</c:v>
                </c:pt>
                <c:pt idx="777">
                  <c:v>16.942799999999874</c:v>
                </c:pt>
                <c:pt idx="778">
                  <c:v>16.942899999999874</c:v>
                </c:pt>
                <c:pt idx="779">
                  <c:v>16.942999999999873</c:v>
                </c:pt>
                <c:pt idx="780">
                  <c:v>16.943099999999873</c:v>
                </c:pt>
                <c:pt idx="781">
                  <c:v>16.943199999999873</c:v>
                </c:pt>
                <c:pt idx="782">
                  <c:v>16.943299999999873</c:v>
                </c:pt>
                <c:pt idx="783">
                  <c:v>16.943399999999873</c:v>
                </c:pt>
                <c:pt idx="784">
                  <c:v>16.943499999999872</c:v>
                </c:pt>
                <c:pt idx="785">
                  <c:v>16.943599999999872</c:v>
                </c:pt>
                <c:pt idx="786">
                  <c:v>16.943699999999872</c:v>
                </c:pt>
                <c:pt idx="787">
                  <c:v>16.943799999999872</c:v>
                </c:pt>
                <c:pt idx="788">
                  <c:v>16.943899999999871</c:v>
                </c:pt>
                <c:pt idx="789">
                  <c:v>16.943999999999871</c:v>
                </c:pt>
                <c:pt idx="790">
                  <c:v>16.944099999999871</c:v>
                </c:pt>
                <c:pt idx="791">
                  <c:v>16.944199999999871</c:v>
                </c:pt>
                <c:pt idx="792">
                  <c:v>16.94429999999987</c:v>
                </c:pt>
                <c:pt idx="793">
                  <c:v>16.94439999999987</c:v>
                </c:pt>
                <c:pt idx="794">
                  <c:v>16.94449999999987</c:v>
                </c:pt>
                <c:pt idx="795">
                  <c:v>16.94459999999987</c:v>
                </c:pt>
                <c:pt idx="796">
                  <c:v>16.94469999999987</c:v>
                </c:pt>
                <c:pt idx="797">
                  <c:v>16.944799999999869</c:v>
                </c:pt>
                <c:pt idx="798">
                  <c:v>16.944899999999869</c:v>
                </c:pt>
                <c:pt idx="799">
                  <c:v>16.944999999999869</c:v>
                </c:pt>
                <c:pt idx="800">
                  <c:v>16.945099999999869</c:v>
                </c:pt>
                <c:pt idx="801">
                  <c:v>16.945199999999868</c:v>
                </c:pt>
                <c:pt idx="802">
                  <c:v>16.945299999999868</c:v>
                </c:pt>
                <c:pt idx="803">
                  <c:v>16.945399999999868</c:v>
                </c:pt>
                <c:pt idx="804">
                  <c:v>16.945499999999868</c:v>
                </c:pt>
                <c:pt idx="805">
                  <c:v>16.945599999999867</c:v>
                </c:pt>
                <c:pt idx="806">
                  <c:v>16.945699999999867</c:v>
                </c:pt>
                <c:pt idx="807">
                  <c:v>16.945799999999867</c:v>
                </c:pt>
                <c:pt idx="808">
                  <c:v>16.945899999999867</c:v>
                </c:pt>
                <c:pt idx="809">
                  <c:v>16.945999999999867</c:v>
                </c:pt>
                <c:pt idx="810">
                  <c:v>16.946099999999866</c:v>
                </c:pt>
                <c:pt idx="811">
                  <c:v>16.946199999999866</c:v>
                </c:pt>
                <c:pt idx="812">
                  <c:v>16.946299999999866</c:v>
                </c:pt>
                <c:pt idx="813">
                  <c:v>16.946399999999866</c:v>
                </c:pt>
                <c:pt idx="814">
                  <c:v>16.946499999999865</c:v>
                </c:pt>
                <c:pt idx="815">
                  <c:v>16.946599999999865</c:v>
                </c:pt>
                <c:pt idx="816">
                  <c:v>16.946699999999865</c:v>
                </c:pt>
                <c:pt idx="817">
                  <c:v>16.946799999999865</c:v>
                </c:pt>
                <c:pt idx="818">
                  <c:v>16.946899999999864</c:v>
                </c:pt>
                <c:pt idx="819">
                  <c:v>16.946999999999864</c:v>
                </c:pt>
                <c:pt idx="820">
                  <c:v>16.947099999999864</c:v>
                </c:pt>
                <c:pt idx="821">
                  <c:v>16.947199999999864</c:v>
                </c:pt>
                <c:pt idx="822">
                  <c:v>16.947299999999863</c:v>
                </c:pt>
                <c:pt idx="823">
                  <c:v>16.947399999999863</c:v>
                </c:pt>
                <c:pt idx="824">
                  <c:v>16.947499999999863</c:v>
                </c:pt>
                <c:pt idx="825">
                  <c:v>16.947599999999863</c:v>
                </c:pt>
                <c:pt idx="826">
                  <c:v>16.947699999999863</c:v>
                </c:pt>
                <c:pt idx="827">
                  <c:v>16.947799999999862</c:v>
                </c:pt>
                <c:pt idx="828">
                  <c:v>16.947899999999862</c:v>
                </c:pt>
                <c:pt idx="829">
                  <c:v>16.947999999999862</c:v>
                </c:pt>
                <c:pt idx="830">
                  <c:v>16.948099999999862</c:v>
                </c:pt>
                <c:pt idx="831">
                  <c:v>16.948199999999861</c:v>
                </c:pt>
                <c:pt idx="832">
                  <c:v>16.948299999999861</c:v>
                </c:pt>
                <c:pt idx="833">
                  <c:v>16.948399999999861</c:v>
                </c:pt>
                <c:pt idx="834">
                  <c:v>16.948499999999861</c:v>
                </c:pt>
                <c:pt idx="835">
                  <c:v>16.94859999999986</c:v>
                </c:pt>
                <c:pt idx="836">
                  <c:v>16.94869999999986</c:v>
                </c:pt>
                <c:pt idx="837">
                  <c:v>16.94879999999986</c:v>
                </c:pt>
                <c:pt idx="838">
                  <c:v>16.94889999999986</c:v>
                </c:pt>
                <c:pt idx="839">
                  <c:v>16.94899999999986</c:v>
                </c:pt>
                <c:pt idx="840">
                  <c:v>16.949099999999859</c:v>
                </c:pt>
                <c:pt idx="841">
                  <c:v>16.949199999999859</c:v>
                </c:pt>
                <c:pt idx="842">
                  <c:v>16.949299999999859</c:v>
                </c:pt>
                <c:pt idx="843">
                  <c:v>16.949399999999859</c:v>
                </c:pt>
                <c:pt idx="844">
                  <c:v>16.949499999999858</c:v>
                </c:pt>
                <c:pt idx="845">
                  <c:v>16.949599999999858</c:v>
                </c:pt>
                <c:pt idx="846">
                  <c:v>16.949699999999858</c:v>
                </c:pt>
                <c:pt idx="847">
                  <c:v>16.949799999999858</c:v>
                </c:pt>
                <c:pt idx="848">
                  <c:v>16.949899999999857</c:v>
                </c:pt>
                <c:pt idx="849">
                  <c:v>16.949999999999857</c:v>
                </c:pt>
                <c:pt idx="850">
                  <c:v>16.950099999999857</c:v>
                </c:pt>
                <c:pt idx="851">
                  <c:v>16.950199999999857</c:v>
                </c:pt>
                <c:pt idx="852">
                  <c:v>16.950299999999856</c:v>
                </c:pt>
                <c:pt idx="853">
                  <c:v>16.950399999999856</c:v>
                </c:pt>
                <c:pt idx="854">
                  <c:v>16.950499999999856</c:v>
                </c:pt>
                <c:pt idx="855">
                  <c:v>16.950599999999856</c:v>
                </c:pt>
                <c:pt idx="856">
                  <c:v>16.950699999999856</c:v>
                </c:pt>
                <c:pt idx="857">
                  <c:v>16.950799999999855</c:v>
                </c:pt>
                <c:pt idx="858">
                  <c:v>16.950899999999855</c:v>
                </c:pt>
                <c:pt idx="859">
                  <c:v>16.950999999999855</c:v>
                </c:pt>
                <c:pt idx="860">
                  <c:v>16.951099999999855</c:v>
                </c:pt>
                <c:pt idx="861">
                  <c:v>16.951199999999854</c:v>
                </c:pt>
                <c:pt idx="862">
                  <c:v>16.951299999999854</c:v>
                </c:pt>
                <c:pt idx="863">
                  <c:v>16.951399999999854</c:v>
                </c:pt>
                <c:pt idx="864">
                  <c:v>16.951499999999854</c:v>
                </c:pt>
                <c:pt idx="865">
                  <c:v>16.951599999999853</c:v>
                </c:pt>
                <c:pt idx="866">
                  <c:v>16.951699999999853</c:v>
                </c:pt>
                <c:pt idx="867">
                  <c:v>16.951799999999853</c:v>
                </c:pt>
                <c:pt idx="868">
                  <c:v>16.951899999999853</c:v>
                </c:pt>
                <c:pt idx="869">
                  <c:v>16.951999999999853</c:v>
                </c:pt>
                <c:pt idx="870">
                  <c:v>16.952099999999852</c:v>
                </c:pt>
                <c:pt idx="871">
                  <c:v>16.952199999999852</c:v>
                </c:pt>
                <c:pt idx="872">
                  <c:v>16.952299999999852</c:v>
                </c:pt>
                <c:pt idx="873">
                  <c:v>16.952399999999852</c:v>
                </c:pt>
                <c:pt idx="874">
                  <c:v>16.952499999999851</c:v>
                </c:pt>
                <c:pt idx="875">
                  <c:v>16.952599999999851</c:v>
                </c:pt>
                <c:pt idx="876">
                  <c:v>16.952699999999851</c:v>
                </c:pt>
                <c:pt idx="877">
                  <c:v>16.952799999999851</c:v>
                </c:pt>
                <c:pt idx="878">
                  <c:v>16.95289999999985</c:v>
                </c:pt>
                <c:pt idx="879">
                  <c:v>16.95299999999985</c:v>
                </c:pt>
                <c:pt idx="880">
                  <c:v>16.95309999999985</c:v>
                </c:pt>
                <c:pt idx="881">
                  <c:v>16.95319999999985</c:v>
                </c:pt>
                <c:pt idx="882">
                  <c:v>16.953299999999849</c:v>
                </c:pt>
                <c:pt idx="883">
                  <c:v>16.953399999999849</c:v>
                </c:pt>
                <c:pt idx="884">
                  <c:v>16.953499999999849</c:v>
                </c:pt>
                <c:pt idx="885">
                  <c:v>16.953599999999849</c:v>
                </c:pt>
                <c:pt idx="886">
                  <c:v>16.953699999999849</c:v>
                </c:pt>
                <c:pt idx="887">
                  <c:v>16.953799999999848</c:v>
                </c:pt>
                <c:pt idx="888">
                  <c:v>16.953899999999848</c:v>
                </c:pt>
                <c:pt idx="889">
                  <c:v>16.953999999999848</c:v>
                </c:pt>
                <c:pt idx="890">
                  <c:v>16.954099999999848</c:v>
                </c:pt>
                <c:pt idx="891">
                  <c:v>16.954199999999847</c:v>
                </c:pt>
                <c:pt idx="892">
                  <c:v>16.954299999999847</c:v>
                </c:pt>
                <c:pt idx="893">
                  <c:v>16.954399999999847</c:v>
                </c:pt>
                <c:pt idx="894">
                  <c:v>16.954499999999847</c:v>
                </c:pt>
                <c:pt idx="895">
                  <c:v>16.954599999999846</c:v>
                </c:pt>
                <c:pt idx="896">
                  <c:v>16.954699999999846</c:v>
                </c:pt>
                <c:pt idx="897">
                  <c:v>16.954799999999846</c:v>
                </c:pt>
                <c:pt idx="898">
                  <c:v>16.954899999999846</c:v>
                </c:pt>
                <c:pt idx="899">
                  <c:v>16.954999999999846</c:v>
                </c:pt>
                <c:pt idx="900">
                  <c:v>16.955099999999845</c:v>
                </c:pt>
                <c:pt idx="901">
                  <c:v>16.955199999999845</c:v>
                </c:pt>
                <c:pt idx="902">
                  <c:v>16.955299999999845</c:v>
                </c:pt>
                <c:pt idx="903">
                  <c:v>16.955399999999845</c:v>
                </c:pt>
                <c:pt idx="904">
                  <c:v>16.955499999999844</c:v>
                </c:pt>
                <c:pt idx="905">
                  <c:v>16.955599999999844</c:v>
                </c:pt>
                <c:pt idx="906">
                  <c:v>16.955699999999844</c:v>
                </c:pt>
                <c:pt idx="907">
                  <c:v>16.955799999999844</c:v>
                </c:pt>
                <c:pt idx="908">
                  <c:v>16.955899999999843</c:v>
                </c:pt>
                <c:pt idx="909">
                  <c:v>16.955999999999843</c:v>
                </c:pt>
                <c:pt idx="910">
                  <c:v>16.956099999999843</c:v>
                </c:pt>
                <c:pt idx="911">
                  <c:v>16.956199999999843</c:v>
                </c:pt>
                <c:pt idx="912">
                  <c:v>16.956299999999842</c:v>
                </c:pt>
                <c:pt idx="913">
                  <c:v>16.956399999999842</c:v>
                </c:pt>
                <c:pt idx="914">
                  <c:v>16.956499999999842</c:v>
                </c:pt>
                <c:pt idx="915">
                  <c:v>16.956599999999842</c:v>
                </c:pt>
                <c:pt idx="916">
                  <c:v>16.956699999999842</c:v>
                </c:pt>
                <c:pt idx="917">
                  <c:v>16.956799999999841</c:v>
                </c:pt>
                <c:pt idx="918">
                  <c:v>16.956899999999841</c:v>
                </c:pt>
                <c:pt idx="919">
                  <c:v>16.956999999999841</c:v>
                </c:pt>
                <c:pt idx="920">
                  <c:v>16.957099999999841</c:v>
                </c:pt>
                <c:pt idx="921">
                  <c:v>16.95719999999984</c:v>
                </c:pt>
                <c:pt idx="922">
                  <c:v>16.95729999999984</c:v>
                </c:pt>
                <c:pt idx="923">
                  <c:v>16.95739999999984</c:v>
                </c:pt>
                <c:pt idx="924">
                  <c:v>16.95749999999984</c:v>
                </c:pt>
                <c:pt idx="925">
                  <c:v>16.957599999999839</c:v>
                </c:pt>
                <c:pt idx="926">
                  <c:v>16.957699999999839</c:v>
                </c:pt>
                <c:pt idx="927">
                  <c:v>16.957799999999839</c:v>
                </c:pt>
                <c:pt idx="928">
                  <c:v>16.957899999999839</c:v>
                </c:pt>
                <c:pt idx="929">
                  <c:v>16.957999999999839</c:v>
                </c:pt>
                <c:pt idx="930">
                  <c:v>16.958099999999838</c:v>
                </c:pt>
                <c:pt idx="931">
                  <c:v>16.958199999999838</c:v>
                </c:pt>
                <c:pt idx="932">
                  <c:v>16.958299999999838</c:v>
                </c:pt>
                <c:pt idx="933">
                  <c:v>16.958399999999838</c:v>
                </c:pt>
                <c:pt idx="934">
                  <c:v>16.958499999999837</c:v>
                </c:pt>
                <c:pt idx="935">
                  <c:v>16.958599999999837</c:v>
                </c:pt>
                <c:pt idx="936">
                  <c:v>16.958699999999837</c:v>
                </c:pt>
                <c:pt idx="937">
                  <c:v>16.958799999999837</c:v>
                </c:pt>
                <c:pt idx="938">
                  <c:v>16.958899999999836</c:v>
                </c:pt>
                <c:pt idx="939">
                  <c:v>16.958999999999836</c:v>
                </c:pt>
                <c:pt idx="940">
                  <c:v>16.959099999999836</c:v>
                </c:pt>
                <c:pt idx="941">
                  <c:v>16.959199999999836</c:v>
                </c:pt>
                <c:pt idx="942">
                  <c:v>16.959299999999836</c:v>
                </c:pt>
                <c:pt idx="943">
                  <c:v>16.959399999999835</c:v>
                </c:pt>
                <c:pt idx="944">
                  <c:v>16.959499999999835</c:v>
                </c:pt>
                <c:pt idx="945">
                  <c:v>16.959599999999835</c:v>
                </c:pt>
                <c:pt idx="946">
                  <c:v>16.959699999999835</c:v>
                </c:pt>
                <c:pt idx="947">
                  <c:v>16.959799999999834</c:v>
                </c:pt>
                <c:pt idx="948">
                  <c:v>16.959899999999834</c:v>
                </c:pt>
                <c:pt idx="949">
                  <c:v>16.959999999999834</c:v>
                </c:pt>
                <c:pt idx="950">
                  <c:v>16.960099999999834</c:v>
                </c:pt>
                <c:pt idx="951">
                  <c:v>16.960199999999833</c:v>
                </c:pt>
                <c:pt idx="952">
                  <c:v>16.960299999999833</c:v>
                </c:pt>
                <c:pt idx="953">
                  <c:v>16.960399999999833</c:v>
                </c:pt>
                <c:pt idx="954">
                  <c:v>16.960499999999833</c:v>
                </c:pt>
                <c:pt idx="955">
                  <c:v>16.960599999999832</c:v>
                </c:pt>
                <c:pt idx="956">
                  <c:v>16.960699999999832</c:v>
                </c:pt>
                <c:pt idx="957">
                  <c:v>16.960799999999832</c:v>
                </c:pt>
                <c:pt idx="958">
                  <c:v>16.960899999999832</c:v>
                </c:pt>
                <c:pt idx="959">
                  <c:v>16.960999999999832</c:v>
                </c:pt>
                <c:pt idx="960">
                  <c:v>16.961099999999831</c:v>
                </c:pt>
                <c:pt idx="961">
                  <c:v>16.961199999999831</c:v>
                </c:pt>
                <c:pt idx="962">
                  <c:v>16.961299999999831</c:v>
                </c:pt>
                <c:pt idx="963">
                  <c:v>16.961399999999831</c:v>
                </c:pt>
                <c:pt idx="964">
                  <c:v>16.96149999999983</c:v>
                </c:pt>
                <c:pt idx="965">
                  <c:v>16.96159999999983</c:v>
                </c:pt>
                <c:pt idx="966">
                  <c:v>16.96169999999983</c:v>
                </c:pt>
                <c:pt idx="967">
                  <c:v>16.96179999999983</c:v>
                </c:pt>
                <c:pt idx="968">
                  <c:v>16.961899999999829</c:v>
                </c:pt>
                <c:pt idx="969">
                  <c:v>16.961999999999829</c:v>
                </c:pt>
                <c:pt idx="970">
                  <c:v>16.962099999999829</c:v>
                </c:pt>
                <c:pt idx="971">
                  <c:v>16.962199999999829</c:v>
                </c:pt>
                <c:pt idx="972">
                  <c:v>16.962299999999829</c:v>
                </c:pt>
                <c:pt idx="973">
                  <c:v>16.962399999999828</c:v>
                </c:pt>
                <c:pt idx="974">
                  <c:v>16.962499999999828</c:v>
                </c:pt>
                <c:pt idx="975">
                  <c:v>16.962599999999828</c:v>
                </c:pt>
                <c:pt idx="976">
                  <c:v>16.962699999999828</c:v>
                </c:pt>
                <c:pt idx="977">
                  <c:v>16.962799999999827</c:v>
                </c:pt>
                <c:pt idx="978">
                  <c:v>16.962899999999827</c:v>
                </c:pt>
                <c:pt idx="979">
                  <c:v>16.962999999999827</c:v>
                </c:pt>
                <c:pt idx="980">
                  <c:v>16.963099999999827</c:v>
                </c:pt>
                <c:pt idx="981">
                  <c:v>16.963199999999826</c:v>
                </c:pt>
                <c:pt idx="982">
                  <c:v>16.963299999999826</c:v>
                </c:pt>
                <c:pt idx="983">
                  <c:v>16.963399999999826</c:v>
                </c:pt>
                <c:pt idx="984">
                  <c:v>16.963499999999826</c:v>
                </c:pt>
                <c:pt idx="985">
                  <c:v>16.963599999999825</c:v>
                </c:pt>
                <c:pt idx="986">
                  <c:v>16.963699999999825</c:v>
                </c:pt>
                <c:pt idx="987">
                  <c:v>16.963799999999825</c:v>
                </c:pt>
                <c:pt idx="988">
                  <c:v>16.963899999999825</c:v>
                </c:pt>
                <c:pt idx="989">
                  <c:v>16.963999999999825</c:v>
                </c:pt>
                <c:pt idx="990">
                  <c:v>16.964099999999824</c:v>
                </c:pt>
                <c:pt idx="991">
                  <c:v>16.964199999999824</c:v>
                </c:pt>
                <c:pt idx="992">
                  <c:v>16.964299999999824</c:v>
                </c:pt>
                <c:pt idx="993">
                  <c:v>16.964399999999824</c:v>
                </c:pt>
                <c:pt idx="994">
                  <c:v>16.964499999999823</c:v>
                </c:pt>
                <c:pt idx="995">
                  <c:v>16.964599999999823</c:v>
                </c:pt>
                <c:pt idx="996">
                  <c:v>16.964699999999823</c:v>
                </c:pt>
                <c:pt idx="997">
                  <c:v>16.964799999999823</c:v>
                </c:pt>
                <c:pt idx="998">
                  <c:v>16.964899999999822</c:v>
                </c:pt>
                <c:pt idx="999">
                  <c:v>16.964999999999822</c:v>
                </c:pt>
                <c:pt idx="1000">
                  <c:v>16.965099999999822</c:v>
                </c:pt>
              </c:numCache>
            </c:numRef>
          </c:xVal>
          <c:yVal>
            <c:numRef>
              <c:f>Calculs!$W$4:$W$1004</c:f>
              <c:numCache>
                <c:formatCode>0.00</c:formatCode>
                <c:ptCount val="1001"/>
                <c:pt idx="0">
                  <c:v>0</c:v>
                </c:pt>
                <c:pt idx="1">
                  <c:v>5.1265158903078925E-5</c:v>
                </c:pt>
                <c:pt idx="2">
                  <c:v>1.1535707280426787E-3</c:v>
                </c:pt>
                <c:pt idx="3">
                  <c:v>5.5927356485948555E-3</c:v>
                </c:pt>
                <c:pt idx="4">
                  <c:v>1.1443915814932735E-2</c:v>
                </c:pt>
                <c:pt idx="5">
                  <c:v>1.7036365228511031E-2</c:v>
                </c:pt>
                <c:pt idx="6">
                  <c:v>2.2081800991786072E-2</c:v>
                </c:pt>
                <c:pt idx="7">
                  <c:v>2.7618065717722996E-2</c:v>
                </c:pt>
                <c:pt idx="8">
                  <c:v>3.4035457623090182E-2</c:v>
                </c:pt>
                <c:pt idx="9">
                  <c:v>4.1412307584111803E-2</c:v>
                </c:pt>
                <c:pt idx="10">
                  <c:v>4.9830006190167205E-2</c:v>
                </c:pt>
                <c:pt idx="11">
                  <c:v>5.9151322796792541E-2</c:v>
                </c:pt>
                <c:pt idx="12">
                  <c:v>6.9406991303585561E-2</c:v>
                </c:pt>
                <c:pt idx="13">
                  <c:v>8.0628075230206847E-2</c:v>
                </c:pt>
                <c:pt idx="14">
                  <c:v>9.2845961615986225E-2</c:v>
                </c:pt>
                <c:pt idx="15">
                  <c:v>0.10609235470020457</c:v>
                </c:pt>
                <c:pt idx="16">
                  <c:v>0.12039926938156652</c:v>
                </c:pt>
                <c:pt idx="17">
                  <c:v>0.1357990244555215</c:v>
                </c:pt>
                <c:pt idx="18">
                  <c:v>0.15232423562823513</c:v>
                </c:pt>
                <c:pt idx="19">
                  <c:v>0.17000780830616302</c:v>
                </c:pt>
                <c:pt idx="20">
                  <c:v>0.18888293016033278</c:v>
                </c:pt>
                <c:pt idx="21">
                  <c:v>0.20898306346460016</c:v>
                </c:pt>
                <c:pt idx="22">
                  <c:v>0.23028954825377559</c:v>
                </c:pt>
                <c:pt idx="23">
                  <c:v>0.25270068840002885</c:v>
                </c:pt>
                <c:pt idx="24">
                  <c:v>0.27622533463661464</c:v>
                </c:pt>
                <c:pt idx="25">
                  <c:v>0.30087222666728719</c:v>
                </c:pt>
                <c:pt idx="26">
                  <c:v>0.3266499905660718</c:v>
                </c:pt>
                <c:pt idx="27">
                  <c:v>0.35356713619310071</c:v>
                </c:pt>
                <c:pt idx="28">
                  <c:v>0.3816320546277146</c:v>
                </c:pt>
                <c:pt idx="29">
                  <c:v>0.41085332170674943</c:v>
                </c:pt>
                <c:pt idx="30">
                  <c:v>0.44123944308781632</c:v>
                </c:pt>
                <c:pt idx="31">
                  <c:v>0.47279848901392552</c:v>
                </c:pt>
                <c:pt idx="32">
                  <c:v>0.50553839979434312</c:v>
                </c:pt>
                <c:pt idx="33">
                  <c:v>0.53946698338409083</c:v>
                </c:pt>
                <c:pt idx="34">
                  <c:v>0.57459191298553347</c:v>
                </c:pt>
                <c:pt idx="35">
                  <c:v>0.6108985201303675</c:v>
                </c:pt>
                <c:pt idx="36">
                  <c:v>0.64818622144968285</c:v>
                </c:pt>
                <c:pt idx="37">
                  <c:v>0.68644213181010438</c:v>
                </c:pt>
                <c:pt idx="38">
                  <c:v>0.72565326313319223</c:v>
                </c:pt>
                <c:pt idx="39">
                  <c:v>0.76580652806444427</c:v>
                </c:pt>
                <c:pt idx="40">
                  <c:v>0.80688874365258445</c:v>
                </c:pt>
                <c:pt idx="41">
                  <c:v>0.84888663503782102</c:v>
                </c:pt>
                <c:pt idx="42">
                  <c:v>0.89178683914770851</c:v>
                </c:pt>
                <c:pt idx="43">
                  <c:v>0.93557590839920135</c:v>
                </c:pt>
                <c:pt idx="44">
                  <c:v>0.98024031440546766</c:v>
                </c:pt>
                <c:pt idx="45">
                  <c:v>1.0257664516859943</c:v>
                </c:pt>
                <c:pt idx="46">
                  <c:v>1.072140641378492</c:v>
                </c:pt>
                <c:pt idx="47">
                  <c:v>1.1193491349511189</c:v>
                </c:pt>
                <c:pt idx="48">
                  <c:v>1.167378117913495</c:v>
                </c:pt>
                <c:pt idx="49">
                  <c:v>1.2162137135250031</c:v>
                </c:pt>
                <c:pt idx="50">
                  <c:v>1.2658419864988582</c:v>
                </c:pt>
                <c:pt idx="51">
                  <c:v>1.3162489467004275</c:v>
                </c:pt>
                <c:pt idx="52">
                  <c:v>1.3674205528382857</c:v>
                </c:pt>
                <c:pt idx="53">
                  <c:v>1.4193427161465009</c:v>
                </c:pt>
                <c:pt idx="54">
                  <c:v>1.4720013040566546</c:v>
                </c:pt>
                <c:pt idx="55">
                  <c:v>1.525382143858099</c:v>
                </c:pt>
                <c:pt idx="56">
                  <c:v>1.5794710263449865</c:v>
                </c:pt>
                <c:pt idx="57">
                  <c:v>1.6342537094486018</c:v>
                </c:pt>
                <c:pt idx="58">
                  <c:v>1.6897159218535585</c:v>
                </c:pt>
                <c:pt idx="59">
                  <c:v>1.7458433665964121</c:v>
                </c:pt>
                <c:pt idx="60">
                  <c:v>1.8026217246453171</c:v>
                </c:pt>
                <c:pt idx="61">
                  <c:v>1.8600366584592907</c:v>
                </c:pt>
                <c:pt idx="62">
                  <c:v>1.9180738155257553</c:v>
                </c:pt>
                <c:pt idx="63">
                  <c:v>1.97671883187499</c:v>
                </c:pt>
                <c:pt idx="64">
                  <c:v>2.0359573355701834</c:v>
                </c:pt>
                <c:pt idx="65">
                  <c:v>2.0957749501717711</c:v>
                </c:pt>
                <c:pt idx="66">
                  <c:v>2.1561572981748047</c:v>
                </c:pt>
                <c:pt idx="67">
                  <c:v>2.2170900044180968</c:v>
                </c:pt>
                <c:pt idx="68">
                  <c:v>2.2785586994639173</c:v>
                </c:pt>
                <c:pt idx="69">
                  <c:v>2.3405490229470658</c:v>
                </c:pt>
                <c:pt idx="70">
                  <c:v>2.4030466268921362</c:v>
                </c:pt>
                <c:pt idx="71">
                  <c:v>2.466037178997857</c:v>
                </c:pt>
                <c:pt idx="72">
                  <c:v>2.5295063658873915</c:v>
                </c:pt>
                <c:pt idx="73">
                  <c:v>2.5934398963235372</c:v>
                </c:pt>
                <c:pt idx="74">
                  <c:v>2.6578235043877627</c:v>
                </c:pt>
                <c:pt idx="75">
                  <c:v>2.7226429526220879</c:v>
                </c:pt>
                <c:pt idx="76">
                  <c:v>2.787884035132818</c:v>
                </c:pt>
                <c:pt idx="77">
                  <c:v>2.8535325806551879</c:v>
                </c:pt>
                <c:pt idx="78">
                  <c:v>2.9195744555779881</c:v>
                </c:pt>
                <c:pt idx="79">
                  <c:v>2.9859955669273237</c:v>
                </c:pt>
                <c:pt idx="80">
                  <c:v>3.0527818653086003</c:v>
                </c:pt>
                <c:pt idx="81">
                  <c:v>3.119919347805983</c:v>
                </c:pt>
                <c:pt idx="82">
                  <c:v>3.1873940608384883</c:v>
                </c:pt>
                <c:pt idx="83">
                  <c:v>3.2551921029720035</c:v>
                </c:pt>
                <c:pt idx="84">
                  <c:v>3.3232996276864859</c:v>
                </c:pt>
                <c:pt idx="85">
                  <c:v>3.391702846097675</c:v>
                </c:pt>
                <c:pt idx="86">
                  <c:v>3.4603880296326586</c:v>
                </c:pt>
                <c:pt idx="87">
                  <c:v>3.5293415126586876</c:v>
                </c:pt>
                <c:pt idx="88">
                  <c:v>3.5985496950646536</c:v>
                </c:pt>
                <c:pt idx="89">
                  <c:v>3.667999044794668</c:v>
                </c:pt>
                <c:pt idx="90">
                  <c:v>3.7376761003332519</c:v>
                </c:pt>
                <c:pt idx="91">
                  <c:v>3.8075674731416256</c:v>
                </c:pt>
                <c:pt idx="92">
                  <c:v>3.8776598500446955</c:v>
                </c:pt>
                <c:pt idx="93">
                  <c:v>3.9479399955682482</c:v>
                </c:pt>
                <c:pt idx="94">
                  <c:v>4.0183947542260618</c:v>
                </c:pt>
                <c:pt idx="95">
                  <c:v>4.0890110527565025</c:v>
                </c:pt>
                <c:pt idx="96">
                  <c:v>4.1597759023083443</c:v>
                </c:pt>
                <c:pt idx="97">
                  <c:v>4.2306764005755051</c:v>
                </c:pt>
                <c:pt idx="98">
                  <c:v>4.3016997338804277</c:v>
                </c:pt>
                <c:pt idx="99">
                  <c:v>4.3728331792059407</c:v>
                </c:pt>
                <c:pt idx="100">
                  <c:v>4.4440641061753396</c:v>
                </c:pt>
                <c:pt idx="101">
                  <c:v>4.5153799789805715</c:v>
                </c:pt>
                <c:pt idx="102">
                  <c:v>4.5867683582584071</c:v>
                </c:pt>
                <c:pt idx="103">
                  <c:v>4.6582169029144271</c:v>
                </c:pt>
                <c:pt idx="104">
                  <c:v>4.7297133718948636</c:v>
                </c:pt>
                <c:pt idx="105">
                  <c:v>4.8012456259061569</c:v>
                </c:pt>
                <c:pt idx="106">
                  <c:v>4.8728016290822724</c:v>
                </c:pt>
                <c:pt idx="107">
                  <c:v>4.9443694505997788</c:v>
                </c:pt>
                <c:pt idx="108">
                  <c:v>5.0159372662407353</c:v>
                </c:pt>
                <c:pt idx="109">
                  <c:v>5.0874933599034451</c:v>
                </c:pt>
                <c:pt idx="110">
                  <c:v>5.1590261250611995</c:v>
                </c:pt>
                <c:pt idx="111">
                  <c:v>5.2305240661691323</c:v>
                </c:pt>
                <c:pt idx="112">
                  <c:v>5.3019758000193047</c:v>
                </c:pt>
                <c:pt idx="113">
                  <c:v>5.3733700570442311</c:v>
                </c:pt>
                <c:pt idx="114">
                  <c:v>5.4446956825690531</c:v>
                </c:pt>
                <c:pt idx="115">
                  <c:v>5.5159416380125386</c:v>
                </c:pt>
                <c:pt idx="116">
                  <c:v>5.5870970020372113</c:v>
                </c:pt>
                <c:pt idx="117">
                  <c:v>5.6581509716488529</c:v>
                </c:pt>
                <c:pt idx="118">
                  <c:v>5.7290928632456497</c:v>
                </c:pt>
                <c:pt idx="119">
                  <c:v>5.7999121136173608</c:v>
                </c:pt>
                <c:pt idx="120">
                  <c:v>5.8705982808947832</c:v>
                </c:pt>
                <c:pt idx="121">
                  <c:v>5.9411410454499087</c:v>
                </c:pt>
                <c:pt idx="122">
                  <c:v>6.0115302107471233</c:v>
                </c:pt>
                <c:pt idx="123">
                  <c:v>6.0817557041458707</c:v>
                </c:pt>
                <c:pt idx="124">
                  <c:v>6.1518075776551884</c:v>
                </c:pt>
                <c:pt idx="125">
                  <c:v>6.2216760086405207</c:v>
                </c:pt>
                <c:pt idx="126">
                  <c:v>6.2913513004833082</c:v>
                </c:pt>
                <c:pt idx="127">
                  <c:v>6.3608238831937749</c:v>
                </c:pt>
                <c:pt idx="128">
                  <c:v>6.4300843139774377</c:v>
                </c:pt>
                <c:pt idx="129">
                  <c:v>6.4991232777557855</c:v>
                </c:pt>
                <c:pt idx="130">
                  <c:v>6.567931587641727</c:v>
                </c:pt>
                <c:pt idx="131">
                  <c:v>6.6365001853702035</c:v>
                </c:pt>
                <c:pt idx="132">
                  <c:v>6.7048201416846664</c:v>
                </c:pt>
                <c:pt idx="133">
                  <c:v>6.7728826566798412</c:v>
                </c:pt>
                <c:pt idx="134">
                  <c:v>6.8406790601014063</c:v>
                </c:pt>
                <c:pt idx="135">
                  <c:v>6.9082008116031997</c:v>
                </c:pt>
                <c:pt idx="136">
                  <c:v>6.9754395009624259</c:v>
                </c:pt>
                <c:pt idx="137">
                  <c:v>7.0423868482536367</c:v>
                </c:pt>
                <c:pt idx="138">
                  <c:v>7.1090347039819131</c:v>
                </c:pt>
                <c:pt idx="139">
                  <c:v>7.1753750491760124</c:v>
                </c:pt>
                <c:pt idx="140">
                  <c:v>7.2413999954420492</c:v>
                </c:pt>
                <c:pt idx="141">
                  <c:v>7.307101784978312</c:v>
                </c:pt>
                <c:pt idx="142">
                  <c:v>7.3724727905519751</c:v>
                </c:pt>
                <c:pt idx="143">
                  <c:v>7.4375055154382261</c:v>
                </c:pt>
                <c:pt idx="144">
                  <c:v>7.5021925933225599</c:v>
                </c:pt>
                <c:pt idx="145">
                  <c:v>7.5665267881668514</c:v>
                </c:pt>
                <c:pt idx="146">
                  <c:v>7.6305009940399229</c:v>
                </c:pt>
                <c:pt idx="147">
                  <c:v>7.6941082349132479</c:v>
                </c:pt>
                <c:pt idx="148">
                  <c:v>7.7573416644224853</c:v>
                </c:pt>
                <c:pt idx="149">
                  <c:v>7.8201945655955276</c:v>
                </c:pt>
                <c:pt idx="150">
                  <c:v>7.8826603505477273</c:v>
                </c:pt>
                <c:pt idx="151">
                  <c:v>7.9447325601450443</c:v>
                </c:pt>
                <c:pt idx="152">
                  <c:v>8.0064048636357548</c:v>
                </c:pt>
                <c:pt idx="153">
                  <c:v>8.067671058251463</c:v>
                </c:pt>
                <c:pt idx="154">
                  <c:v>8.1285250687780408</c:v>
                </c:pt>
                <c:pt idx="155">
                  <c:v>8.1889609470972751</c:v>
                </c:pt>
                <c:pt idx="156">
                  <c:v>8.2489728716998805</c:v>
                </c:pt>
                <c:pt idx="157">
                  <c:v>8.3085551471705674</c:v>
                </c:pt>
                <c:pt idx="158">
                  <c:v>8.3684492348202166</c:v>
                </c:pt>
                <c:pt idx="159">
                  <c:v>8.4288424075639092</c:v>
                </c:pt>
                <c:pt idx="160">
                  <c:v>8.4897357679652128</c:v>
                </c:pt>
                <c:pt idx="161">
                  <c:v>8.5511303991670218</c:v>
                </c:pt>
                <c:pt idx="162">
                  <c:v>8.6130273645313036</c:v>
                </c:pt>
                <c:pt idx="163">
                  <c:v>8.6754277072828963</c:v>
                </c:pt>
                <c:pt idx="164">
                  <c:v>8.7372103256394098</c:v>
                </c:pt>
                <c:pt idx="165">
                  <c:v>8.796678987318387</c:v>
                </c:pt>
                <c:pt idx="166">
                  <c:v>8.8538165632269656</c:v>
                </c:pt>
                <c:pt idx="167">
                  <c:v>8.9074519457060699</c:v>
                </c:pt>
                <c:pt idx="168">
                  <c:v>8.952930529247924</c:v>
                </c:pt>
                <c:pt idx="169">
                  <c:v>8.990221048156231</c:v>
                </c:pt>
                <c:pt idx="170">
                  <c:v>9.0193047980850736</c:v>
                </c:pt>
                <c:pt idx="171">
                  <c:v>9.0401754289699987</c:v>
                </c:pt>
                <c:pt idx="172">
                  <c:v>9.0528387337895335</c:v>
                </c:pt>
                <c:pt idx="173">
                  <c:v>9.0573124338515196</c:v>
                </c:pt>
                <c:pt idx="174">
                  <c:v>9.0536259612799395</c:v>
                </c:pt>
                <c:pt idx="175">
                  <c:v>9.0418202393580689</c:v>
                </c:pt>
                <c:pt idx="176">
                  <c:v>9.0219474613635011</c:v>
                </c:pt>
                <c:pt idx="177">
                  <c:v>8.9940708685098212</c:v>
                </c:pt>
                <c:pt idx="178">
                  <c:v>8.9582645275884971</c:v>
                </c:pt>
                <c:pt idx="179">
                  <c:v>8.9146131088829215</c:v>
                </c:pt>
                <c:pt idx="180">
                  <c:v>8.8674152476832084</c:v>
                </c:pt>
                <c:pt idx="181">
                  <c:v>8.8167168402363814</c:v>
                </c:pt>
                <c:pt idx="182">
                  <c:v>8.7625657434651405</c:v>
                </c:pt>
                <c:pt idx="183">
                  <c:v>8.7050117318566702</c:v>
                </c:pt>
                <c:pt idx="184">
                  <c:v>8.6467715176390101</c:v>
                </c:pt>
                <c:pt idx="185">
                  <c:v>8.5889956237365332</c:v>
                </c:pt>
                <c:pt idx="186">
                  <c:v>8.5316792094488321</c:v>
                </c:pt>
                <c:pt idx="187">
                  <c:v>8.4748174975195472</c:v>
                </c:pt>
                <c:pt idx="188">
                  <c:v>8.418405773140778</c:v>
                </c:pt>
                <c:pt idx="189">
                  <c:v>8.3624393829756727</c:v>
                </c:pt>
                <c:pt idx="190">
                  <c:v>8.3069137341988739</c:v>
                </c:pt>
                <c:pt idx="191">
                  <c:v>8.2518242935544315</c:v>
                </c:pt>
                <c:pt idx="192">
                  <c:v>8.1971665864307557</c:v>
                </c:pt>
                <c:pt idx="193">
                  <c:v>8.1429361959523661</c:v>
                </c:pt>
                <c:pt idx="194">
                  <c:v>8.0891287620880163</c:v>
                </c:pt>
                <c:pt idx="195">
                  <c:v>8.0357399807748493</c:v>
                </c:pt>
                <c:pt idx="196">
                  <c:v>7.9827656030583398</c:v>
                </c:pt>
                <c:pt idx="197">
                  <c:v>7.93020143424756</c:v>
                </c:pt>
                <c:pt idx="198">
                  <c:v>7.878043333085623</c:v>
                </c:pt>
                <c:pt idx="199">
                  <c:v>7.8262872109348329</c:v>
                </c:pt>
                <c:pt idx="200">
                  <c:v>7.7749290309763737</c:v>
                </c:pt>
                <c:pt idx="201">
                  <c:v>7.2731512631181232</c:v>
                </c:pt>
                <c:pt idx="202">
                  <c:v>6.8087055965775365</c:v>
                </c:pt>
                <c:pt idx="203">
                  <c:v>6.3780414456715029</c:v>
                </c:pt>
                <c:pt idx="204">
                  <c:v>5.9780264343219001</c:v>
                </c:pt>
                <c:pt idx="205">
                  <c:v>5.6058884971202847</c:v>
                </c:pt>
                <c:pt idx="206">
                  <c:v>5.2591671593334004</c:v>
                </c:pt>
                <c:pt idx="207">
                  <c:v>4.9356723651021985</c:v>
                </c:pt>
                <c:pt idx="208">
                  <c:v>4.633449542742941</c:v>
                </c:pt>
                <c:pt idx="209">
                  <c:v>4.3507498474358153</c:v>
                </c:pt>
                <c:pt idx="210">
                  <c:v>4.0860047204201893</c:v>
                </c:pt>
                <c:pt idx="211">
                  <c:v>3.8378040619616192</c:v>
                </c:pt>
                <c:pt idx="212">
                  <c:v>3.6048774418042724</c:v>
                </c:pt>
                <c:pt idx="213">
                  <c:v>3.3860778724372462</c:v>
                </c:pt>
                <c:pt idx="214">
                  <c:v>3.1803677525546949</c:v>
                </c:pt>
                <c:pt idx="215">
                  <c:v>2.986806654649766</c:v>
                </c:pt>
                <c:pt idx="216">
                  <c:v>2.804540684913746</c:v>
                </c:pt>
                <c:pt idx="217">
                  <c:v>2.6327931879851993</c:v>
                </c:pt>
                <c:pt idx="218">
                  <c:v>2.4708566055482057</c:v>
                </c:pt>
                <c:pt idx="219">
                  <c:v>2.3180853278438542</c:v>
                </c:pt>
                <c:pt idx="220">
                  <c:v>2.1738894020475952</c:v>
                </c:pt>
                <c:pt idx="221">
                  <c:v>2.0377289821419171</c:v>
                </c:pt>
                <c:pt idx="222">
                  <c:v>1.9091094221514502</c:v>
                </c:pt>
                <c:pt idx="223">
                  <c:v>1.7875769290255197</c:v>
                </c:pt>
                <c:pt idx="224">
                  <c:v>1.6727147035513652</c:v>
                </c:pt>
                <c:pt idx="225">
                  <c:v>1.564139507864079</c:v>
                </c:pt>
                <c:pt idx="226">
                  <c:v>1.4614986067153863</c:v>
                </c:pt>
                <c:pt idx="227">
                  <c:v>1.3644670369405443</c:v>
                </c:pt>
                <c:pt idx="228">
                  <c:v>1.2727451657399866</c:v>
                </c:pt>
                <c:pt idx="229">
                  <c:v>1.1860565036496056</c:v>
                </c:pt>
                <c:pt idx="230">
                  <c:v>1.1041457425588492</c:v>
                </c:pt>
                <c:pt idx="231">
                  <c:v>1.0267769929710782</c:v>
                </c:pt>
                <c:pt idx="232">
                  <c:v>0.95373219798701026</c:v>
                </c:pt>
                <c:pt idx="233">
                  <c:v>0.88480970431331651</c:v>
                </c:pt>
                <c:pt idx="234">
                  <c:v>0.81982297302395224</c:v>
                </c:pt>
                <c:pt idx="235">
                  <c:v>0.75859941488939675</c:v>
                </c:pt>
                <c:pt idx="236">
                  <c:v>0.70097933688648184</c:v>
                </c:pt>
                <c:pt idx="237">
                  <c:v>0.64681498804845883</c:v>
                </c:pt>
                <c:pt idx="238">
                  <c:v>0.59596969414398993</c:v>
                </c:pt>
                <c:pt idx="239">
                  <c:v>0.5483170718111835</c:v>
                </c:pt>
                <c:pt idx="240">
                  <c:v>0.50374031373976702</c:v>
                </c:pt>
                <c:pt idx="241">
                  <c:v>0.46213153730712719</c:v>
                </c:pt>
                <c:pt idx="242">
                  <c:v>0.42339118974408507</c:v>
                </c:pt>
                <c:pt idx="243">
                  <c:v>0.38742750344153365</c:v>
                </c:pt>
                <c:pt idx="244">
                  <c:v>0.35415599541327147</c:v>
                </c:pt>
                <c:pt idx="245">
                  <c:v>0.32349900520403996</c:v>
                </c:pt>
                <c:pt idx="246">
                  <c:v>0.29538526567295798</c:v>
                </c:pt>
                <c:pt idx="247">
                  <c:v>0.26974950108850682</c:v>
                </c:pt>
                <c:pt idx="248">
                  <c:v>0.24653204684165012</c:v>
                </c:pt>
                <c:pt idx="249">
                  <c:v>0.22567848482604355</c:v>
                </c:pt>
                <c:pt idx="250">
                  <c:v>0.20713928817268185</c:v>
                </c:pt>
                <c:pt idx="251">
                  <c:v>0.1908694686143122</c:v>
                </c:pt>
                <c:pt idx="252">
                  <c:v>0.17682821939222104</c:v>
                </c:pt>
                <c:pt idx="253">
                  <c:v>0.1649785464674646</c:v>
                </c:pt>
                <c:pt idx="254">
                  <c:v>0.1552868810951146</c:v>
                </c:pt>
                <c:pt idx="255">
                  <c:v>0.14772266785472066</c:v>
                </c:pt>
                <c:pt idx="256">
                  <c:v>0.14225792428963061</c:v>
                </c:pt>
                <c:pt idx="257">
                  <c:v>0.13886677155519989</c:v>
                </c:pt>
                <c:pt idx="258">
                  <c:v>0.13752493979170888</c:v>
                </c:pt>
                <c:pt idx="259">
                  <c:v>0.13820925679143023</c:v>
                </c:pt>
                <c:pt idx="260">
                  <c:v>0.14089713299442763</c:v>
                </c:pt>
                <c:pt idx="261">
                  <c:v>0.14556605884139601</c:v>
                </c:pt>
                <c:pt idx="262">
                  <c:v>0.15219313120522696</c:v>
                </c:pt>
                <c:pt idx="263">
                  <c:v>0.16075462381399103</c:v>
                </c:pt>
                <c:pt idx="264">
                  <c:v>0.17122561279135731</c:v>
                </c:pt>
                <c:pt idx="265">
                  <c:v>0.18357966368509887</c:v>
                </c:pt>
                <c:pt idx="266">
                  <c:v>0.19778858169911995</c:v>
                </c:pt>
                <c:pt idx="267">
                  <c:v>0.21382222306166362</c:v>
                </c:pt>
                <c:pt idx="268">
                  <c:v>0.23164836288943294</c:v>
                </c:pt>
                <c:pt idx="269">
                  <c:v>0.25123261351138659</c:v>
                </c:pt>
                <c:pt idx="270">
                  <c:v>0.27253838675213682</c:v>
                </c:pt>
                <c:pt idx="271">
                  <c:v>0.29552689383687336</c:v>
                </c:pt>
                <c:pt idx="272">
                  <c:v>0.32015717709434066</c:v>
                </c:pt>
                <c:pt idx="273">
                  <c:v>0.34638616829988184</c:v>
                </c:pt>
                <c:pt idx="274">
                  <c:v>0.37416876918810588</c:v>
                </c:pt>
                <c:pt idx="275">
                  <c:v>0.40345795030348514</c:v>
                </c:pt>
                <c:pt idx="276">
                  <c:v>0.43420486491581128</c:v>
                </c:pt>
                <c:pt idx="277">
                  <c:v>0.46635897519850289</c:v>
                </c:pt>
                <c:pt idx="278">
                  <c:v>0.49986818825657603</c:v>
                </c:pt>
                <c:pt idx="279">
                  <c:v>0.53467899990860646</c:v>
                </c:pt>
                <c:pt idx="280">
                  <c:v>0.57073664438571337</c:v>
                </c:pt>
                <c:pt idx="281">
                  <c:v>0.607985248322365</c:v>
                </c:pt>
                <c:pt idx="282">
                  <c:v>0.64636798758904446</c:v>
                </c:pt>
                <c:pt idx="283">
                  <c:v>0.68582724566410147</c:v>
                </c:pt>
                <c:pt idx="284">
                  <c:v>0.72630477236831648</c:v>
                </c:pt>
                <c:pt idx="285">
                  <c:v>0.76774184189618044</c:v>
                </c:pt>
                <c:pt idx="286">
                  <c:v>0.81007940917666943</c:v>
                </c:pt>
                <c:pt idx="287">
                  <c:v>0.85325826368647972</c:v>
                </c:pt>
                <c:pt idx="288">
                  <c:v>0.89721917992239664</c:v>
                </c:pt>
                <c:pt idx="289">
                  <c:v>0.94190306381841249</c:v>
                </c:pt>
                <c:pt idx="290">
                  <c:v>0.98725109446834458</c:v>
                </c:pt>
                <c:pt idx="291">
                  <c:v>1.0332048605868549</c:v>
                </c:pt>
                <c:pt idx="292">
                  <c:v>1.079706491211319</c:v>
                </c:pt>
                <c:pt idx="293">
                  <c:v>1.1266987802141948</c:v>
                </c:pt>
                <c:pt idx="294">
                  <c:v>1.1741253042604751</c:v>
                </c:pt>
                <c:pt idx="295">
                  <c:v>1.221930533907456</c:v>
                </c:pt>
                <c:pt idx="296">
                  <c:v>1.2700599376043495</c:v>
                </c:pt>
                <c:pt idx="297">
                  <c:v>1.3184600784070122</c:v>
                </c:pt>
                <c:pt idx="298">
                  <c:v>1.3670787032782361</c:v>
                </c:pt>
                <c:pt idx="299">
                  <c:v>1.4158648248963259</c:v>
                </c:pt>
                <c:pt idx="300">
                  <c:v>1.4647687959440583</c:v>
                </c:pt>
                <c:pt idx="301">
                  <c:v>1.5137423758963784</c:v>
                </c:pt>
                <c:pt idx="302">
                  <c:v>1.5627387903682053</c:v>
                </c:pt>
                <c:pt idx="303">
                  <c:v>1.6117127831234841</c:v>
                </c:pt>
                <c:pt idx="304">
                  <c:v>1.6606206608829484</c:v>
                </c:pt>
                <c:pt idx="305">
                  <c:v>1.7094203311010192</c:v>
                </c:pt>
                <c:pt idx="306">
                  <c:v>1.7580713329118065</c:v>
                </c:pt>
                <c:pt idx="307">
                  <c:v>1.8065348614703178</c:v>
                </c:pt>
                <c:pt idx="308">
                  <c:v>1.8547737859377524</c:v>
                </c:pt>
                <c:pt idx="309">
                  <c:v>1.9027526613793171</c:v>
                </c:pt>
                <c:pt idx="310">
                  <c:v>1.9504377348593216</c:v>
                </c:pt>
                <c:pt idx="311">
                  <c:v>1.9977969460315841</c:v>
                </c:pt>
                <c:pt idx="312">
                  <c:v>2.0447999225335778</c:v>
                </c:pt>
                <c:pt idx="313">
                  <c:v>2.0914179705002716</c:v>
                </c:pt>
                <c:pt idx="314">
                  <c:v>2.1376240605186454</c:v>
                </c:pt>
                <c:pt idx="315">
                  <c:v>2.1833928093463322</c:v>
                </c:pt>
                <c:pt idx="316">
                  <c:v>2.2287004577181313</c:v>
                </c:pt>
                <c:pt idx="317">
                  <c:v>2.2735248445622891</c:v>
                </c:pt>
                <c:pt idx="318">
                  <c:v>2.3178453779447556</c:v>
                </c:pt>
                <c:pt idx="319">
                  <c:v>2.3616430030541391</c:v>
                </c:pt>
                <c:pt idx="320">
                  <c:v>2.4049001675332193</c:v>
                </c:pt>
                <c:pt idx="321">
                  <c:v>2.4476007844544649</c:v>
                </c:pt>
                <c:pt idx="322">
                  <c:v>2.489730193227663</c:v>
                </c:pt>
                <c:pt idx="323">
                  <c:v>2.5312751187171796</c:v>
                </c:pt>
                <c:pt idx="324">
                  <c:v>2.5722236288351876</c:v>
                </c:pt>
                <c:pt idx="325">
                  <c:v>2.6125650908651221</c:v>
                </c:pt>
                <c:pt idx="326">
                  <c:v>2.6522901267572041</c:v>
                </c:pt>
                <c:pt idx="327">
                  <c:v>2.6913905676248748</c:v>
                </c:pt>
                <c:pt idx="328">
                  <c:v>2.7298594076578691</c:v>
                </c:pt>
                <c:pt idx="329">
                  <c:v>2.7676907576542917</c:v>
                </c:pt>
                <c:pt idx="330">
                  <c:v>2.8048797983606764</c:v>
                </c:pt>
                <c:pt idx="331">
                  <c:v>2.8414227337956737</c:v>
                </c:pt>
                <c:pt idx="332">
                  <c:v>2.8773167447198191</c:v>
                </c:pt>
                <c:pt idx="333">
                  <c:v>2.9125599424008324</c:v>
                </c:pt>
                <c:pt idx="334">
                  <c:v>2.9471513228111856</c:v>
                </c:pt>
                <c:pt idx="335">
                  <c:v>2.9810907213823148</c:v>
                </c:pt>
                <c:pt idx="336">
                  <c:v>3.0143787684278363</c:v>
                </c:pt>
                <c:pt idx="337">
                  <c:v>3.0470168453366058</c:v>
                </c:pt>
                <c:pt idx="338">
                  <c:v>3.0790070416253186</c:v>
                </c:pt>
                <c:pt idx="339">
                  <c:v>3.110352112929776</c:v>
                </c:pt>
                <c:pt idx="340">
                  <c:v>3.1410554400038251</c:v>
                </c:pt>
                <c:pt idx="341">
                  <c:v>3.1711209887854128</c:v>
                </c:pt>
                <c:pt idx="342">
                  <c:v>3.2005532715801599</c:v>
                </c:pt>
                <c:pt idx="343">
                  <c:v>3.2293573094043793</c:v>
                </c:pt>
                <c:pt idx="344">
                  <c:v>3.2575385955214409</c:v>
                </c:pt>
                <c:pt idx="345">
                  <c:v>3.2851030601980504</c:v>
                </c:pt>
                <c:pt idx="346">
                  <c:v>3.3120570367000588</c:v>
                </c:pt>
                <c:pt idx="347">
                  <c:v>3.3384072285410036</c:v>
                </c:pt>
                <c:pt idx="348">
                  <c:v>3.3641606779908209</c:v>
                </c:pt>
                <c:pt idx="349">
                  <c:v>3.3893247358466518</c:v>
                </c:pt>
                <c:pt idx="350">
                  <c:v>3.3893492555861693</c:v>
                </c:pt>
                <c:pt idx="351">
                  <c:v>3.3893737747590742</c:v>
                </c:pt>
                <c:pt idx="352">
                  <c:v>3.3893982933653799</c:v>
                </c:pt>
                <c:pt idx="353">
                  <c:v>3.3894228114050891</c:v>
                </c:pt>
                <c:pt idx="354">
                  <c:v>3.3894473288782119</c:v>
                </c:pt>
                <c:pt idx="355">
                  <c:v>3.3894718457847532</c:v>
                </c:pt>
                <c:pt idx="356">
                  <c:v>3.3894963621247247</c:v>
                </c:pt>
                <c:pt idx="357">
                  <c:v>3.3895208778981307</c:v>
                </c:pt>
                <c:pt idx="358">
                  <c:v>3.3895453931049802</c:v>
                </c:pt>
                <c:pt idx="359">
                  <c:v>3.3895699077452792</c:v>
                </c:pt>
                <c:pt idx="360">
                  <c:v>3.3895944218190364</c:v>
                </c:pt>
                <c:pt idx="361">
                  <c:v>3.3896189353262609</c:v>
                </c:pt>
                <c:pt idx="362">
                  <c:v>3.3896434482669577</c:v>
                </c:pt>
                <c:pt idx="363">
                  <c:v>3.389667960641134</c:v>
                </c:pt>
                <c:pt idx="364">
                  <c:v>3.3896924724487998</c:v>
                </c:pt>
                <c:pt idx="365">
                  <c:v>3.3897169836899619</c:v>
                </c:pt>
                <c:pt idx="366">
                  <c:v>3.3897414943646269</c:v>
                </c:pt>
                <c:pt idx="367">
                  <c:v>3.3897660044728024</c:v>
                </c:pt>
                <c:pt idx="368">
                  <c:v>3.3897905140144977</c:v>
                </c:pt>
                <c:pt idx="369">
                  <c:v>3.3898150229897177</c:v>
                </c:pt>
                <c:pt idx="370">
                  <c:v>3.389839531398473</c:v>
                </c:pt>
                <c:pt idx="371">
                  <c:v>3.3898640392407682</c:v>
                </c:pt>
                <c:pt idx="372">
                  <c:v>3.3898885465166133</c:v>
                </c:pt>
                <c:pt idx="373">
                  <c:v>3.389913053226012</c:v>
                </c:pt>
                <c:pt idx="374">
                  <c:v>3.3899375593689771</c:v>
                </c:pt>
                <c:pt idx="375">
                  <c:v>3.3899620649455127</c:v>
                </c:pt>
                <c:pt idx="376">
                  <c:v>3.3899865699556284</c:v>
                </c:pt>
                <c:pt idx="377">
                  <c:v>3.3900110743993301</c:v>
                </c:pt>
                <c:pt idx="378">
                  <c:v>3.3900355782766245</c:v>
                </c:pt>
                <c:pt idx="379">
                  <c:v>3.3900600815875217</c:v>
                </c:pt>
                <c:pt idx="380">
                  <c:v>3.3900845843320284</c:v>
                </c:pt>
                <c:pt idx="381">
                  <c:v>3.3901090865101509</c:v>
                </c:pt>
                <c:pt idx="382">
                  <c:v>3.3901335881218997</c:v>
                </c:pt>
                <c:pt idx="383">
                  <c:v>3.390158089167278</c:v>
                </c:pt>
                <c:pt idx="384">
                  <c:v>3.3901825896462965</c:v>
                </c:pt>
                <c:pt idx="385">
                  <c:v>3.3902070895589618</c:v>
                </c:pt>
                <c:pt idx="386">
                  <c:v>3.3902315889052823</c:v>
                </c:pt>
                <c:pt idx="387">
                  <c:v>3.3902560876852652</c:v>
                </c:pt>
                <c:pt idx="388">
                  <c:v>3.3902805858989176</c:v>
                </c:pt>
                <c:pt idx="389">
                  <c:v>3.3903050835462456</c:v>
                </c:pt>
                <c:pt idx="390">
                  <c:v>3.39032958062726</c:v>
                </c:pt>
                <c:pt idx="391">
                  <c:v>3.3903540771419669</c:v>
                </c:pt>
                <c:pt idx="392">
                  <c:v>3.390378573090373</c:v>
                </c:pt>
                <c:pt idx="393">
                  <c:v>3.3904030684724877</c:v>
                </c:pt>
                <c:pt idx="394">
                  <c:v>3.3904275632883158</c:v>
                </c:pt>
                <c:pt idx="395">
                  <c:v>3.3904520575378676</c:v>
                </c:pt>
                <c:pt idx="396">
                  <c:v>3.3904765512211501</c:v>
                </c:pt>
                <c:pt idx="397">
                  <c:v>3.3905010443381691</c:v>
                </c:pt>
                <c:pt idx="398">
                  <c:v>3.3905255368889344</c:v>
                </c:pt>
                <c:pt idx="399">
                  <c:v>3.3905500288734505</c:v>
                </c:pt>
                <c:pt idx="400">
                  <c:v>3.3905745202917279</c:v>
                </c:pt>
                <c:pt idx="401">
                  <c:v>3.3905990111437747</c:v>
                </c:pt>
                <c:pt idx="402">
                  <c:v>3.3906235014295953</c:v>
                </c:pt>
                <c:pt idx="403">
                  <c:v>3.3906479911492009</c:v>
                </c:pt>
                <c:pt idx="404">
                  <c:v>3.3906724803025945</c:v>
                </c:pt>
                <c:pt idx="405">
                  <c:v>3.3906969688897899</c:v>
                </c:pt>
                <c:pt idx="406">
                  <c:v>3.3907214569107893</c:v>
                </c:pt>
                <c:pt idx="407">
                  <c:v>3.3907459443656016</c:v>
                </c:pt>
                <c:pt idx="408">
                  <c:v>3.3907704312542339</c:v>
                </c:pt>
                <c:pt idx="409">
                  <c:v>3.3907949175766974</c:v>
                </c:pt>
                <c:pt idx="410">
                  <c:v>3.3908194033329941</c:v>
                </c:pt>
                <c:pt idx="411">
                  <c:v>3.3908438885231371</c:v>
                </c:pt>
                <c:pt idx="412">
                  <c:v>3.3908683731471285</c:v>
                </c:pt>
                <c:pt idx="413">
                  <c:v>3.3908928572049808</c:v>
                </c:pt>
                <c:pt idx="414">
                  <c:v>3.3909173406967001</c:v>
                </c:pt>
                <c:pt idx="415">
                  <c:v>3.3909418236222919</c:v>
                </c:pt>
                <c:pt idx="416">
                  <c:v>3.3909663059817632</c:v>
                </c:pt>
                <c:pt idx="417">
                  <c:v>3.3909907877751255</c:v>
                </c:pt>
                <c:pt idx="418">
                  <c:v>3.3910152690023856</c:v>
                </c:pt>
                <c:pt idx="419">
                  <c:v>3.3910397496635487</c:v>
                </c:pt>
                <c:pt idx="420">
                  <c:v>3.3910642297586233</c:v>
                </c:pt>
                <c:pt idx="421">
                  <c:v>3.3910887092876174</c:v>
                </c:pt>
                <c:pt idx="422">
                  <c:v>3.3911131882505376</c:v>
                </c:pt>
                <c:pt idx="423">
                  <c:v>3.3911376666473916</c:v>
                </c:pt>
                <c:pt idx="424">
                  <c:v>3.3911621444781885</c:v>
                </c:pt>
                <c:pt idx="425">
                  <c:v>3.3911866217429374</c:v>
                </c:pt>
                <c:pt idx="426">
                  <c:v>3.3912110984416386</c:v>
                </c:pt>
                <c:pt idx="427">
                  <c:v>3.3912355745743086</c:v>
                </c:pt>
                <c:pt idx="428">
                  <c:v>3.3912600501409478</c:v>
                </c:pt>
                <c:pt idx="429">
                  <c:v>3.3912845251415695</c:v>
                </c:pt>
                <c:pt idx="430">
                  <c:v>3.3913089995761783</c:v>
                </c:pt>
                <c:pt idx="431">
                  <c:v>3.3913334734447789</c:v>
                </c:pt>
                <c:pt idx="432">
                  <c:v>3.3913579467473847</c:v>
                </c:pt>
                <c:pt idx="433">
                  <c:v>3.3913824194840005</c:v>
                </c:pt>
                <c:pt idx="434">
                  <c:v>3.3914068916546332</c:v>
                </c:pt>
                <c:pt idx="435">
                  <c:v>3.391431363259291</c:v>
                </c:pt>
                <c:pt idx="436">
                  <c:v>3.3914558342979819</c:v>
                </c:pt>
                <c:pt idx="437">
                  <c:v>3.391480304770714</c:v>
                </c:pt>
                <c:pt idx="438">
                  <c:v>3.3915047746774927</c:v>
                </c:pt>
                <c:pt idx="439">
                  <c:v>3.3915292440183276</c:v>
                </c:pt>
                <c:pt idx="440">
                  <c:v>3.3915537127932263</c:v>
                </c:pt>
                <c:pt idx="441">
                  <c:v>3.3915781810021954</c:v>
                </c:pt>
                <c:pt idx="442">
                  <c:v>3.39160264864524</c:v>
                </c:pt>
                <c:pt idx="443">
                  <c:v>3.3916271157223732</c:v>
                </c:pt>
                <c:pt idx="444">
                  <c:v>3.3916515822335991</c:v>
                </c:pt>
                <c:pt idx="445">
                  <c:v>3.3916760481789261</c:v>
                </c:pt>
                <c:pt idx="446">
                  <c:v>3.3917005135583627</c:v>
                </c:pt>
                <c:pt idx="447">
                  <c:v>3.3917249783719146</c:v>
                </c:pt>
                <c:pt idx="448">
                  <c:v>3.3917494426195898</c:v>
                </c:pt>
                <c:pt idx="449">
                  <c:v>3.391773906301395</c:v>
                </c:pt>
                <c:pt idx="450">
                  <c:v>3.3917983694173404</c:v>
                </c:pt>
                <c:pt idx="451">
                  <c:v>3.3918228319674331</c:v>
                </c:pt>
                <c:pt idx="452">
                  <c:v>3.3918472939516784</c:v>
                </c:pt>
                <c:pt idx="453">
                  <c:v>3.3918717553700857</c:v>
                </c:pt>
                <c:pt idx="454">
                  <c:v>3.3918962162226616</c:v>
                </c:pt>
                <c:pt idx="455">
                  <c:v>3.3919206765094159</c:v>
                </c:pt>
                <c:pt idx="456">
                  <c:v>3.3919451362303521</c:v>
                </c:pt>
                <c:pt idx="457">
                  <c:v>3.3919695953854805</c:v>
                </c:pt>
                <c:pt idx="458">
                  <c:v>3.3919940539748081</c:v>
                </c:pt>
                <c:pt idx="459">
                  <c:v>3.3920185119983453</c:v>
                </c:pt>
                <c:pt idx="460">
                  <c:v>3.3920429694560958</c:v>
                </c:pt>
                <c:pt idx="461">
                  <c:v>3.3920674263480688</c:v>
                </c:pt>
                <c:pt idx="462">
                  <c:v>3.3920918826742694</c:v>
                </c:pt>
                <c:pt idx="463">
                  <c:v>3.3921163384347075</c:v>
                </c:pt>
                <c:pt idx="464">
                  <c:v>3.3921407936293928</c:v>
                </c:pt>
                <c:pt idx="465">
                  <c:v>3.3921652482583289</c:v>
                </c:pt>
                <c:pt idx="466">
                  <c:v>3.3921897023215246</c:v>
                </c:pt>
                <c:pt idx="467">
                  <c:v>3.3922141558189889</c:v>
                </c:pt>
                <c:pt idx="468">
                  <c:v>3.3922386087507284</c:v>
                </c:pt>
                <c:pt idx="469">
                  <c:v>3.3922630611167501</c:v>
                </c:pt>
                <c:pt idx="470">
                  <c:v>3.3922875129170609</c:v>
                </c:pt>
                <c:pt idx="471">
                  <c:v>3.3923119641516717</c:v>
                </c:pt>
                <c:pt idx="472">
                  <c:v>3.3923364148205892</c:v>
                </c:pt>
                <c:pt idx="473">
                  <c:v>3.3923608649238171</c:v>
                </c:pt>
                <c:pt idx="474">
                  <c:v>3.3923853144613676</c:v>
                </c:pt>
                <c:pt idx="475">
                  <c:v>3.3924097634332453</c:v>
                </c:pt>
                <c:pt idx="476">
                  <c:v>3.3924342118394586</c:v>
                </c:pt>
                <c:pt idx="477">
                  <c:v>3.392458659680015</c:v>
                </c:pt>
                <c:pt idx="478">
                  <c:v>3.3924831069549217</c:v>
                </c:pt>
                <c:pt idx="479">
                  <c:v>3.3925075536641889</c:v>
                </c:pt>
                <c:pt idx="480">
                  <c:v>3.3925319998078227</c:v>
                </c:pt>
                <c:pt idx="481">
                  <c:v>3.3925564453858268</c:v>
                </c:pt>
                <c:pt idx="482">
                  <c:v>3.3925808903982153</c:v>
                </c:pt>
                <c:pt idx="483">
                  <c:v>3.3926053348449923</c:v>
                </c:pt>
                <c:pt idx="484">
                  <c:v>3.3926297787261648</c:v>
                </c:pt>
                <c:pt idx="485">
                  <c:v>3.3926542220417399</c:v>
                </c:pt>
                <c:pt idx="486">
                  <c:v>3.3926786647917293</c:v>
                </c:pt>
                <c:pt idx="487">
                  <c:v>3.3927031069761378</c:v>
                </c:pt>
                <c:pt idx="488">
                  <c:v>3.3927275485949724</c:v>
                </c:pt>
                <c:pt idx="489">
                  <c:v>3.3927519896482408</c:v>
                </c:pt>
                <c:pt idx="490">
                  <c:v>3.3927764301359509</c:v>
                </c:pt>
                <c:pt idx="491">
                  <c:v>3.3928008700581116</c:v>
                </c:pt>
                <c:pt idx="492">
                  <c:v>3.3928253094147296</c:v>
                </c:pt>
                <c:pt idx="493">
                  <c:v>3.3928497482058124</c:v>
                </c:pt>
                <c:pt idx="494">
                  <c:v>3.3928741864313663</c:v>
                </c:pt>
                <c:pt idx="495">
                  <c:v>3.3928986240914005</c:v>
                </c:pt>
                <c:pt idx="496">
                  <c:v>3.3929230611859218</c:v>
                </c:pt>
                <c:pt idx="497">
                  <c:v>3.3929474977149399</c:v>
                </c:pt>
                <c:pt idx="498">
                  <c:v>3.3929719336784587</c:v>
                </c:pt>
                <c:pt idx="499">
                  <c:v>3.3929963690764877</c:v>
                </c:pt>
                <c:pt idx="500">
                  <c:v>3.3930208039090357</c:v>
                </c:pt>
                <c:pt idx="501">
                  <c:v>3.3930452381761089</c:v>
                </c:pt>
                <c:pt idx="502">
                  <c:v>3.3930696718777145</c:v>
                </c:pt>
                <c:pt idx="503">
                  <c:v>3.3930941050138608</c:v>
                </c:pt>
                <c:pt idx="504">
                  <c:v>3.393118537584555</c:v>
                </c:pt>
                <c:pt idx="505">
                  <c:v>3.3931429695898063</c:v>
                </c:pt>
                <c:pt idx="506">
                  <c:v>3.3931674010296189</c:v>
                </c:pt>
                <c:pt idx="507">
                  <c:v>3.3931918319040042</c:v>
                </c:pt>
                <c:pt idx="508">
                  <c:v>3.3932162622129658</c:v>
                </c:pt>
                <c:pt idx="509">
                  <c:v>3.3932406919565135</c:v>
                </c:pt>
                <c:pt idx="510">
                  <c:v>3.3932651211346565</c:v>
                </c:pt>
                <c:pt idx="511">
                  <c:v>3.3932895497474003</c:v>
                </c:pt>
                <c:pt idx="512">
                  <c:v>3.3933139777947523</c:v>
                </c:pt>
                <c:pt idx="513">
                  <c:v>3.3933384052767219</c:v>
                </c:pt>
                <c:pt idx="514">
                  <c:v>3.3933628321933162</c:v>
                </c:pt>
                <c:pt idx="515">
                  <c:v>3.3933872585445384</c:v>
                </c:pt>
                <c:pt idx="516">
                  <c:v>3.393411684330403</c:v>
                </c:pt>
                <c:pt idx="517">
                  <c:v>3.3934361095509131</c:v>
                </c:pt>
                <c:pt idx="518">
                  <c:v>3.3934605342060786</c:v>
                </c:pt>
                <c:pt idx="519">
                  <c:v>3.3934849582959052</c:v>
                </c:pt>
                <c:pt idx="520">
                  <c:v>3.3935093818204014</c:v>
                </c:pt>
                <c:pt idx="521">
                  <c:v>3.3935338047795747</c:v>
                </c:pt>
                <c:pt idx="522">
                  <c:v>3.3935582271734335</c:v>
                </c:pt>
                <c:pt idx="523">
                  <c:v>3.3935826490019831</c:v>
                </c:pt>
                <c:pt idx="524">
                  <c:v>3.3936070702652334</c:v>
                </c:pt>
                <c:pt idx="525">
                  <c:v>3.3936314909631915</c:v>
                </c:pt>
                <c:pt idx="526">
                  <c:v>3.393655911095864</c:v>
                </c:pt>
                <c:pt idx="527">
                  <c:v>3.3936803306632601</c:v>
                </c:pt>
                <c:pt idx="528">
                  <c:v>3.3937047496653863</c:v>
                </c:pt>
                <c:pt idx="529">
                  <c:v>3.393729168102249</c:v>
                </c:pt>
                <c:pt idx="530">
                  <c:v>3.393753585973859</c:v>
                </c:pt>
                <c:pt idx="531">
                  <c:v>3.3937780032802207</c:v>
                </c:pt>
                <c:pt idx="532">
                  <c:v>3.393802420021343</c:v>
                </c:pt>
                <c:pt idx="533">
                  <c:v>3.3938268361972348</c:v>
                </c:pt>
                <c:pt idx="534">
                  <c:v>3.3938512518079</c:v>
                </c:pt>
                <c:pt idx="535">
                  <c:v>3.3938756668533503</c:v>
                </c:pt>
                <c:pt idx="536">
                  <c:v>3.3939000813335922</c:v>
                </c:pt>
                <c:pt idx="537">
                  <c:v>3.3939244952486316</c:v>
                </c:pt>
                <c:pt idx="538">
                  <c:v>3.3939489085984782</c:v>
                </c:pt>
                <c:pt idx="539">
                  <c:v>3.3939733213831378</c:v>
                </c:pt>
                <c:pt idx="540">
                  <c:v>3.3939977336026188</c:v>
                </c:pt>
                <c:pt idx="541">
                  <c:v>3.3940221452569292</c:v>
                </c:pt>
                <c:pt idx="542">
                  <c:v>3.3940465563460749</c:v>
                </c:pt>
                <c:pt idx="543">
                  <c:v>3.3940709668700655</c:v>
                </c:pt>
                <c:pt idx="544">
                  <c:v>3.3940953768289082</c:v>
                </c:pt>
                <c:pt idx="545">
                  <c:v>3.3941197862226109</c:v>
                </c:pt>
                <c:pt idx="546">
                  <c:v>3.3941441950511804</c:v>
                </c:pt>
                <c:pt idx="547">
                  <c:v>3.394168603314625</c:v>
                </c:pt>
                <c:pt idx="548">
                  <c:v>3.3941930110129506</c:v>
                </c:pt>
                <c:pt idx="549">
                  <c:v>3.3942174181461646</c:v>
                </c:pt>
                <c:pt idx="550">
                  <c:v>3.3942418247142774</c:v>
                </c:pt>
                <c:pt idx="551">
                  <c:v>3.3942662307172942</c:v>
                </c:pt>
                <c:pt idx="552">
                  <c:v>3.3942906361552252</c:v>
                </c:pt>
                <c:pt idx="553">
                  <c:v>3.3943150410280767</c:v>
                </c:pt>
                <c:pt idx="554">
                  <c:v>3.394339445335854</c:v>
                </c:pt>
                <c:pt idx="555">
                  <c:v>3.3943638490785677</c:v>
                </c:pt>
                <c:pt idx="556">
                  <c:v>3.3943882522562232</c:v>
                </c:pt>
                <c:pt idx="557">
                  <c:v>3.3944126548688303</c:v>
                </c:pt>
                <c:pt idx="558">
                  <c:v>3.394437056916396</c:v>
                </c:pt>
                <c:pt idx="559">
                  <c:v>3.3944614583989265</c:v>
                </c:pt>
                <c:pt idx="560">
                  <c:v>3.3944858593164309</c:v>
                </c:pt>
                <c:pt idx="561">
                  <c:v>3.3945102596689152</c:v>
                </c:pt>
                <c:pt idx="562">
                  <c:v>3.3945346594563888</c:v>
                </c:pt>
                <c:pt idx="563">
                  <c:v>3.394559058678857</c:v>
                </c:pt>
                <c:pt idx="564">
                  <c:v>3.3945834573363309</c:v>
                </c:pt>
                <c:pt idx="565">
                  <c:v>3.3946078554288146</c:v>
                </c:pt>
                <c:pt idx="566">
                  <c:v>3.3946322529563191</c:v>
                </c:pt>
                <c:pt idx="567">
                  <c:v>3.3946566499188493</c:v>
                </c:pt>
                <c:pt idx="568">
                  <c:v>3.3946810463164128</c:v>
                </c:pt>
                <c:pt idx="569">
                  <c:v>3.3947054421490193</c:v>
                </c:pt>
                <c:pt idx="570">
                  <c:v>3.3947298374166732</c:v>
                </c:pt>
                <c:pt idx="571">
                  <c:v>3.3947542321193858</c:v>
                </c:pt>
                <c:pt idx="572">
                  <c:v>3.3947786262571618</c:v>
                </c:pt>
                <c:pt idx="573">
                  <c:v>3.3948030198300101</c:v>
                </c:pt>
                <c:pt idx="574">
                  <c:v>3.3948274128379388</c:v>
                </c:pt>
                <c:pt idx="575">
                  <c:v>3.3948518052809553</c:v>
                </c:pt>
                <c:pt idx="576">
                  <c:v>3.3948761971590651</c:v>
                </c:pt>
                <c:pt idx="577">
                  <c:v>3.3949005884722787</c:v>
                </c:pt>
                <c:pt idx="578">
                  <c:v>3.3949249792206011</c:v>
                </c:pt>
                <c:pt idx="579">
                  <c:v>3.3949493694040425</c:v>
                </c:pt>
                <c:pt idx="580">
                  <c:v>3.3949737590226086</c:v>
                </c:pt>
                <c:pt idx="581">
                  <c:v>3.3949981480763074</c:v>
                </c:pt>
                <c:pt idx="582">
                  <c:v>3.3950225365651465</c:v>
                </c:pt>
                <c:pt idx="583">
                  <c:v>3.3950469244891348</c:v>
                </c:pt>
                <c:pt idx="584">
                  <c:v>3.3950713118482789</c:v>
                </c:pt>
                <c:pt idx="585">
                  <c:v>3.3950956986425851</c:v>
                </c:pt>
                <c:pt idx="586">
                  <c:v>3.3951200848720622</c:v>
                </c:pt>
                <c:pt idx="587">
                  <c:v>3.3951444705367182</c:v>
                </c:pt>
                <c:pt idx="588">
                  <c:v>3.3951688556365611</c:v>
                </c:pt>
                <c:pt idx="589">
                  <c:v>3.3951932401715967</c:v>
                </c:pt>
                <c:pt idx="590">
                  <c:v>3.3952176241418357</c:v>
                </c:pt>
                <c:pt idx="591">
                  <c:v>3.395242007547282</c:v>
                </c:pt>
                <c:pt idx="592">
                  <c:v>3.3952663903879468</c:v>
                </c:pt>
                <c:pt idx="593">
                  <c:v>3.3952907726638344</c:v>
                </c:pt>
                <c:pt idx="594">
                  <c:v>3.3953151543749525</c:v>
                </c:pt>
                <c:pt idx="595">
                  <c:v>3.3953395355213112</c:v>
                </c:pt>
                <c:pt idx="596">
                  <c:v>3.3953639161029168</c:v>
                </c:pt>
                <c:pt idx="597">
                  <c:v>3.3953882961197781</c:v>
                </c:pt>
                <c:pt idx="598">
                  <c:v>3.395412675571901</c:v>
                </c:pt>
                <c:pt idx="599">
                  <c:v>3.395437054459292</c:v>
                </c:pt>
                <c:pt idx="600">
                  <c:v>3.3954614327819619</c:v>
                </c:pt>
                <c:pt idx="601">
                  <c:v>3.3954858105399164</c:v>
                </c:pt>
                <c:pt idx="602">
                  <c:v>3.3955101877331635</c:v>
                </c:pt>
                <c:pt idx="603">
                  <c:v>3.3955345643617125</c:v>
                </c:pt>
                <c:pt idx="604">
                  <c:v>3.3955589404255688</c:v>
                </c:pt>
                <c:pt idx="605">
                  <c:v>3.3955833159247395</c:v>
                </c:pt>
                <c:pt idx="606">
                  <c:v>3.3956076908592343</c:v>
                </c:pt>
                <c:pt idx="607">
                  <c:v>3.3956320652290581</c:v>
                </c:pt>
                <c:pt idx="608">
                  <c:v>3.3956564390342208</c:v>
                </c:pt>
                <c:pt idx="609">
                  <c:v>3.3956808122747297</c:v>
                </c:pt>
                <c:pt idx="610">
                  <c:v>3.3957051849505935</c:v>
                </c:pt>
                <c:pt idx="611">
                  <c:v>3.3957295570618182</c:v>
                </c:pt>
                <c:pt idx="612">
                  <c:v>3.3957539286084106</c:v>
                </c:pt>
                <c:pt idx="613">
                  <c:v>3.3957782995903774</c:v>
                </c:pt>
                <c:pt idx="614">
                  <c:v>3.3958026700077326</c:v>
                </c:pt>
                <c:pt idx="615">
                  <c:v>3.3958270398604777</c:v>
                </c:pt>
                <c:pt idx="616">
                  <c:v>3.3958514091486203</c:v>
                </c:pt>
                <c:pt idx="617">
                  <c:v>3.3958757778721709</c:v>
                </c:pt>
                <c:pt idx="618">
                  <c:v>3.3959001460311353</c:v>
                </c:pt>
                <c:pt idx="619">
                  <c:v>3.3959245136255229</c:v>
                </c:pt>
                <c:pt idx="620">
                  <c:v>3.3959488806553404</c:v>
                </c:pt>
                <c:pt idx="621">
                  <c:v>3.3959732471205939</c:v>
                </c:pt>
                <c:pt idx="622">
                  <c:v>3.3959976130212923</c:v>
                </c:pt>
                <c:pt idx="623">
                  <c:v>3.3960219783574432</c:v>
                </c:pt>
                <c:pt idx="624">
                  <c:v>3.396046343129056</c:v>
                </c:pt>
                <c:pt idx="625">
                  <c:v>3.3960707073361354</c:v>
                </c:pt>
                <c:pt idx="626">
                  <c:v>3.3960950709786899</c:v>
                </c:pt>
                <c:pt idx="627">
                  <c:v>3.3961194340567267</c:v>
                </c:pt>
                <c:pt idx="628">
                  <c:v>3.3961437965702559</c:v>
                </c:pt>
                <c:pt idx="629">
                  <c:v>3.3961681585192811</c:v>
                </c:pt>
                <c:pt idx="630">
                  <c:v>3.3961925199038139</c:v>
                </c:pt>
                <c:pt idx="631">
                  <c:v>3.3962168807238591</c:v>
                </c:pt>
                <c:pt idx="632">
                  <c:v>3.3962412409794269</c:v>
                </c:pt>
                <c:pt idx="633">
                  <c:v>3.3962656006705214</c:v>
                </c:pt>
                <c:pt idx="634">
                  <c:v>3.3962899597971519</c:v>
                </c:pt>
                <c:pt idx="635">
                  <c:v>3.3963143183593272</c:v>
                </c:pt>
                <c:pt idx="636">
                  <c:v>3.3963386763570549</c:v>
                </c:pt>
                <c:pt idx="637">
                  <c:v>3.3963630337903412</c:v>
                </c:pt>
                <c:pt idx="638">
                  <c:v>3.3963873906591919</c:v>
                </c:pt>
                <c:pt idx="639">
                  <c:v>3.3964117469636204</c:v>
                </c:pt>
                <c:pt idx="640">
                  <c:v>3.3964361027036278</c:v>
                </c:pt>
                <c:pt idx="641">
                  <c:v>3.3964604578792259</c:v>
                </c:pt>
                <c:pt idx="642">
                  <c:v>3.3964848124904208</c:v>
                </c:pt>
                <c:pt idx="643">
                  <c:v>3.3965091665372205</c:v>
                </c:pt>
                <c:pt idx="644">
                  <c:v>3.3965335200196338</c:v>
                </c:pt>
                <c:pt idx="645">
                  <c:v>3.3965578729376658</c:v>
                </c:pt>
                <c:pt idx="646">
                  <c:v>3.3965822252913265</c:v>
                </c:pt>
                <c:pt idx="647">
                  <c:v>3.3966065770806226</c:v>
                </c:pt>
                <c:pt idx="648">
                  <c:v>3.39663092830556</c:v>
                </c:pt>
                <c:pt idx="649">
                  <c:v>3.3966552789661497</c:v>
                </c:pt>
                <c:pt idx="650">
                  <c:v>3.3966796290623966</c:v>
                </c:pt>
                <c:pt idx="651">
                  <c:v>3.3967039785943083</c:v>
                </c:pt>
                <c:pt idx="652">
                  <c:v>3.3967283275618949</c:v>
                </c:pt>
                <c:pt idx="653">
                  <c:v>3.3967526759651614</c:v>
                </c:pt>
                <c:pt idx="654">
                  <c:v>3.3967770238041179</c:v>
                </c:pt>
                <c:pt idx="655">
                  <c:v>3.3968013710787694</c:v>
                </c:pt>
                <c:pt idx="656">
                  <c:v>3.3968257177891266</c:v>
                </c:pt>
                <c:pt idx="657">
                  <c:v>3.396850063935192</c:v>
                </c:pt>
                <c:pt idx="658">
                  <c:v>3.3968744095169798</c:v>
                </c:pt>
                <c:pt idx="659">
                  <c:v>3.3968987545344933</c:v>
                </c:pt>
                <c:pt idx="660">
                  <c:v>3.3969230989877395</c:v>
                </c:pt>
                <c:pt idx="661">
                  <c:v>3.3969474428767286</c:v>
                </c:pt>
                <c:pt idx="662">
                  <c:v>3.3969717862014681</c:v>
                </c:pt>
                <c:pt idx="663">
                  <c:v>3.396996128961963</c:v>
                </c:pt>
                <c:pt idx="664">
                  <c:v>3.3970204711582235</c:v>
                </c:pt>
                <c:pt idx="665">
                  <c:v>3.3970448127902584</c:v>
                </c:pt>
                <c:pt idx="666">
                  <c:v>3.3970691538580713</c:v>
                </c:pt>
                <c:pt idx="667">
                  <c:v>3.3970934943616724</c:v>
                </c:pt>
                <c:pt idx="668">
                  <c:v>3.3971178343010693</c:v>
                </c:pt>
                <c:pt idx="669">
                  <c:v>3.3971421736762681</c:v>
                </c:pt>
                <c:pt idx="670">
                  <c:v>3.3971665124872761</c:v>
                </c:pt>
                <c:pt idx="671">
                  <c:v>3.3971908507341069</c:v>
                </c:pt>
                <c:pt idx="672">
                  <c:v>3.3972151884167596</c:v>
                </c:pt>
                <c:pt idx="673">
                  <c:v>3.3972395255352472</c:v>
                </c:pt>
                <c:pt idx="674">
                  <c:v>3.397263862089575</c:v>
                </c:pt>
                <c:pt idx="675">
                  <c:v>3.3972881980797522</c:v>
                </c:pt>
                <c:pt idx="676">
                  <c:v>3.3973125335057857</c:v>
                </c:pt>
                <c:pt idx="677">
                  <c:v>3.3973368683676841</c:v>
                </c:pt>
                <c:pt idx="678">
                  <c:v>3.3973612026654516</c:v>
                </c:pt>
                <c:pt idx="679">
                  <c:v>3.3973855363991001</c:v>
                </c:pt>
                <c:pt idx="680">
                  <c:v>3.3974098695686341</c:v>
                </c:pt>
                <c:pt idx="681">
                  <c:v>3.3974342021740647</c:v>
                </c:pt>
                <c:pt idx="682">
                  <c:v>3.3974585342153958</c:v>
                </c:pt>
                <c:pt idx="683">
                  <c:v>3.397482865692635</c:v>
                </c:pt>
                <c:pt idx="684">
                  <c:v>3.3975071966057939</c:v>
                </c:pt>
                <c:pt idx="685">
                  <c:v>3.397531526954876</c:v>
                </c:pt>
                <c:pt idx="686">
                  <c:v>3.3975558567398925</c:v>
                </c:pt>
                <c:pt idx="687">
                  <c:v>3.3975801859608485</c:v>
                </c:pt>
                <c:pt idx="688">
                  <c:v>3.3976045146177514</c:v>
                </c:pt>
                <c:pt idx="689">
                  <c:v>3.3976288427106098</c:v>
                </c:pt>
                <c:pt idx="690">
                  <c:v>3.3976531702394333</c:v>
                </c:pt>
                <c:pt idx="691">
                  <c:v>3.397677497204227</c:v>
                </c:pt>
                <c:pt idx="692">
                  <c:v>3.3977018236049967</c:v>
                </c:pt>
                <c:pt idx="693">
                  <c:v>3.3977261494417537</c:v>
                </c:pt>
                <c:pt idx="694">
                  <c:v>3.3977504747145044</c:v>
                </c:pt>
                <c:pt idx="695">
                  <c:v>3.3977747994232561</c:v>
                </c:pt>
                <c:pt idx="696">
                  <c:v>3.3977991235680185</c:v>
                </c:pt>
                <c:pt idx="697">
                  <c:v>3.3978234471487951</c:v>
                </c:pt>
                <c:pt idx="698">
                  <c:v>3.3978477701655954</c:v>
                </c:pt>
                <c:pt idx="699">
                  <c:v>3.3978720926184294</c:v>
                </c:pt>
                <c:pt idx="700">
                  <c:v>3.3978964145073016</c:v>
                </c:pt>
                <c:pt idx="701">
                  <c:v>3.397920735832221</c:v>
                </c:pt>
                <c:pt idx="702">
                  <c:v>3.397945056593195</c:v>
                </c:pt>
                <c:pt idx="703">
                  <c:v>3.3979693767902295</c:v>
                </c:pt>
                <c:pt idx="704">
                  <c:v>3.3979936964233364</c:v>
                </c:pt>
                <c:pt idx="705">
                  <c:v>3.3980180154925197</c:v>
                </c:pt>
                <c:pt idx="706">
                  <c:v>3.3980423339977888</c:v>
                </c:pt>
                <c:pt idx="707">
                  <c:v>3.3980666519391507</c:v>
                </c:pt>
                <c:pt idx="708">
                  <c:v>3.3980909693166113</c:v>
                </c:pt>
                <c:pt idx="709">
                  <c:v>3.3981152861301815</c:v>
                </c:pt>
                <c:pt idx="710">
                  <c:v>3.3981396023798678</c:v>
                </c:pt>
                <c:pt idx="711">
                  <c:v>3.3981639180656771</c:v>
                </c:pt>
                <c:pt idx="712">
                  <c:v>3.3981882331876183</c:v>
                </c:pt>
                <c:pt idx="713">
                  <c:v>3.3982125477456955</c:v>
                </c:pt>
                <c:pt idx="714">
                  <c:v>3.398236861739921</c:v>
                </c:pt>
                <c:pt idx="715">
                  <c:v>3.3982611751702985</c:v>
                </c:pt>
                <c:pt idx="716">
                  <c:v>3.3982854880368385</c:v>
                </c:pt>
                <c:pt idx="717">
                  <c:v>3.3983098003395495</c:v>
                </c:pt>
                <c:pt idx="718">
                  <c:v>3.3983341120784343</c:v>
                </c:pt>
                <c:pt idx="719">
                  <c:v>3.3983584232535047</c:v>
                </c:pt>
                <c:pt idx="720">
                  <c:v>3.3983827338647674</c:v>
                </c:pt>
                <c:pt idx="721">
                  <c:v>3.3984070439122278</c:v>
                </c:pt>
                <c:pt idx="722">
                  <c:v>3.3984313533958983</c:v>
                </c:pt>
                <c:pt idx="723">
                  <c:v>3.398455662315782</c:v>
                </c:pt>
                <c:pt idx="724">
                  <c:v>3.3984799706718891</c:v>
                </c:pt>
                <c:pt idx="725">
                  <c:v>3.398504278464225</c:v>
                </c:pt>
                <c:pt idx="726">
                  <c:v>3.3985285856928007</c:v>
                </c:pt>
                <c:pt idx="727">
                  <c:v>3.3985528923576203</c:v>
                </c:pt>
                <c:pt idx="728">
                  <c:v>3.3985771984586939</c:v>
                </c:pt>
                <c:pt idx="729">
                  <c:v>3.3986015039960282</c:v>
                </c:pt>
                <c:pt idx="730">
                  <c:v>3.3986258089696304</c:v>
                </c:pt>
                <c:pt idx="731">
                  <c:v>3.3986501133795102</c:v>
                </c:pt>
                <c:pt idx="732">
                  <c:v>3.3986744172256711</c:v>
                </c:pt>
                <c:pt idx="733">
                  <c:v>3.3986987205081243</c:v>
                </c:pt>
                <c:pt idx="734">
                  <c:v>3.3987230232268759</c:v>
                </c:pt>
                <c:pt idx="735">
                  <c:v>3.3987473253819349</c:v>
                </c:pt>
                <c:pt idx="736">
                  <c:v>3.3987716269733075</c:v>
                </c:pt>
                <c:pt idx="737">
                  <c:v>3.3987959280010025</c:v>
                </c:pt>
                <c:pt idx="738">
                  <c:v>3.3988202284650271</c:v>
                </c:pt>
                <c:pt idx="739">
                  <c:v>3.3988445283653879</c:v>
                </c:pt>
                <c:pt idx="740">
                  <c:v>3.3988688277020933</c:v>
                </c:pt>
                <c:pt idx="741">
                  <c:v>3.3988931264751523</c:v>
                </c:pt>
                <c:pt idx="742">
                  <c:v>3.3989174246845728</c:v>
                </c:pt>
                <c:pt idx="743">
                  <c:v>3.3989417223303589</c:v>
                </c:pt>
                <c:pt idx="744">
                  <c:v>3.3989660194125197</c:v>
                </c:pt>
                <c:pt idx="745">
                  <c:v>3.3989903159310635</c:v>
                </c:pt>
                <c:pt idx="746">
                  <c:v>3.3990146118859994</c:v>
                </c:pt>
                <c:pt idx="747">
                  <c:v>3.3990389072773328</c:v>
                </c:pt>
                <c:pt idx="748">
                  <c:v>3.3990632021050731</c:v>
                </c:pt>
                <c:pt idx="749">
                  <c:v>3.399087496369225</c:v>
                </c:pt>
                <c:pt idx="750">
                  <c:v>3.3991117900697985</c:v>
                </c:pt>
                <c:pt idx="751">
                  <c:v>3.3991360832068018</c:v>
                </c:pt>
                <c:pt idx="752">
                  <c:v>3.3991603757802422</c:v>
                </c:pt>
                <c:pt idx="753">
                  <c:v>3.3991846677901254</c:v>
                </c:pt>
                <c:pt idx="754">
                  <c:v>3.3992089592364589</c:v>
                </c:pt>
                <c:pt idx="755">
                  <c:v>3.3992332501192548</c:v>
                </c:pt>
                <c:pt idx="756">
                  <c:v>3.3992575404385157</c:v>
                </c:pt>
                <c:pt idx="757">
                  <c:v>3.3992818301942518</c:v>
                </c:pt>
                <c:pt idx="758">
                  <c:v>3.3993061193864702</c:v>
                </c:pt>
                <c:pt idx="759">
                  <c:v>3.3993304080151781</c:v>
                </c:pt>
                <c:pt idx="760">
                  <c:v>3.3993546960803842</c:v>
                </c:pt>
                <c:pt idx="761">
                  <c:v>3.3993789835820949</c:v>
                </c:pt>
                <c:pt idx="762">
                  <c:v>3.3994032705203203</c:v>
                </c:pt>
                <c:pt idx="763">
                  <c:v>3.3994275568950632</c:v>
                </c:pt>
                <c:pt idx="764">
                  <c:v>3.3994518427063358</c:v>
                </c:pt>
                <c:pt idx="765">
                  <c:v>3.3994761279541432</c:v>
                </c:pt>
                <c:pt idx="766">
                  <c:v>3.399500412638496</c:v>
                </c:pt>
                <c:pt idx="767">
                  <c:v>3.3995246967593982</c:v>
                </c:pt>
                <c:pt idx="768">
                  <c:v>3.3995489803168608</c:v>
                </c:pt>
                <c:pt idx="769">
                  <c:v>3.3995732633108884</c:v>
                </c:pt>
                <c:pt idx="770">
                  <c:v>3.3995975457414911</c:v>
                </c:pt>
                <c:pt idx="771">
                  <c:v>3.3996218276086752</c:v>
                </c:pt>
                <c:pt idx="772">
                  <c:v>3.3996461089124472</c:v>
                </c:pt>
                <c:pt idx="773">
                  <c:v>3.399670389652818</c:v>
                </c:pt>
                <c:pt idx="774">
                  <c:v>3.3996946698297918</c:v>
                </c:pt>
                <c:pt idx="775">
                  <c:v>3.3997189494433786</c:v>
                </c:pt>
                <c:pt idx="776">
                  <c:v>3.3997432284935862</c:v>
                </c:pt>
                <c:pt idx="777">
                  <c:v>3.3997675069804205</c:v>
                </c:pt>
                <c:pt idx="778">
                  <c:v>3.3997917849038921</c:v>
                </c:pt>
                <c:pt idx="779">
                  <c:v>3.3998160622640037</c:v>
                </c:pt>
                <c:pt idx="780">
                  <c:v>3.3998403390607654</c:v>
                </c:pt>
                <c:pt idx="781">
                  <c:v>3.3998646152941872</c:v>
                </c:pt>
                <c:pt idx="782">
                  <c:v>3.3998888909642755</c:v>
                </c:pt>
                <c:pt idx="783">
                  <c:v>3.3999131660710362</c:v>
                </c:pt>
                <c:pt idx="784">
                  <c:v>3.399937440614476</c:v>
                </c:pt>
                <c:pt idx="785">
                  <c:v>3.3999617145946073</c:v>
                </c:pt>
                <c:pt idx="786">
                  <c:v>3.3999859880114345</c:v>
                </c:pt>
                <c:pt idx="787">
                  <c:v>3.400010260864966</c:v>
                </c:pt>
                <c:pt idx="788">
                  <c:v>3.4000345331552086</c:v>
                </c:pt>
                <c:pt idx="789">
                  <c:v>3.4000588048821694</c:v>
                </c:pt>
                <c:pt idx="790">
                  <c:v>3.4000830760458576</c:v>
                </c:pt>
                <c:pt idx="791">
                  <c:v>3.400107346646283</c:v>
                </c:pt>
                <c:pt idx="792">
                  <c:v>3.4001316166834492</c:v>
                </c:pt>
                <c:pt idx="793">
                  <c:v>3.4001558861573633</c:v>
                </c:pt>
                <c:pt idx="794">
                  <c:v>3.4001801550680382</c:v>
                </c:pt>
                <c:pt idx="795">
                  <c:v>3.4002044234154756</c:v>
                </c:pt>
                <c:pt idx="796">
                  <c:v>3.4002286911996884</c:v>
                </c:pt>
                <c:pt idx="797">
                  <c:v>3.4002529584206793</c:v>
                </c:pt>
                <c:pt idx="798">
                  <c:v>3.4002772250784599</c:v>
                </c:pt>
                <c:pt idx="799">
                  <c:v>3.4003014911730358</c:v>
                </c:pt>
                <c:pt idx="800">
                  <c:v>3.4003257567044147</c:v>
                </c:pt>
                <c:pt idx="801">
                  <c:v>3.400350021672605</c:v>
                </c:pt>
                <c:pt idx="802">
                  <c:v>3.4003742860776156</c:v>
                </c:pt>
                <c:pt idx="803">
                  <c:v>3.4003985499194518</c:v>
                </c:pt>
                <c:pt idx="804">
                  <c:v>3.4004228131981207</c:v>
                </c:pt>
                <c:pt idx="805">
                  <c:v>3.400447075913632</c:v>
                </c:pt>
                <c:pt idx="806">
                  <c:v>3.400471338065993</c:v>
                </c:pt>
                <c:pt idx="807">
                  <c:v>3.4004955996552124</c:v>
                </c:pt>
                <c:pt idx="808">
                  <c:v>3.4005198606812961</c:v>
                </c:pt>
                <c:pt idx="809">
                  <c:v>3.4005441211442511</c:v>
                </c:pt>
                <c:pt idx="810">
                  <c:v>3.4005683810440854</c:v>
                </c:pt>
                <c:pt idx="811">
                  <c:v>3.4005926403808089</c:v>
                </c:pt>
                <c:pt idx="812">
                  <c:v>3.4006168991544272</c:v>
                </c:pt>
                <c:pt idx="813">
                  <c:v>3.4006411573649489</c:v>
                </c:pt>
                <c:pt idx="814">
                  <c:v>3.4006654150123814</c:v>
                </c:pt>
                <c:pt idx="815">
                  <c:v>3.4006896720967319</c:v>
                </c:pt>
                <c:pt idx="816">
                  <c:v>3.4007139286180088</c:v>
                </c:pt>
                <c:pt idx="817">
                  <c:v>3.4007381845762183</c:v>
                </c:pt>
                <c:pt idx="818">
                  <c:v>3.4007624399713698</c:v>
                </c:pt>
                <c:pt idx="819">
                  <c:v>3.4007866948034704</c:v>
                </c:pt>
                <c:pt idx="820">
                  <c:v>3.400810949072528</c:v>
                </c:pt>
                <c:pt idx="821">
                  <c:v>3.4008352027785489</c:v>
                </c:pt>
                <c:pt idx="822">
                  <c:v>3.4008594559215424</c:v>
                </c:pt>
                <c:pt idx="823">
                  <c:v>3.4008837085015147</c:v>
                </c:pt>
                <c:pt idx="824">
                  <c:v>3.4009079605184755</c:v>
                </c:pt>
                <c:pt idx="825">
                  <c:v>3.4009322119724303</c:v>
                </c:pt>
                <c:pt idx="826">
                  <c:v>3.4009564628633884</c:v>
                </c:pt>
                <c:pt idx="827">
                  <c:v>3.4009807131913563</c:v>
                </c:pt>
                <c:pt idx="828">
                  <c:v>3.4010049629563404</c:v>
                </c:pt>
                <c:pt idx="829">
                  <c:v>3.4010292121583525</c:v>
                </c:pt>
                <c:pt idx="830">
                  <c:v>3.4010534607973972</c:v>
                </c:pt>
                <c:pt idx="831">
                  <c:v>3.4010777088734807</c:v>
                </c:pt>
                <c:pt idx="832">
                  <c:v>3.4011019563866154</c:v>
                </c:pt>
                <c:pt idx="833">
                  <c:v>3.4011262033368039</c:v>
                </c:pt>
                <c:pt idx="834">
                  <c:v>3.4011504497240579</c:v>
                </c:pt>
                <c:pt idx="835">
                  <c:v>3.401174695548383</c:v>
                </c:pt>
                <c:pt idx="836">
                  <c:v>3.4011989408097882</c:v>
                </c:pt>
                <c:pt idx="837">
                  <c:v>3.4012231855082784</c:v>
                </c:pt>
                <c:pt idx="838">
                  <c:v>3.4012474296438637</c:v>
                </c:pt>
                <c:pt idx="839">
                  <c:v>3.4012716732165531</c:v>
                </c:pt>
                <c:pt idx="840">
                  <c:v>3.4012959162263505</c:v>
                </c:pt>
                <c:pt idx="841">
                  <c:v>3.4013201586732644</c:v>
                </c:pt>
                <c:pt idx="842">
                  <c:v>3.4013444005573041</c:v>
                </c:pt>
                <c:pt idx="843">
                  <c:v>3.4013686418784772</c:v>
                </c:pt>
                <c:pt idx="844">
                  <c:v>3.4013928826367903</c:v>
                </c:pt>
                <c:pt idx="845">
                  <c:v>3.4014171228322518</c:v>
                </c:pt>
                <c:pt idx="846">
                  <c:v>3.4014413624648676</c:v>
                </c:pt>
                <c:pt idx="847">
                  <c:v>3.4014656015346483</c:v>
                </c:pt>
                <c:pt idx="848">
                  <c:v>3.4014898400416009</c:v>
                </c:pt>
                <c:pt idx="849">
                  <c:v>3.40151407798573</c:v>
                </c:pt>
                <c:pt idx="850">
                  <c:v>3.4015383153670462</c:v>
                </c:pt>
                <c:pt idx="851">
                  <c:v>3.401562552185557</c:v>
                </c:pt>
                <c:pt idx="852">
                  <c:v>3.4015867884412709</c:v>
                </c:pt>
                <c:pt idx="853">
                  <c:v>3.4016110241341915</c:v>
                </c:pt>
                <c:pt idx="854">
                  <c:v>3.4016352592643315</c:v>
                </c:pt>
                <c:pt idx="855">
                  <c:v>3.4016594938316933</c:v>
                </c:pt>
                <c:pt idx="856">
                  <c:v>3.4016837278362897</c:v>
                </c:pt>
                <c:pt idx="857">
                  <c:v>3.4017079612781256</c:v>
                </c:pt>
                <c:pt idx="858">
                  <c:v>3.4017321941572107</c:v>
                </c:pt>
                <c:pt idx="859">
                  <c:v>3.4017564264735491</c:v>
                </c:pt>
                <c:pt idx="860">
                  <c:v>3.4017806582271519</c:v>
                </c:pt>
                <c:pt idx="861">
                  <c:v>3.4018048894180244</c:v>
                </c:pt>
                <c:pt idx="862">
                  <c:v>3.401829120046175</c:v>
                </c:pt>
                <c:pt idx="863">
                  <c:v>3.4018533501116117</c:v>
                </c:pt>
                <c:pt idx="864">
                  <c:v>3.4018775796143452</c:v>
                </c:pt>
                <c:pt idx="865">
                  <c:v>3.4019018085543768</c:v>
                </c:pt>
                <c:pt idx="866">
                  <c:v>3.4019260369317181</c:v>
                </c:pt>
                <c:pt idx="867">
                  <c:v>3.4019502647463775</c:v>
                </c:pt>
                <c:pt idx="868">
                  <c:v>3.4019744919983603</c:v>
                </c:pt>
                <c:pt idx="869">
                  <c:v>3.401998718687675</c:v>
                </c:pt>
                <c:pt idx="870">
                  <c:v>3.4020229448143291</c:v>
                </c:pt>
                <c:pt idx="871">
                  <c:v>3.4020471703783315</c:v>
                </c:pt>
                <c:pt idx="872">
                  <c:v>3.4020713953796897</c:v>
                </c:pt>
                <c:pt idx="873">
                  <c:v>3.4020956198184074</c:v>
                </c:pt>
                <c:pt idx="874">
                  <c:v>3.4021198436944999</c:v>
                </c:pt>
                <c:pt idx="875">
                  <c:v>3.4021440670079683</c:v>
                </c:pt>
                <c:pt idx="876">
                  <c:v>3.4021682897588206</c:v>
                </c:pt>
                <c:pt idx="877">
                  <c:v>3.4021925119470686</c:v>
                </c:pt>
                <c:pt idx="878">
                  <c:v>3.4022167335727183</c:v>
                </c:pt>
                <c:pt idx="879">
                  <c:v>3.4022409546357744</c:v>
                </c:pt>
                <c:pt idx="880">
                  <c:v>3.4022651751362494</c:v>
                </c:pt>
                <c:pt idx="881">
                  <c:v>3.4022893950741455</c:v>
                </c:pt>
                <c:pt idx="882">
                  <c:v>3.4023136144494748</c:v>
                </c:pt>
                <c:pt idx="883">
                  <c:v>3.4023378332622434</c:v>
                </c:pt>
                <c:pt idx="884">
                  <c:v>3.4023620515124602</c:v>
                </c:pt>
                <c:pt idx="885">
                  <c:v>3.4023862692001305</c:v>
                </c:pt>
                <c:pt idx="886">
                  <c:v>3.4024104863252651</c:v>
                </c:pt>
                <c:pt idx="887">
                  <c:v>3.4024347028878679</c:v>
                </c:pt>
                <c:pt idx="888">
                  <c:v>3.4024589188879504</c:v>
                </c:pt>
                <c:pt idx="889">
                  <c:v>3.4024831343255175</c:v>
                </c:pt>
                <c:pt idx="890">
                  <c:v>3.4025073492005768</c:v>
                </c:pt>
                <c:pt idx="891">
                  <c:v>3.4025315635131381</c:v>
                </c:pt>
                <c:pt idx="892">
                  <c:v>3.4025557772632058</c:v>
                </c:pt>
                <c:pt idx="893">
                  <c:v>3.4025799904507923</c:v>
                </c:pt>
                <c:pt idx="894">
                  <c:v>3.4026042030759007</c:v>
                </c:pt>
                <c:pt idx="895">
                  <c:v>3.4026284151385418</c:v>
                </c:pt>
                <c:pt idx="896">
                  <c:v>3.4026526266387207</c:v>
                </c:pt>
                <c:pt idx="897">
                  <c:v>3.4026768375764469</c:v>
                </c:pt>
                <c:pt idx="898">
                  <c:v>3.402701047951727</c:v>
                </c:pt>
                <c:pt idx="899">
                  <c:v>3.4027252577645717</c:v>
                </c:pt>
                <c:pt idx="900">
                  <c:v>3.4027494670149845</c:v>
                </c:pt>
                <c:pt idx="901">
                  <c:v>3.4027736757029747</c:v>
                </c:pt>
                <c:pt idx="902">
                  <c:v>3.4027978838285509</c:v>
                </c:pt>
                <c:pt idx="903">
                  <c:v>3.4028220913917195</c:v>
                </c:pt>
                <c:pt idx="904">
                  <c:v>3.4028462983924901</c:v>
                </c:pt>
                <c:pt idx="905">
                  <c:v>3.4028705048308661</c:v>
                </c:pt>
                <c:pt idx="906">
                  <c:v>3.4028947107068603</c:v>
                </c:pt>
                <c:pt idx="907">
                  <c:v>3.4029189160204774</c:v>
                </c:pt>
                <c:pt idx="908">
                  <c:v>3.402943120771726</c:v>
                </c:pt>
                <c:pt idx="909">
                  <c:v>3.4029673249606138</c:v>
                </c:pt>
                <c:pt idx="910">
                  <c:v>3.4029915285871475</c:v>
                </c:pt>
                <c:pt idx="911">
                  <c:v>3.4030157316513359</c:v>
                </c:pt>
                <c:pt idx="912">
                  <c:v>3.4030399341531856</c:v>
                </c:pt>
                <c:pt idx="913">
                  <c:v>3.4030641360927061</c:v>
                </c:pt>
                <c:pt idx="914">
                  <c:v>3.403088337469903</c:v>
                </c:pt>
                <c:pt idx="915">
                  <c:v>3.4031125382847853</c:v>
                </c:pt>
                <c:pt idx="916">
                  <c:v>3.403136738537361</c:v>
                </c:pt>
                <c:pt idx="917">
                  <c:v>3.4031609382276367</c:v>
                </c:pt>
                <c:pt idx="918">
                  <c:v>3.4031851373556194</c:v>
                </c:pt>
                <c:pt idx="919">
                  <c:v>3.4032093359213182</c:v>
                </c:pt>
                <c:pt idx="920">
                  <c:v>3.4032335339247415</c:v>
                </c:pt>
                <c:pt idx="921">
                  <c:v>3.4032577313658954</c:v>
                </c:pt>
                <c:pt idx="922">
                  <c:v>3.4032819282447866</c:v>
                </c:pt>
                <c:pt idx="923">
                  <c:v>3.4033061245614262</c:v>
                </c:pt>
                <c:pt idx="924">
                  <c:v>3.4033303203158183</c:v>
                </c:pt>
                <c:pt idx="925">
                  <c:v>3.4033545155079743</c:v>
                </c:pt>
                <c:pt idx="926">
                  <c:v>3.4033787101378969</c:v>
                </c:pt>
                <c:pt idx="927">
                  <c:v>3.4034029042055964</c:v>
                </c:pt>
                <c:pt idx="928">
                  <c:v>3.4034270977110852</c:v>
                </c:pt>
                <c:pt idx="929">
                  <c:v>3.4034512906543632</c:v>
                </c:pt>
                <c:pt idx="930">
                  <c:v>3.4034754830354412</c:v>
                </c:pt>
                <c:pt idx="931">
                  <c:v>3.4034996748543285</c:v>
                </c:pt>
                <c:pt idx="932">
                  <c:v>3.4035238661110307</c:v>
                </c:pt>
                <c:pt idx="933">
                  <c:v>3.4035480568055556</c:v>
                </c:pt>
                <c:pt idx="934">
                  <c:v>3.4035722469379124</c:v>
                </c:pt>
                <c:pt idx="935">
                  <c:v>3.4035964365081077</c:v>
                </c:pt>
                <c:pt idx="936">
                  <c:v>3.4036206255161474</c:v>
                </c:pt>
                <c:pt idx="937">
                  <c:v>3.4036448139620448</c:v>
                </c:pt>
                <c:pt idx="938">
                  <c:v>3.4036690018458011</c:v>
                </c:pt>
                <c:pt idx="939">
                  <c:v>3.4036931891674276</c:v>
                </c:pt>
                <c:pt idx="940">
                  <c:v>3.4037173759269304</c:v>
                </c:pt>
                <c:pt idx="941">
                  <c:v>3.4037415621243188</c:v>
                </c:pt>
                <c:pt idx="942">
                  <c:v>3.4037657477596004</c:v>
                </c:pt>
                <c:pt idx="943">
                  <c:v>3.4037899328327805</c:v>
                </c:pt>
                <c:pt idx="944">
                  <c:v>3.4038141173438676</c:v>
                </c:pt>
                <c:pt idx="945">
                  <c:v>3.4038383012928715</c:v>
                </c:pt>
                <c:pt idx="946">
                  <c:v>3.4038624846797987</c:v>
                </c:pt>
                <c:pt idx="947">
                  <c:v>3.403886667504656</c:v>
                </c:pt>
                <c:pt idx="948">
                  <c:v>3.4039108497674513</c:v>
                </c:pt>
                <c:pt idx="949">
                  <c:v>3.4039350314681935</c:v>
                </c:pt>
                <c:pt idx="950">
                  <c:v>3.4039592126068903</c:v>
                </c:pt>
                <c:pt idx="951">
                  <c:v>3.4039833931835468</c:v>
                </c:pt>
                <c:pt idx="952">
                  <c:v>3.4040075731981752</c:v>
                </c:pt>
                <c:pt idx="953">
                  <c:v>3.4040317526507793</c:v>
                </c:pt>
                <c:pt idx="954">
                  <c:v>3.4040559315413681</c:v>
                </c:pt>
                <c:pt idx="955">
                  <c:v>3.4040801098699478</c:v>
                </c:pt>
                <c:pt idx="956">
                  <c:v>3.4041042876365295</c:v>
                </c:pt>
                <c:pt idx="957">
                  <c:v>3.4041284648411181</c:v>
                </c:pt>
                <c:pt idx="958">
                  <c:v>3.4041526414837211</c:v>
                </c:pt>
                <c:pt idx="959">
                  <c:v>3.4041768175643483</c:v>
                </c:pt>
                <c:pt idx="960">
                  <c:v>3.4042009930830064</c:v>
                </c:pt>
                <c:pt idx="961">
                  <c:v>3.4042251680397011</c:v>
                </c:pt>
                <c:pt idx="962">
                  <c:v>3.4042493424344449</c:v>
                </c:pt>
                <c:pt idx="963">
                  <c:v>3.40427351626724</c:v>
                </c:pt>
                <c:pt idx="964">
                  <c:v>3.4042976895380974</c:v>
                </c:pt>
                <c:pt idx="965">
                  <c:v>3.404321862247023</c:v>
                </c:pt>
                <c:pt idx="966">
                  <c:v>3.4043460343940266</c:v>
                </c:pt>
                <c:pt idx="967">
                  <c:v>3.4043702059791134</c:v>
                </c:pt>
                <c:pt idx="968">
                  <c:v>3.4043943770022933</c:v>
                </c:pt>
                <c:pt idx="969">
                  <c:v>3.4044185474635724</c:v>
                </c:pt>
                <c:pt idx="970">
                  <c:v>3.4044427173629606</c:v>
                </c:pt>
                <c:pt idx="971">
                  <c:v>3.4044668867004639</c:v>
                </c:pt>
                <c:pt idx="972">
                  <c:v>3.4044910554760897</c:v>
                </c:pt>
                <c:pt idx="973">
                  <c:v>3.4045152236898466</c:v>
                </c:pt>
                <c:pt idx="974">
                  <c:v>3.4045393913417419</c:v>
                </c:pt>
                <c:pt idx="975">
                  <c:v>3.4045635584317817</c:v>
                </c:pt>
                <c:pt idx="976">
                  <c:v>3.4045877249599763</c:v>
                </c:pt>
                <c:pt idx="977">
                  <c:v>3.4046118909263332</c:v>
                </c:pt>
                <c:pt idx="978">
                  <c:v>3.4046360563308582</c:v>
                </c:pt>
                <c:pt idx="979">
                  <c:v>3.4046602211735602</c:v>
                </c:pt>
                <c:pt idx="980">
                  <c:v>3.4046843854544471</c:v>
                </c:pt>
                <c:pt idx="981">
                  <c:v>3.4047085491735256</c:v>
                </c:pt>
                <c:pt idx="982">
                  <c:v>3.4047327123308047</c:v>
                </c:pt>
                <c:pt idx="983">
                  <c:v>3.4047568749262913</c:v>
                </c:pt>
                <c:pt idx="984">
                  <c:v>3.4047810369599927</c:v>
                </c:pt>
                <c:pt idx="985">
                  <c:v>3.4048051984319181</c:v>
                </c:pt>
                <c:pt idx="986">
                  <c:v>3.4048293593420729</c:v>
                </c:pt>
                <c:pt idx="987">
                  <c:v>3.4048535196904677</c:v>
                </c:pt>
                <c:pt idx="988">
                  <c:v>3.4048776794771078</c:v>
                </c:pt>
                <c:pt idx="989">
                  <c:v>3.4049018387020014</c:v>
                </c:pt>
                <c:pt idx="990">
                  <c:v>3.4049259973651549</c:v>
                </c:pt>
                <c:pt idx="991">
                  <c:v>3.4049501554665804</c:v>
                </c:pt>
                <c:pt idx="992">
                  <c:v>3.4049743130062815</c:v>
                </c:pt>
                <c:pt idx="993">
                  <c:v>3.4049984699842657</c:v>
                </c:pt>
                <c:pt idx="994">
                  <c:v>3.405022626400545</c:v>
                </c:pt>
                <c:pt idx="995">
                  <c:v>3.4050467822551216</c:v>
                </c:pt>
                <c:pt idx="996">
                  <c:v>3.4050709375480079</c:v>
                </c:pt>
                <c:pt idx="997">
                  <c:v>3.4050950922792085</c:v>
                </c:pt>
                <c:pt idx="998">
                  <c:v>3.4051192464487325</c:v>
                </c:pt>
                <c:pt idx="999">
                  <c:v>3.4051434000565881</c:v>
                </c:pt>
                <c:pt idx="1000">
                  <c:v>3.4051675531027805</c:v>
                </c:pt>
              </c:numCache>
            </c:numRef>
          </c:yVal>
        </c:ser>
        <c:axId val="149500672"/>
        <c:axId val="149502592"/>
      </c:scatterChart>
      <c:valAx>
        <c:axId val="149500672"/>
        <c:scaling>
          <c:orientation val="minMax"/>
        </c:scaling>
        <c:axPos val="b"/>
        <c:majorGridlines>
          <c:spPr>
            <a:ln w="3175">
              <a:solidFill>
                <a:srgbClr val="000000"/>
              </a:solidFill>
              <a:prstDash val="sysDash"/>
            </a:ln>
          </c:spPr>
        </c:majorGridlines>
        <c:title>
          <c:tx>
            <c:strRef>
              <c:f>Courbes!$B$146</c:f>
              <c:strCache>
                <c:ptCount val="1"/>
                <c:pt idx="0">
                  <c:v>Temps [s]</c:v>
                </c:pt>
              </c:strCache>
            </c:strRef>
          </c:tx>
          <c:layout/>
          <c:txPr>
            <a:bodyPr/>
            <a:lstStyle/>
            <a:p>
              <a:pPr>
                <a:defRPr sz="1000" b="1" i="0" u="none" strike="noStrike" baseline="0">
                  <a:solidFill>
                    <a:srgbClr val="000000"/>
                  </a:solidFill>
                  <a:latin typeface="Arial"/>
                  <a:ea typeface="Arial"/>
                  <a:cs typeface="Arial"/>
                </a:defRPr>
              </a:pPr>
              <a:endParaRPr lang="fr-FR"/>
            </a:p>
          </c:txPr>
        </c:title>
        <c:numFmt formatCode="0" sourceLinked="0"/>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spPr>
            <a:noFill/>
            <a:ln w="25400">
              <a:noFill/>
            </a:ln>
          </c:spPr>
        </c:title>
        <c:numFmt formatCode="0" sourceLinked="0"/>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strRef>
          <c:f>Courbes!$B$140</c:f>
          <c:strCache>
            <c:ptCount val="1"/>
            <c:pt idx="0">
              <c:v>Vitesse</c:v>
            </c:pt>
          </c:strCache>
        </c:strRef>
      </c:tx>
      <c:layout/>
      <c:overlay val="1"/>
      <c:txPr>
        <a:bodyPr/>
        <a:lstStyle/>
        <a:p>
          <a:pPr>
            <a:defRPr sz="1200" b="1" i="0" u="none" strike="noStrike" baseline="0">
              <a:solidFill>
                <a:srgbClr val="000000"/>
              </a:solidFill>
              <a:latin typeface="Arial"/>
              <a:ea typeface="Arial"/>
              <a:cs typeface="Arial"/>
            </a:defRPr>
          </a:pPr>
          <a:endParaRPr lang="fr-FR"/>
        </a:p>
      </c:txPr>
    </c:title>
    <c:plotArea>
      <c:layout>
        <c:manualLayout>
          <c:layoutTarget val="inner"/>
          <c:xMode val="edge"/>
          <c:yMode val="edge"/>
          <c:x val="0.10495283018867926"/>
          <c:y val="9.4771544282144501E-2"/>
          <c:w val="0.87617924528302116"/>
          <c:h val="0.74183243282920064"/>
        </c:manualLayout>
      </c:layout>
      <c:scatterChart>
        <c:scatterStyle val="lineMarker"/>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16.900099999999973</c:v>
                </c:pt>
                <c:pt idx="351">
                  <c:v>16.900199999999973</c:v>
                </c:pt>
                <c:pt idx="352">
                  <c:v>16.900299999999973</c:v>
                </c:pt>
                <c:pt idx="353">
                  <c:v>16.900399999999973</c:v>
                </c:pt>
                <c:pt idx="354">
                  <c:v>16.900499999999973</c:v>
                </c:pt>
                <c:pt idx="355">
                  <c:v>16.900599999999972</c:v>
                </c:pt>
                <c:pt idx="356">
                  <c:v>16.900699999999972</c:v>
                </c:pt>
                <c:pt idx="357">
                  <c:v>16.900799999999972</c:v>
                </c:pt>
                <c:pt idx="358">
                  <c:v>16.900899999999972</c:v>
                </c:pt>
                <c:pt idx="359">
                  <c:v>16.900999999999971</c:v>
                </c:pt>
                <c:pt idx="360">
                  <c:v>16.901099999999971</c:v>
                </c:pt>
                <c:pt idx="361">
                  <c:v>16.901199999999971</c:v>
                </c:pt>
                <c:pt idx="362">
                  <c:v>16.901299999999971</c:v>
                </c:pt>
                <c:pt idx="363">
                  <c:v>16.90139999999997</c:v>
                </c:pt>
                <c:pt idx="364">
                  <c:v>16.90149999999997</c:v>
                </c:pt>
                <c:pt idx="365">
                  <c:v>16.90159999999997</c:v>
                </c:pt>
                <c:pt idx="366">
                  <c:v>16.90169999999997</c:v>
                </c:pt>
                <c:pt idx="367">
                  <c:v>16.90179999999997</c:v>
                </c:pt>
                <c:pt idx="368">
                  <c:v>16.901899999999969</c:v>
                </c:pt>
                <c:pt idx="369">
                  <c:v>16.901999999999969</c:v>
                </c:pt>
                <c:pt idx="370">
                  <c:v>16.902099999999969</c:v>
                </c:pt>
                <c:pt idx="371">
                  <c:v>16.902199999999969</c:v>
                </c:pt>
                <c:pt idx="372">
                  <c:v>16.902299999999968</c:v>
                </c:pt>
                <c:pt idx="373">
                  <c:v>16.902399999999968</c:v>
                </c:pt>
                <c:pt idx="374">
                  <c:v>16.902499999999968</c:v>
                </c:pt>
                <c:pt idx="375">
                  <c:v>16.902599999999968</c:v>
                </c:pt>
                <c:pt idx="376">
                  <c:v>16.902699999999967</c:v>
                </c:pt>
                <c:pt idx="377">
                  <c:v>16.902799999999967</c:v>
                </c:pt>
                <c:pt idx="378">
                  <c:v>16.902899999999967</c:v>
                </c:pt>
                <c:pt idx="379">
                  <c:v>16.902999999999967</c:v>
                </c:pt>
                <c:pt idx="380">
                  <c:v>16.903099999999966</c:v>
                </c:pt>
                <c:pt idx="381">
                  <c:v>16.903199999999966</c:v>
                </c:pt>
                <c:pt idx="382">
                  <c:v>16.903299999999966</c:v>
                </c:pt>
                <c:pt idx="383">
                  <c:v>16.903399999999966</c:v>
                </c:pt>
                <c:pt idx="384">
                  <c:v>16.903499999999966</c:v>
                </c:pt>
                <c:pt idx="385">
                  <c:v>16.903599999999965</c:v>
                </c:pt>
                <c:pt idx="386">
                  <c:v>16.903699999999965</c:v>
                </c:pt>
                <c:pt idx="387">
                  <c:v>16.903799999999965</c:v>
                </c:pt>
                <c:pt idx="388">
                  <c:v>16.903899999999965</c:v>
                </c:pt>
                <c:pt idx="389">
                  <c:v>16.903999999999964</c:v>
                </c:pt>
                <c:pt idx="390">
                  <c:v>16.904099999999964</c:v>
                </c:pt>
                <c:pt idx="391">
                  <c:v>16.904199999999964</c:v>
                </c:pt>
                <c:pt idx="392">
                  <c:v>16.904299999999964</c:v>
                </c:pt>
                <c:pt idx="393">
                  <c:v>16.904399999999963</c:v>
                </c:pt>
                <c:pt idx="394">
                  <c:v>16.904499999999963</c:v>
                </c:pt>
                <c:pt idx="395">
                  <c:v>16.904599999999963</c:v>
                </c:pt>
                <c:pt idx="396">
                  <c:v>16.904699999999963</c:v>
                </c:pt>
                <c:pt idx="397">
                  <c:v>16.904799999999963</c:v>
                </c:pt>
                <c:pt idx="398">
                  <c:v>16.904899999999962</c:v>
                </c:pt>
                <c:pt idx="399">
                  <c:v>16.904999999999962</c:v>
                </c:pt>
                <c:pt idx="400">
                  <c:v>16.905099999999962</c:v>
                </c:pt>
                <c:pt idx="401">
                  <c:v>16.905199999999962</c:v>
                </c:pt>
                <c:pt idx="402">
                  <c:v>16.905299999999961</c:v>
                </c:pt>
                <c:pt idx="403">
                  <c:v>16.905399999999961</c:v>
                </c:pt>
                <c:pt idx="404">
                  <c:v>16.905499999999961</c:v>
                </c:pt>
                <c:pt idx="405">
                  <c:v>16.905599999999961</c:v>
                </c:pt>
                <c:pt idx="406">
                  <c:v>16.90569999999996</c:v>
                </c:pt>
                <c:pt idx="407">
                  <c:v>16.90579999999996</c:v>
                </c:pt>
                <c:pt idx="408">
                  <c:v>16.90589999999996</c:v>
                </c:pt>
                <c:pt idx="409">
                  <c:v>16.90599999999996</c:v>
                </c:pt>
                <c:pt idx="410">
                  <c:v>16.906099999999959</c:v>
                </c:pt>
                <c:pt idx="411">
                  <c:v>16.906199999999959</c:v>
                </c:pt>
                <c:pt idx="412">
                  <c:v>16.906299999999959</c:v>
                </c:pt>
                <c:pt idx="413">
                  <c:v>16.906399999999959</c:v>
                </c:pt>
                <c:pt idx="414">
                  <c:v>16.906499999999959</c:v>
                </c:pt>
                <c:pt idx="415">
                  <c:v>16.906599999999958</c:v>
                </c:pt>
                <c:pt idx="416">
                  <c:v>16.906699999999958</c:v>
                </c:pt>
                <c:pt idx="417">
                  <c:v>16.906799999999958</c:v>
                </c:pt>
                <c:pt idx="418">
                  <c:v>16.906899999999958</c:v>
                </c:pt>
                <c:pt idx="419">
                  <c:v>16.906999999999957</c:v>
                </c:pt>
                <c:pt idx="420">
                  <c:v>16.907099999999957</c:v>
                </c:pt>
                <c:pt idx="421">
                  <c:v>16.907199999999957</c:v>
                </c:pt>
                <c:pt idx="422">
                  <c:v>16.907299999999957</c:v>
                </c:pt>
                <c:pt idx="423">
                  <c:v>16.907399999999956</c:v>
                </c:pt>
                <c:pt idx="424">
                  <c:v>16.907499999999956</c:v>
                </c:pt>
                <c:pt idx="425">
                  <c:v>16.907599999999956</c:v>
                </c:pt>
                <c:pt idx="426">
                  <c:v>16.907699999999956</c:v>
                </c:pt>
                <c:pt idx="427">
                  <c:v>16.907799999999956</c:v>
                </c:pt>
                <c:pt idx="428">
                  <c:v>16.907899999999955</c:v>
                </c:pt>
                <c:pt idx="429">
                  <c:v>16.907999999999955</c:v>
                </c:pt>
                <c:pt idx="430">
                  <c:v>16.908099999999955</c:v>
                </c:pt>
                <c:pt idx="431">
                  <c:v>16.908199999999955</c:v>
                </c:pt>
                <c:pt idx="432">
                  <c:v>16.908299999999954</c:v>
                </c:pt>
                <c:pt idx="433">
                  <c:v>16.908399999999954</c:v>
                </c:pt>
                <c:pt idx="434">
                  <c:v>16.908499999999954</c:v>
                </c:pt>
                <c:pt idx="435">
                  <c:v>16.908599999999954</c:v>
                </c:pt>
                <c:pt idx="436">
                  <c:v>16.908699999999953</c:v>
                </c:pt>
                <c:pt idx="437">
                  <c:v>16.908799999999953</c:v>
                </c:pt>
                <c:pt idx="438">
                  <c:v>16.908899999999953</c:v>
                </c:pt>
                <c:pt idx="439">
                  <c:v>16.908999999999953</c:v>
                </c:pt>
                <c:pt idx="440">
                  <c:v>16.909099999999953</c:v>
                </c:pt>
                <c:pt idx="441">
                  <c:v>16.909199999999952</c:v>
                </c:pt>
                <c:pt idx="442">
                  <c:v>16.909299999999952</c:v>
                </c:pt>
                <c:pt idx="443">
                  <c:v>16.909399999999952</c:v>
                </c:pt>
                <c:pt idx="444">
                  <c:v>16.909499999999952</c:v>
                </c:pt>
                <c:pt idx="445">
                  <c:v>16.909599999999951</c:v>
                </c:pt>
                <c:pt idx="446">
                  <c:v>16.909699999999951</c:v>
                </c:pt>
                <c:pt idx="447">
                  <c:v>16.909799999999951</c:v>
                </c:pt>
                <c:pt idx="448">
                  <c:v>16.909899999999951</c:v>
                </c:pt>
                <c:pt idx="449">
                  <c:v>16.90999999999995</c:v>
                </c:pt>
                <c:pt idx="450">
                  <c:v>16.91009999999995</c:v>
                </c:pt>
                <c:pt idx="451">
                  <c:v>16.91019999999995</c:v>
                </c:pt>
                <c:pt idx="452">
                  <c:v>16.91029999999995</c:v>
                </c:pt>
                <c:pt idx="453">
                  <c:v>16.910399999999949</c:v>
                </c:pt>
                <c:pt idx="454">
                  <c:v>16.910499999999949</c:v>
                </c:pt>
                <c:pt idx="455">
                  <c:v>16.910599999999949</c:v>
                </c:pt>
                <c:pt idx="456">
                  <c:v>16.910699999999949</c:v>
                </c:pt>
                <c:pt idx="457">
                  <c:v>16.910799999999949</c:v>
                </c:pt>
                <c:pt idx="458">
                  <c:v>16.910899999999948</c:v>
                </c:pt>
                <c:pt idx="459">
                  <c:v>16.910999999999948</c:v>
                </c:pt>
                <c:pt idx="460">
                  <c:v>16.911099999999948</c:v>
                </c:pt>
                <c:pt idx="461">
                  <c:v>16.911199999999948</c:v>
                </c:pt>
                <c:pt idx="462">
                  <c:v>16.911299999999947</c:v>
                </c:pt>
                <c:pt idx="463">
                  <c:v>16.911399999999947</c:v>
                </c:pt>
                <c:pt idx="464">
                  <c:v>16.911499999999947</c:v>
                </c:pt>
                <c:pt idx="465">
                  <c:v>16.911599999999947</c:v>
                </c:pt>
                <c:pt idx="466">
                  <c:v>16.911699999999946</c:v>
                </c:pt>
                <c:pt idx="467">
                  <c:v>16.911799999999946</c:v>
                </c:pt>
                <c:pt idx="468">
                  <c:v>16.911899999999946</c:v>
                </c:pt>
                <c:pt idx="469">
                  <c:v>16.911999999999946</c:v>
                </c:pt>
                <c:pt idx="470">
                  <c:v>16.912099999999946</c:v>
                </c:pt>
                <c:pt idx="471">
                  <c:v>16.912199999999945</c:v>
                </c:pt>
                <c:pt idx="472">
                  <c:v>16.912299999999945</c:v>
                </c:pt>
                <c:pt idx="473">
                  <c:v>16.912399999999945</c:v>
                </c:pt>
                <c:pt idx="474">
                  <c:v>16.912499999999945</c:v>
                </c:pt>
                <c:pt idx="475">
                  <c:v>16.912599999999944</c:v>
                </c:pt>
                <c:pt idx="476">
                  <c:v>16.912699999999944</c:v>
                </c:pt>
                <c:pt idx="477">
                  <c:v>16.912799999999944</c:v>
                </c:pt>
                <c:pt idx="478">
                  <c:v>16.912899999999944</c:v>
                </c:pt>
                <c:pt idx="479">
                  <c:v>16.912999999999943</c:v>
                </c:pt>
                <c:pt idx="480">
                  <c:v>16.913099999999943</c:v>
                </c:pt>
                <c:pt idx="481">
                  <c:v>16.913199999999943</c:v>
                </c:pt>
                <c:pt idx="482">
                  <c:v>16.913299999999943</c:v>
                </c:pt>
                <c:pt idx="483">
                  <c:v>16.913399999999942</c:v>
                </c:pt>
                <c:pt idx="484">
                  <c:v>16.913499999999942</c:v>
                </c:pt>
                <c:pt idx="485">
                  <c:v>16.913599999999942</c:v>
                </c:pt>
                <c:pt idx="486">
                  <c:v>16.913699999999942</c:v>
                </c:pt>
                <c:pt idx="487">
                  <c:v>16.913799999999942</c:v>
                </c:pt>
                <c:pt idx="488">
                  <c:v>16.913899999999941</c:v>
                </c:pt>
                <c:pt idx="489">
                  <c:v>16.913999999999941</c:v>
                </c:pt>
                <c:pt idx="490">
                  <c:v>16.914099999999941</c:v>
                </c:pt>
                <c:pt idx="491">
                  <c:v>16.914199999999941</c:v>
                </c:pt>
                <c:pt idx="492">
                  <c:v>16.91429999999994</c:v>
                </c:pt>
                <c:pt idx="493">
                  <c:v>16.91439999999994</c:v>
                </c:pt>
                <c:pt idx="494">
                  <c:v>16.91449999999994</c:v>
                </c:pt>
                <c:pt idx="495">
                  <c:v>16.91459999999994</c:v>
                </c:pt>
                <c:pt idx="496">
                  <c:v>16.914699999999939</c:v>
                </c:pt>
                <c:pt idx="497">
                  <c:v>16.914799999999939</c:v>
                </c:pt>
                <c:pt idx="498">
                  <c:v>16.914899999999939</c:v>
                </c:pt>
                <c:pt idx="499">
                  <c:v>16.914999999999939</c:v>
                </c:pt>
                <c:pt idx="500">
                  <c:v>16.915099999999939</c:v>
                </c:pt>
                <c:pt idx="501">
                  <c:v>16.915199999999938</c:v>
                </c:pt>
                <c:pt idx="502">
                  <c:v>16.915299999999938</c:v>
                </c:pt>
                <c:pt idx="503">
                  <c:v>16.915399999999938</c:v>
                </c:pt>
                <c:pt idx="504">
                  <c:v>16.915499999999938</c:v>
                </c:pt>
                <c:pt idx="505">
                  <c:v>16.915599999999937</c:v>
                </c:pt>
                <c:pt idx="506">
                  <c:v>16.915699999999937</c:v>
                </c:pt>
                <c:pt idx="507">
                  <c:v>16.915799999999937</c:v>
                </c:pt>
                <c:pt idx="508">
                  <c:v>16.915899999999937</c:v>
                </c:pt>
                <c:pt idx="509">
                  <c:v>16.915999999999936</c:v>
                </c:pt>
                <c:pt idx="510">
                  <c:v>16.916099999999936</c:v>
                </c:pt>
                <c:pt idx="511">
                  <c:v>16.916199999999936</c:v>
                </c:pt>
                <c:pt idx="512">
                  <c:v>16.916299999999936</c:v>
                </c:pt>
                <c:pt idx="513">
                  <c:v>16.916399999999935</c:v>
                </c:pt>
                <c:pt idx="514">
                  <c:v>16.916499999999935</c:v>
                </c:pt>
                <c:pt idx="515">
                  <c:v>16.916599999999935</c:v>
                </c:pt>
                <c:pt idx="516">
                  <c:v>16.916699999999935</c:v>
                </c:pt>
                <c:pt idx="517">
                  <c:v>16.916799999999935</c:v>
                </c:pt>
                <c:pt idx="518">
                  <c:v>16.916899999999934</c:v>
                </c:pt>
                <c:pt idx="519">
                  <c:v>16.916999999999934</c:v>
                </c:pt>
                <c:pt idx="520">
                  <c:v>16.917099999999934</c:v>
                </c:pt>
                <c:pt idx="521">
                  <c:v>16.917199999999934</c:v>
                </c:pt>
                <c:pt idx="522">
                  <c:v>16.917299999999933</c:v>
                </c:pt>
                <c:pt idx="523">
                  <c:v>16.917399999999933</c:v>
                </c:pt>
                <c:pt idx="524">
                  <c:v>16.917499999999933</c:v>
                </c:pt>
                <c:pt idx="525">
                  <c:v>16.917599999999933</c:v>
                </c:pt>
                <c:pt idx="526">
                  <c:v>16.917699999999932</c:v>
                </c:pt>
                <c:pt idx="527">
                  <c:v>16.917799999999932</c:v>
                </c:pt>
                <c:pt idx="528">
                  <c:v>16.917899999999932</c:v>
                </c:pt>
                <c:pt idx="529">
                  <c:v>16.917999999999932</c:v>
                </c:pt>
                <c:pt idx="530">
                  <c:v>16.918099999999932</c:v>
                </c:pt>
                <c:pt idx="531">
                  <c:v>16.918199999999931</c:v>
                </c:pt>
                <c:pt idx="532">
                  <c:v>16.918299999999931</c:v>
                </c:pt>
                <c:pt idx="533">
                  <c:v>16.918399999999931</c:v>
                </c:pt>
                <c:pt idx="534">
                  <c:v>16.918499999999931</c:v>
                </c:pt>
                <c:pt idx="535">
                  <c:v>16.91859999999993</c:v>
                </c:pt>
                <c:pt idx="536">
                  <c:v>16.91869999999993</c:v>
                </c:pt>
                <c:pt idx="537">
                  <c:v>16.91879999999993</c:v>
                </c:pt>
                <c:pt idx="538">
                  <c:v>16.91889999999993</c:v>
                </c:pt>
                <c:pt idx="539">
                  <c:v>16.918999999999929</c:v>
                </c:pt>
                <c:pt idx="540">
                  <c:v>16.919099999999929</c:v>
                </c:pt>
                <c:pt idx="541">
                  <c:v>16.919199999999929</c:v>
                </c:pt>
                <c:pt idx="542">
                  <c:v>16.919299999999929</c:v>
                </c:pt>
                <c:pt idx="543">
                  <c:v>16.919399999999928</c:v>
                </c:pt>
                <c:pt idx="544">
                  <c:v>16.919499999999928</c:v>
                </c:pt>
                <c:pt idx="545">
                  <c:v>16.919599999999928</c:v>
                </c:pt>
                <c:pt idx="546">
                  <c:v>16.919699999999928</c:v>
                </c:pt>
                <c:pt idx="547">
                  <c:v>16.919799999999928</c:v>
                </c:pt>
                <c:pt idx="548">
                  <c:v>16.919899999999927</c:v>
                </c:pt>
                <c:pt idx="549">
                  <c:v>16.919999999999927</c:v>
                </c:pt>
                <c:pt idx="550">
                  <c:v>16.920099999999927</c:v>
                </c:pt>
                <c:pt idx="551">
                  <c:v>16.920199999999927</c:v>
                </c:pt>
                <c:pt idx="552">
                  <c:v>16.920299999999926</c:v>
                </c:pt>
                <c:pt idx="553">
                  <c:v>16.920399999999926</c:v>
                </c:pt>
                <c:pt idx="554">
                  <c:v>16.920499999999926</c:v>
                </c:pt>
                <c:pt idx="555">
                  <c:v>16.920599999999926</c:v>
                </c:pt>
                <c:pt idx="556">
                  <c:v>16.920699999999925</c:v>
                </c:pt>
                <c:pt idx="557">
                  <c:v>16.920799999999925</c:v>
                </c:pt>
                <c:pt idx="558">
                  <c:v>16.920899999999925</c:v>
                </c:pt>
                <c:pt idx="559">
                  <c:v>16.920999999999925</c:v>
                </c:pt>
                <c:pt idx="560">
                  <c:v>16.921099999999925</c:v>
                </c:pt>
                <c:pt idx="561">
                  <c:v>16.921199999999924</c:v>
                </c:pt>
                <c:pt idx="562">
                  <c:v>16.921299999999924</c:v>
                </c:pt>
                <c:pt idx="563">
                  <c:v>16.921399999999924</c:v>
                </c:pt>
                <c:pt idx="564">
                  <c:v>16.921499999999924</c:v>
                </c:pt>
                <c:pt idx="565">
                  <c:v>16.921599999999923</c:v>
                </c:pt>
                <c:pt idx="566">
                  <c:v>16.921699999999923</c:v>
                </c:pt>
                <c:pt idx="567">
                  <c:v>16.921799999999923</c:v>
                </c:pt>
                <c:pt idx="568">
                  <c:v>16.921899999999923</c:v>
                </c:pt>
                <c:pt idx="569">
                  <c:v>16.921999999999922</c:v>
                </c:pt>
                <c:pt idx="570">
                  <c:v>16.922099999999922</c:v>
                </c:pt>
                <c:pt idx="571">
                  <c:v>16.922199999999922</c:v>
                </c:pt>
                <c:pt idx="572">
                  <c:v>16.922299999999922</c:v>
                </c:pt>
                <c:pt idx="573">
                  <c:v>16.922399999999922</c:v>
                </c:pt>
                <c:pt idx="574">
                  <c:v>16.922499999999921</c:v>
                </c:pt>
                <c:pt idx="575">
                  <c:v>16.922599999999921</c:v>
                </c:pt>
                <c:pt idx="576">
                  <c:v>16.922699999999921</c:v>
                </c:pt>
                <c:pt idx="577">
                  <c:v>16.922799999999921</c:v>
                </c:pt>
                <c:pt idx="578">
                  <c:v>16.92289999999992</c:v>
                </c:pt>
                <c:pt idx="579">
                  <c:v>16.92299999999992</c:v>
                </c:pt>
                <c:pt idx="580">
                  <c:v>16.92309999999992</c:v>
                </c:pt>
                <c:pt idx="581">
                  <c:v>16.92319999999992</c:v>
                </c:pt>
                <c:pt idx="582">
                  <c:v>16.923299999999919</c:v>
                </c:pt>
                <c:pt idx="583">
                  <c:v>16.923399999999919</c:v>
                </c:pt>
                <c:pt idx="584">
                  <c:v>16.923499999999919</c:v>
                </c:pt>
                <c:pt idx="585">
                  <c:v>16.923599999999919</c:v>
                </c:pt>
                <c:pt idx="586">
                  <c:v>16.923699999999918</c:v>
                </c:pt>
                <c:pt idx="587">
                  <c:v>16.923799999999918</c:v>
                </c:pt>
                <c:pt idx="588">
                  <c:v>16.923899999999918</c:v>
                </c:pt>
                <c:pt idx="589">
                  <c:v>16.923999999999918</c:v>
                </c:pt>
                <c:pt idx="590">
                  <c:v>16.924099999999918</c:v>
                </c:pt>
                <c:pt idx="591">
                  <c:v>16.924199999999917</c:v>
                </c:pt>
                <c:pt idx="592">
                  <c:v>16.924299999999917</c:v>
                </c:pt>
                <c:pt idx="593">
                  <c:v>16.924399999999917</c:v>
                </c:pt>
                <c:pt idx="594">
                  <c:v>16.924499999999917</c:v>
                </c:pt>
                <c:pt idx="595">
                  <c:v>16.924599999999916</c:v>
                </c:pt>
                <c:pt idx="596">
                  <c:v>16.924699999999916</c:v>
                </c:pt>
                <c:pt idx="597">
                  <c:v>16.924799999999916</c:v>
                </c:pt>
                <c:pt idx="598">
                  <c:v>16.924899999999916</c:v>
                </c:pt>
                <c:pt idx="599">
                  <c:v>16.924999999999915</c:v>
                </c:pt>
                <c:pt idx="600">
                  <c:v>16.925099999999915</c:v>
                </c:pt>
                <c:pt idx="601">
                  <c:v>16.925199999999915</c:v>
                </c:pt>
                <c:pt idx="602">
                  <c:v>16.925299999999915</c:v>
                </c:pt>
                <c:pt idx="603">
                  <c:v>16.925399999999915</c:v>
                </c:pt>
                <c:pt idx="604">
                  <c:v>16.925499999999914</c:v>
                </c:pt>
                <c:pt idx="605">
                  <c:v>16.925599999999914</c:v>
                </c:pt>
                <c:pt idx="606">
                  <c:v>16.925699999999914</c:v>
                </c:pt>
                <c:pt idx="607">
                  <c:v>16.925799999999914</c:v>
                </c:pt>
                <c:pt idx="608">
                  <c:v>16.925899999999913</c:v>
                </c:pt>
                <c:pt idx="609">
                  <c:v>16.925999999999913</c:v>
                </c:pt>
                <c:pt idx="610">
                  <c:v>16.926099999999913</c:v>
                </c:pt>
                <c:pt idx="611">
                  <c:v>16.926199999999913</c:v>
                </c:pt>
                <c:pt idx="612">
                  <c:v>16.926299999999912</c:v>
                </c:pt>
                <c:pt idx="613">
                  <c:v>16.926399999999912</c:v>
                </c:pt>
                <c:pt idx="614">
                  <c:v>16.926499999999912</c:v>
                </c:pt>
                <c:pt idx="615">
                  <c:v>16.926599999999912</c:v>
                </c:pt>
                <c:pt idx="616">
                  <c:v>16.926699999999911</c:v>
                </c:pt>
                <c:pt idx="617">
                  <c:v>16.926799999999911</c:v>
                </c:pt>
                <c:pt idx="618">
                  <c:v>16.926899999999911</c:v>
                </c:pt>
                <c:pt idx="619">
                  <c:v>16.926999999999911</c:v>
                </c:pt>
                <c:pt idx="620">
                  <c:v>16.927099999999911</c:v>
                </c:pt>
                <c:pt idx="621">
                  <c:v>16.92719999999991</c:v>
                </c:pt>
                <c:pt idx="622">
                  <c:v>16.92729999999991</c:v>
                </c:pt>
                <c:pt idx="623">
                  <c:v>16.92739999999991</c:v>
                </c:pt>
                <c:pt idx="624">
                  <c:v>16.92749999999991</c:v>
                </c:pt>
                <c:pt idx="625">
                  <c:v>16.927599999999909</c:v>
                </c:pt>
                <c:pt idx="626">
                  <c:v>16.927699999999909</c:v>
                </c:pt>
                <c:pt idx="627">
                  <c:v>16.927799999999909</c:v>
                </c:pt>
                <c:pt idx="628">
                  <c:v>16.927899999999909</c:v>
                </c:pt>
                <c:pt idx="629">
                  <c:v>16.927999999999908</c:v>
                </c:pt>
                <c:pt idx="630">
                  <c:v>16.928099999999908</c:v>
                </c:pt>
                <c:pt idx="631">
                  <c:v>16.928199999999908</c:v>
                </c:pt>
                <c:pt idx="632">
                  <c:v>16.928299999999908</c:v>
                </c:pt>
                <c:pt idx="633">
                  <c:v>16.928399999999908</c:v>
                </c:pt>
                <c:pt idx="634">
                  <c:v>16.928499999999907</c:v>
                </c:pt>
                <c:pt idx="635">
                  <c:v>16.928599999999907</c:v>
                </c:pt>
                <c:pt idx="636">
                  <c:v>16.928699999999907</c:v>
                </c:pt>
                <c:pt idx="637">
                  <c:v>16.928799999999907</c:v>
                </c:pt>
                <c:pt idx="638">
                  <c:v>16.928899999999906</c:v>
                </c:pt>
                <c:pt idx="639">
                  <c:v>16.928999999999906</c:v>
                </c:pt>
                <c:pt idx="640">
                  <c:v>16.929099999999906</c:v>
                </c:pt>
                <c:pt idx="641">
                  <c:v>16.929199999999906</c:v>
                </c:pt>
                <c:pt idx="642">
                  <c:v>16.929299999999905</c:v>
                </c:pt>
                <c:pt idx="643">
                  <c:v>16.929399999999905</c:v>
                </c:pt>
                <c:pt idx="644">
                  <c:v>16.929499999999905</c:v>
                </c:pt>
                <c:pt idx="645">
                  <c:v>16.929599999999905</c:v>
                </c:pt>
                <c:pt idx="646">
                  <c:v>16.929699999999904</c:v>
                </c:pt>
                <c:pt idx="647">
                  <c:v>16.929799999999904</c:v>
                </c:pt>
                <c:pt idx="648">
                  <c:v>16.929899999999904</c:v>
                </c:pt>
                <c:pt idx="649">
                  <c:v>16.929999999999904</c:v>
                </c:pt>
                <c:pt idx="650">
                  <c:v>16.930099999999904</c:v>
                </c:pt>
                <c:pt idx="651">
                  <c:v>16.930199999999903</c:v>
                </c:pt>
                <c:pt idx="652">
                  <c:v>16.930299999999903</c:v>
                </c:pt>
                <c:pt idx="653">
                  <c:v>16.930399999999903</c:v>
                </c:pt>
                <c:pt idx="654">
                  <c:v>16.930499999999903</c:v>
                </c:pt>
                <c:pt idx="655">
                  <c:v>16.930599999999902</c:v>
                </c:pt>
                <c:pt idx="656">
                  <c:v>16.930699999999902</c:v>
                </c:pt>
                <c:pt idx="657">
                  <c:v>16.930799999999902</c:v>
                </c:pt>
                <c:pt idx="658">
                  <c:v>16.930899999999902</c:v>
                </c:pt>
                <c:pt idx="659">
                  <c:v>16.930999999999901</c:v>
                </c:pt>
                <c:pt idx="660">
                  <c:v>16.931099999999901</c:v>
                </c:pt>
                <c:pt idx="661">
                  <c:v>16.931199999999901</c:v>
                </c:pt>
                <c:pt idx="662">
                  <c:v>16.931299999999901</c:v>
                </c:pt>
                <c:pt idx="663">
                  <c:v>16.931399999999901</c:v>
                </c:pt>
                <c:pt idx="664">
                  <c:v>16.9314999999999</c:v>
                </c:pt>
                <c:pt idx="665">
                  <c:v>16.9315999999999</c:v>
                </c:pt>
                <c:pt idx="666">
                  <c:v>16.9316999999999</c:v>
                </c:pt>
                <c:pt idx="667">
                  <c:v>16.9317999999999</c:v>
                </c:pt>
                <c:pt idx="668">
                  <c:v>16.931899999999899</c:v>
                </c:pt>
                <c:pt idx="669">
                  <c:v>16.931999999999899</c:v>
                </c:pt>
                <c:pt idx="670">
                  <c:v>16.932099999999899</c:v>
                </c:pt>
                <c:pt idx="671">
                  <c:v>16.932199999999899</c:v>
                </c:pt>
                <c:pt idx="672">
                  <c:v>16.932299999999898</c:v>
                </c:pt>
                <c:pt idx="673">
                  <c:v>16.932399999999898</c:v>
                </c:pt>
                <c:pt idx="674">
                  <c:v>16.932499999999898</c:v>
                </c:pt>
                <c:pt idx="675">
                  <c:v>16.932599999999898</c:v>
                </c:pt>
                <c:pt idx="676">
                  <c:v>16.932699999999897</c:v>
                </c:pt>
                <c:pt idx="677">
                  <c:v>16.932799999999897</c:v>
                </c:pt>
                <c:pt idx="678">
                  <c:v>16.932899999999897</c:v>
                </c:pt>
                <c:pt idx="679">
                  <c:v>16.932999999999897</c:v>
                </c:pt>
                <c:pt idx="680">
                  <c:v>16.933099999999897</c:v>
                </c:pt>
                <c:pt idx="681">
                  <c:v>16.933199999999896</c:v>
                </c:pt>
                <c:pt idx="682">
                  <c:v>16.933299999999896</c:v>
                </c:pt>
                <c:pt idx="683">
                  <c:v>16.933399999999896</c:v>
                </c:pt>
                <c:pt idx="684">
                  <c:v>16.933499999999896</c:v>
                </c:pt>
                <c:pt idx="685">
                  <c:v>16.933599999999895</c:v>
                </c:pt>
                <c:pt idx="686">
                  <c:v>16.933699999999895</c:v>
                </c:pt>
                <c:pt idx="687">
                  <c:v>16.933799999999895</c:v>
                </c:pt>
                <c:pt idx="688">
                  <c:v>16.933899999999895</c:v>
                </c:pt>
                <c:pt idx="689">
                  <c:v>16.933999999999894</c:v>
                </c:pt>
                <c:pt idx="690">
                  <c:v>16.934099999999894</c:v>
                </c:pt>
                <c:pt idx="691">
                  <c:v>16.934199999999894</c:v>
                </c:pt>
                <c:pt idx="692">
                  <c:v>16.934299999999894</c:v>
                </c:pt>
                <c:pt idx="693">
                  <c:v>16.934399999999894</c:v>
                </c:pt>
                <c:pt idx="694">
                  <c:v>16.934499999999893</c:v>
                </c:pt>
                <c:pt idx="695">
                  <c:v>16.934599999999893</c:v>
                </c:pt>
                <c:pt idx="696">
                  <c:v>16.934699999999893</c:v>
                </c:pt>
                <c:pt idx="697">
                  <c:v>16.934799999999893</c:v>
                </c:pt>
                <c:pt idx="698">
                  <c:v>16.934899999999892</c:v>
                </c:pt>
                <c:pt idx="699">
                  <c:v>16.934999999999892</c:v>
                </c:pt>
                <c:pt idx="700">
                  <c:v>16.935099999999892</c:v>
                </c:pt>
                <c:pt idx="701">
                  <c:v>16.935199999999892</c:v>
                </c:pt>
                <c:pt idx="702">
                  <c:v>16.935299999999891</c:v>
                </c:pt>
                <c:pt idx="703">
                  <c:v>16.935399999999891</c:v>
                </c:pt>
                <c:pt idx="704">
                  <c:v>16.935499999999891</c:v>
                </c:pt>
                <c:pt idx="705">
                  <c:v>16.935599999999891</c:v>
                </c:pt>
                <c:pt idx="706">
                  <c:v>16.935699999999891</c:v>
                </c:pt>
                <c:pt idx="707">
                  <c:v>16.93579999999989</c:v>
                </c:pt>
                <c:pt idx="708">
                  <c:v>16.93589999999989</c:v>
                </c:pt>
                <c:pt idx="709">
                  <c:v>16.93599999999989</c:v>
                </c:pt>
                <c:pt idx="710">
                  <c:v>16.93609999999989</c:v>
                </c:pt>
                <c:pt idx="711">
                  <c:v>16.936199999999889</c:v>
                </c:pt>
                <c:pt idx="712">
                  <c:v>16.936299999999889</c:v>
                </c:pt>
                <c:pt idx="713">
                  <c:v>16.936399999999889</c:v>
                </c:pt>
                <c:pt idx="714">
                  <c:v>16.936499999999889</c:v>
                </c:pt>
                <c:pt idx="715">
                  <c:v>16.936599999999888</c:v>
                </c:pt>
                <c:pt idx="716">
                  <c:v>16.936699999999888</c:v>
                </c:pt>
                <c:pt idx="717">
                  <c:v>16.936799999999888</c:v>
                </c:pt>
                <c:pt idx="718">
                  <c:v>16.936899999999888</c:v>
                </c:pt>
                <c:pt idx="719">
                  <c:v>16.936999999999887</c:v>
                </c:pt>
                <c:pt idx="720">
                  <c:v>16.937099999999887</c:v>
                </c:pt>
                <c:pt idx="721">
                  <c:v>16.937199999999887</c:v>
                </c:pt>
                <c:pt idx="722">
                  <c:v>16.937299999999887</c:v>
                </c:pt>
                <c:pt idx="723">
                  <c:v>16.937399999999887</c:v>
                </c:pt>
                <c:pt idx="724">
                  <c:v>16.937499999999886</c:v>
                </c:pt>
                <c:pt idx="725">
                  <c:v>16.937599999999886</c:v>
                </c:pt>
                <c:pt idx="726">
                  <c:v>16.937699999999886</c:v>
                </c:pt>
                <c:pt idx="727">
                  <c:v>16.937799999999886</c:v>
                </c:pt>
                <c:pt idx="728">
                  <c:v>16.937899999999885</c:v>
                </c:pt>
                <c:pt idx="729">
                  <c:v>16.937999999999885</c:v>
                </c:pt>
                <c:pt idx="730">
                  <c:v>16.938099999999885</c:v>
                </c:pt>
                <c:pt idx="731">
                  <c:v>16.938199999999885</c:v>
                </c:pt>
                <c:pt idx="732">
                  <c:v>16.938299999999884</c:v>
                </c:pt>
                <c:pt idx="733">
                  <c:v>16.938399999999884</c:v>
                </c:pt>
                <c:pt idx="734">
                  <c:v>16.938499999999884</c:v>
                </c:pt>
                <c:pt idx="735">
                  <c:v>16.938599999999884</c:v>
                </c:pt>
                <c:pt idx="736">
                  <c:v>16.938699999999884</c:v>
                </c:pt>
                <c:pt idx="737">
                  <c:v>16.938799999999883</c:v>
                </c:pt>
                <c:pt idx="738">
                  <c:v>16.938899999999883</c:v>
                </c:pt>
                <c:pt idx="739">
                  <c:v>16.938999999999883</c:v>
                </c:pt>
                <c:pt idx="740">
                  <c:v>16.939099999999883</c:v>
                </c:pt>
                <c:pt idx="741">
                  <c:v>16.939199999999882</c:v>
                </c:pt>
                <c:pt idx="742">
                  <c:v>16.939299999999882</c:v>
                </c:pt>
                <c:pt idx="743">
                  <c:v>16.939399999999882</c:v>
                </c:pt>
                <c:pt idx="744">
                  <c:v>16.939499999999882</c:v>
                </c:pt>
                <c:pt idx="745">
                  <c:v>16.939599999999881</c:v>
                </c:pt>
                <c:pt idx="746">
                  <c:v>16.939699999999881</c:v>
                </c:pt>
                <c:pt idx="747">
                  <c:v>16.939799999999881</c:v>
                </c:pt>
                <c:pt idx="748">
                  <c:v>16.939899999999881</c:v>
                </c:pt>
                <c:pt idx="749">
                  <c:v>16.93999999999988</c:v>
                </c:pt>
                <c:pt idx="750">
                  <c:v>16.94009999999988</c:v>
                </c:pt>
                <c:pt idx="751">
                  <c:v>16.94019999999988</c:v>
                </c:pt>
                <c:pt idx="752">
                  <c:v>16.94029999999988</c:v>
                </c:pt>
                <c:pt idx="753">
                  <c:v>16.94039999999988</c:v>
                </c:pt>
                <c:pt idx="754">
                  <c:v>16.940499999999879</c:v>
                </c:pt>
                <c:pt idx="755">
                  <c:v>16.940599999999879</c:v>
                </c:pt>
                <c:pt idx="756">
                  <c:v>16.940699999999879</c:v>
                </c:pt>
                <c:pt idx="757">
                  <c:v>16.940799999999879</c:v>
                </c:pt>
                <c:pt idx="758">
                  <c:v>16.940899999999878</c:v>
                </c:pt>
                <c:pt idx="759">
                  <c:v>16.940999999999878</c:v>
                </c:pt>
                <c:pt idx="760">
                  <c:v>16.941099999999878</c:v>
                </c:pt>
                <c:pt idx="761">
                  <c:v>16.941199999999878</c:v>
                </c:pt>
                <c:pt idx="762">
                  <c:v>16.941299999999877</c:v>
                </c:pt>
                <c:pt idx="763">
                  <c:v>16.941399999999877</c:v>
                </c:pt>
                <c:pt idx="764">
                  <c:v>16.941499999999877</c:v>
                </c:pt>
                <c:pt idx="765">
                  <c:v>16.941599999999877</c:v>
                </c:pt>
                <c:pt idx="766">
                  <c:v>16.941699999999877</c:v>
                </c:pt>
                <c:pt idx="767">
                  <c:v>16.941799999999876</c:v>
                </c:pt>
                <c:pt idx="768">
                  <c:v>16.941899999999876</c:v>
                </c:pt>
                <c:pt idx="769">
                  <c:v>16.941999999999876</c:v>
                </c:pt>
                <c:pt idx="770">
                  <c:v>16.942099999999876</c:v>
                </c:pt>
                <c:pt idx="771">
                  <c:v>16.942199999999875</c:v>
                </c:pt>
                <c:pt idx="772">
                  <c:v>16.942299999999875</c:v>
                </c:pt>
                <c:pt idx="773">
                  <c:v>16.942399999999875</c:v>
                </c:pt>
                <c:pt idx="774">
                  <c:v>16.942499999999875</c:v>
                </c:pt>
                <c:pt idx="775">
                  <c:v>16.942599999999874</c:v>
                </c:pt>
                <c:pt idx="776">
                  <c:v>16.942699999999874</c:v>
                </c:pt>
                <c:pt idx="777">
                  <c:v>16.942799999999874</c:v>
                </c:pt>
                <c:pt idx="778">
                  <c:v>16.942899999999874</c:v>
                </c:pt>
                <c:pt idx="779">
                  <c:v>16.942999999999873</c:v>
                </c:pt>
                <c:pt idx="780">
                  <c:v>16.943099999999873</c:v>
                </c:pt>
                <c:pt idx="781">
                  <c:v>16.943199999999873</c:v>
                </c:pt>
                <c:pt idx="782">
                  <c:v>16.943299999999873</c:v>
                </c:pt>
                <c:pt idx="783">
                  <c:v>16.943399999999873</c:v>
                </c:pt>
                <c:pt idx="784">
                  <c:v>16.943499999999872</c:v>
                </c:pt>
                <c:pt idx="785">
                  <c:v>16.943599999999872</c:v>
                </c:pt>
                <c:pt idx="786">
                  <c:v>16.943699999999872</c:v>
                </c:pt>
                <c:pt idx="787">
                  <c:v>16.943799999999872</c:v>
                </c:pt>
                <c:pt idx="788">
                  <c:v>16.943899999999871</c:v>
                </c:pt>
                <c:pt idx="789">
                  <c:v>16.943999999999871</c:v>
                </c:pt>
                <c:pt idx="790">
                  <c:v>16.944099999999871</c:v>
                </c:pt>
                <c:pt idx="791">
                  <c:v>16.944199999999871</c:v>
                </c:pt>
                <c:pt idx="792">
                  <c:v>16.94429999999987</c:v>
                </c:pt>
                <c:pt idx="793">
                  <c:v>16.94439999999987</c:v>
                </c:pt>
                <c:pt idx="794">
                  <c:v>16.94449999999987</c:v>
                </c:pt>
                <c:pt idx="795">
                  <c:v>16.94459999999987</c:v>
                </c:pt>
                <c:pt idx="796">
                  <c:v>16.94469999999987</c:v>
                </c:pt>
                <c:pt idx="797">
                  <c:v>16.944799999999869</c:v>
                </c:pt>
                <c:pt idx="798">
                  <c:v>16.944899999999869</c:v>
                </c:pt>
                <c:pt idx="799">
                  <c:v>16.944999999999869</c:v>
                </c:pt>
                <c:pt idx="800">
                  <c:v>16.945099999999869</c:v>
                </c:pt>
                <c:pt idx="801">
                  <c:v>16.945199999999868</c:v>
                </c:pt>
                <c:pt idx="802">
                  <c:v>16.945299999999868</c:v>
                </c:pt>
                <c:pt idx="803">
                  <c:v>16.945399999999868</c:v>
                </c:pt>
                <c:pt idx="804">
                  <c:v>16.945499999999868</c:v>
                </c:pt>
                <c:pt idx="805">
                  <c:v>16.945599999999867</c:v>
                </c:pt>
                <c:pt idx="806">
                  <c:v>16.945699999999867</c:v>
                </c:pt>
                <c:pt idx="807">
                  <c:v>16.945799999999867</c:v>
                </c:pt>
                <c:pt idx="808">
                  <c:v>16.945899999999867</c:v>
                </c:pt>
                <c:pt idx="809">
                  <c:v>16.945999999999867</c:v>
                </c:pt>
                <c:pt idx="810">
                  <c:v>16.946099999999866</c:v>
                </c:pt>
                <c:pt idx="811">
                  <c:v>16.946199999999866</c:v>
                </c:pt>
                <c:pt idx="812">
                  <c:v>16.946299999999866</c:v>
                </c:pt>
                <c:pt idx="813">
                  <c:v>16.946399999999866</c:v>
                </c:pt>
                <c:pt idx="814">
                  <c:v>16.946499999999865</c:v>
                </c:pt>
                <c:pt idx="815">
                  <c:v>16.946599999999865</c:v>
                </c:pt>
                <c:pt idx="816">
                  <c:v>16.946699999999865</c:v>
                </c:pt>
                <c:pt idx="817">
                  <c:v>16.946799999999865</c:v>
                </c:pt>
                <c:pt idx="818">
                  <c:v>16.946899999999864</c:v>
                </c:pt>
                <c:pt idx="819">
                  <c:v>16.946999999999864</c:v>
                </c:pt>
                <c:pt idx="820">
                  <c:v>16.947099999999864</c:v>
                </c:pt>
                <c:pt idx="821">
                  <c:v>16.947199999999864</c:v>
                </c:pt>
                <c:pt idx="822">
                  <c:v>16.947299999999863</c:v>
                </c:pt>
                <c:pt idx="823">
                  <c:v>16.947399999999863</c:v>
                </c:pt>
                <c:pt idx="824">
                  <c:v>16.947499999999863</c:v>
                </c:pt>
                <c:pt idx="825">
                  <c:v>16.947599999999863</c:v>
                </c:pt>
                <c:pt idx="826">
                  <c:v>16.947699999999863</c:v>
                </c:pt>
                <c:pt idx="827">
                  <c:v>16.947799999999862</c:v>
                </c:pt>
                <c:pt idx="828">
                  <c:v>16.947899999999862</c:v>
                </c:pt>
                <c:pt idx="829">
                  <c:v>16.947999999999862</c:v>
                </c:pt>
                <c:pt idx="830">
                  <c:v>16.948099999999862</c:v>
                </c:pt>
                <c:pt idx="831">
                  <c:v>16.948199999999861</c:v>
                </c:pt>
                <c:pt idx="832">
                  <c:v>16.948299999999861</c:v>
                </c:pt>
                <c:pt idx="833">
                  <c:v>16.948399999999861</c:v>
                </c:pt>
                <c:pt idx="834">
                  <c:v>16.948499999999861</c:v>
                </c:pt>
                <c:pt idx="835">
                  <c:v>16.94859999999986</c:v>
                </c:pt>
                <c:pt idx="836">
                  <c:v>16.94869999999986</c:v>
                </c:pt>
                <c:pt idx="837">
                  <c:v>16.94879999999986</c:v>
                </c:pt>
                <c:pt idx="838">
                  <c:v>16.94889999999986</c:v>
                </c:pt>
                <c:pt idx="839">
                  <c:v>16.94899999999986</c:v>
                </c:pt>
                <c:pt idx="840">
                  <c:v>16.949099999999859</c:v>
                </c:pt>
                <c:pt idx="841">
                  <c:v>16.949199999999859</c:v>
                </c:pt>
                <c:pt idx="842">
                  <c:v>16.949299999999859</c:v>
                </c:pt>
                <c:pt idx="843">
                  <c:v>16.949399999999859</c:v>
                </c:pt>
                <c:pt idx="844">
                  <c:v>16.949499999999858</c:v>
                </c:pt>
                <c:pt idx="845">
                  <c:v>16.949599999999858</c:v>
                </c:pt>
                <c:pt idx="846">
                  <c:v>16.949699999999858</c:v>
                </c:pt>
                <c:pt idx="847">
                  <c:v>16.949799999999858</c:v>
                </c:pt>
                <c:pt idx="848">
                  <c:v>16.949899999999857</c:v>
                </c:pt>
                <c:pt idx="849">
                  <c:v>16.949999999999857</c:v>
                </c:pt>
                <c:pt idx="850">
                  <c:v>16.950099999999857</c:v>
                </c:pt>
                <c:pt idx="851">
                  <c:v>16.950199999999857</c:v>
                </c:pt>
                <c:pt idx="852">
                  <c:v>16.950299999999856</c:v>
                </c:pt>
                <c:pt idx="853">
                  <c:v>16.950399999999856</c:v>
                </c:pt>
                <c:pt idx="854">
                  <c:v>16.950499999999856</c:v>
                </c:pt>
                <c:pt idx="855">
                  <c:v>16.950599999999856</c:v>
                </c:pt>
                <c:pt idx="856">
                  <c:v>16.950699999999856</c:v>
                </c:pt>
                <c:pt idx="857">
                  <c:v>16.950799999999855</c:v>
                </c:pt>
                <c:pt idx="858">
                  <c:v>16.950899999999855</c:v>
                </c:pt>
                <c:pt idx="859">
                  <c:v>16.950999999999855</c:v>
                </c:pt>
                <c:pt idx="860">
                  <c:v>16.951099999999855</c:v>
                </c:pt>
                <c:pt idx="861">
                  <c:v>16.951199999999854</c:v>
                </c:pt>
                <c:pt idx="862">
                  <c:v>16.951299999999854</c:v>
                </c:pt>
                <c:pt idx="863">
                  <c:v>16.951399999999854</c:v>
                </c:pt>
                <c:pt idx="864">
                  <c:v>16.951499999999854</c:v>
                </c:pt>
                <c:pt idx="865">
                  <c:v>16.951599999999853</c:v>
                </c:pt>
                <c:pt idx="866">
                  <c:v>16.951699999999853</c:v>
                </c:pt>
                <c:pt idx="867">
                  <c:v>16.951799999999853</c:v>
                </c:pt>
                <c:pt idx="868">
                  <c:v>16.951899999999853</c:v>
                </c:pt>
                <c:pt idx="869">
                  <c:v>16.951999999999853</c:v>
                </c:pt>
                <c:pt idx="870">
                  <c:v>16.952099999999852</c:v>
                </c:pt>
                <c:pt idx="871">
                  <c:v>16.952199999999852</c:v>
                </c:pt>
                <c:pt idx="872">
                  <c:v>16.952299999999852</c:v>
                </c:pt>
                <c:pt idx="873">
                  <c:v>16.952399999999852</c:v>
                </c:pt>
                <c:pt idx="874">
                  <c:v>16.952499999999851</c:v>
                </c:pt>
                <c:pt idx="875">
                  <c:v>16.952599999999851</c:v>
                </c:pt>
                <c:pt idx="876">
                  <c:v>16.952699999999851</c:v>
                </c:pt>
                <c:pt idx="877">
                  <c:v>16.952799999999851</c:v>
                </c:pt>
                <c:pt idx="878">
                  <c:v>16.95289999999985</c:v>
                </c:pt>
                <c:pt idx="879">
                  <c:v>16.95299999999985</c:v>
                </c:pt>
                <c:pt idx="880">
                  <c:v>16.95309999999985</c:v>
                </c:pt>
                <c:pt idx="881">
                  <c:v>16.95319999999985</c:v>
                </c:pt>
                <c:pt idx="882">
                  <c:v>16.953299999999849</c:v>
                </c:pt>
                <c:pt idx="883">
                  <c:v>16.953399999999849</c:v>
                </c:pt>
                <c:pt idx="884">
                  <c:v>16.953499999999849</c:v>
                </c:pt>
                <c:pt idx="885">
                  <c:v>16.953599999999849</c:v>
                </c:pt>
                <c:pt idx="886">
                  <c:v>16.953699999999849</c:v>
                </c:pt>
                <c:pt idx="887">
                  <c:v>16.953799999999848</c:v>
                </c:pt>
                <c:pt idx="888">
                  <c:v>16.953899999999848</c:v>
                </c:pt>
                <c:pt idx="889">
                  <c:v>16.953999999999848</c:v>
                </c:pt>
                <c:pt idx="890">
                  <c:v>16.954099999999848</c:v>
                </c:pt>
                <c:pt idx="891">
                  <c:v>16.954199999999847</c:v>
                </c:pt>
                <c:pt idx="892">
                  <c:v>16.954299999999847</c:v>
                </c:pt>
                <c:pt idx="893">
                  <c:v>16.954399999999847</c:v>
                </c:pt>
                <c:pt idx="894">
                  <c:v>16.954499999999847</c:v>
                </c:pt>
                <c:pt idx="895">
                  <c:v>16.954599999999846</c:v>
                </c:pt>
                <c:pt idx="896">
                  <c:v>16.954699999999846</c:v>
                </c:pt>
                <c:pt idx="897">
                  <c:v>16.954799999999846</c:v>
                </c:pt>
                <c:pt idx="898">
                  <c:v>16.954899999999846</c:v>
                </c:pt>
                <c:pt idx="899">
                  <c:v>16.954999999999846</c:v>
                </c:pt>
                <c:pt idx="900">
                  <c:v>16.955099999999845</c:v>
                </c:pt>
                <c:pt idx="901">
                  <c:v>16.955199999999845</c:v>
                </c:pt>
                <c:pt idx="902">
                  <c:v>16.955299999999845</c:v>
                </c:pt>
                <c:pt idx="903">
                  <c:v>16.955399999999845</c:v>
                </c:pt>
                <c:pt idx="904">
                  <c:v>16.955499999999844</c:v>
                </c:pt>
                <c:pt idx="905">
                  <c:v>16.955599999999844</c:v>
                </c:pt>
                <c:pt idx="906">
                  <c:v>16.955699999999844</c:v>
                </c:pt>
                <c:pt idx="907">
                  <c:v>16.955799999999844</c:v>
                </c:pt>
                <c:pt idx="908">
                  <c:v>16.955899999999843</c:v>
                </c:pt>
                <c:pt idx="909">
                  <c:v>16.955999999999843</c:v>
                </c:pt>
                <c:pt idx="910">
                  <c:v>16.956099999999843</c:v>
                </c:pt>
                <c:pt idx="911">
                  <c:v>16.956199999999843</c:v>
                </c:pt>
                <c:pt idx="912">
                  <c:v>16.956299999999842</c:v>
                </c:pt>
                <c:pt idx="913">
                  <c:v>16.956399999999842</c:v>
                </c:pt>
                <c:pt idx="914">
                  <c:v>16.956499999999842</c:v>
                </c:pt>
                <c:pt idx="915">
                  <c:v>16.956599999999842</c:v>
                </c:pt>
                <c:pt idx="916">
                  <c:v>16.956699999999842</c:v>
                </c:pt>
                <c:pt idx="917">
                  <c:v>16.956799999999841</c:v>
                </c:pt>
                <c:pt idx="918">
                  <c:v>16.956899999999841</c:v>
                </c:pt>
                <c:pt idx="919">
                  <c:v>16.956999999999841</c:v>
                </c:pt>
                <c:pt idx="920">
                  <c:v>16.957099999999841</c:v>
                </c:pt>
                <c:pt idx="921">
                  <c:v>16.95719999999984</c:v>
                </c:pt>
                <c:pt idx="922">
                  <c:v>16.95729999999984</c:v>
                </c:pt>
                <c:pt idx="923">
                  <c:v>16.95739999999984</c:v>
                </c:pt>
                <c:pt idx="924">
                  <c:v>16.95749999999984</c:v>
                </c:pt>
                <c:pt idx="925">
                  <c:v>16.957599999999839</c:v>
                </c:pt>
                <c:pt idx="926">
                  <c:v>16.957699999999839</c:v>
                </c:pt>
                <c:pt idx="927">
                  <c:v>16.957799999999839</c:v>
                </c:pt>
                <c:pt idx="928">
                  <c:v>16.957899999999839</c:v>
                </c:pt>
                <c:pt idx="929">
                  <c:v>16.957999999999839</c:v>
                </c:pt>
                <c:pt idx="930">
                  <c:v>16.958099999999838</c:v>
                </c:pt>
                <c:pt idx="931">
                  <c:v>16.958199999999838</c:v>
                </c:pt>
                <c:pt idx="932">
                  <c:v>16.958299999999838</c:v>
                </c:pt>
                <c:pt idx="933">
                  <c:v>16.958399999999838</c:v>
                </c:pt>
                <c:pt idx="934">
                  <c:v>16.958499999999837</c:v>
                </c:pt>
                <c:pt idx="935">
                  <c:v>16.958599999999837</c:v>
                </c:pt>
                <c:pt idx="936">
                  <c:v>16.958699999999837</c:v>
                </c:pt>
                <c:pt idx="937">
                  <c:v>16.958799999999837</c:v>
                </c:pt>
                <c:pt idx="938">
                  <c:v>16.958899999999836</c:v>
                </c:pt>
                <c:pt idx="939">
                  <c:v>16.958999999999836</c:v>
                </c:pt>
                <c:pt idx="940">
                  <c:v>16.959099999999836</c:v>
                </c:pt>
                <c:pt idx="941">
                  <c:v>16.959199999999836</c:v>
                </c:pt>
                <c:pt idx="942">
                  <c:v>16.959299999999836</c:v>
                </c:pt>
                <c:pt idx="943">
                  <c:v>16.959399999999835</c:v>
                </c:pt>
                <c:pt idx="944">
                  <c:v>16.959499999999835</c:v>
                </c:pt>
                <c:pt idx="945">
                  <c:v>16.959599999999835</c:v>
                </c:pt>
                <c:pt idx="946">
                  <c:v>16.959699999999835</c:v>
                </c:pt>
                <c:pt idx="947">
                  <c:v>16.959799999999834</c:v>
                </c:pt>
                <c:pt idx="948">
                  <c:v>16.959899999999834</c:v>
                </c:pt>
                <c:pt idx="949">
                  <c:v>16.959999999999834</c:v>
                </c:pt>
                <c:pt idx="950">
                  <c:v>16.960099999999834</c:v>
                </c:pt>
                <c:pt idx="951">
                  <c:v>16.960199999999833</c:v>
                </c:pt>
                <c:pt idx="952">
                  <c:v>16.960299999999833</c:v>
                </c:pt>
                <c:pt idx="953">
                  <c:v>16.960399999999833</c:v>
                </c:pt>
                <c:pt idx="954">
                  <c:v>16.960499999999833</c:v>
                </c:pt>
                <c:pt idx="955">
                  <c:v>16.960599999999832</c:v>
                </c:pt>
                <c:pt idx="956">
                  <c:v>16.960699999999832</c:v>
                </c:pt>
                <c:pt idx="957">
                  <c:v>16.960799999999832</c:v>
                </c:pt>
                <c:pt idx="958">
                  <c:v>16.960899999999832</c:v>
                </c:pt>
                <c:pt idx="959">
                  <c:v>16.960999999999832</c:v>
                </c:pt>
                <c:pt idx="960">
                  <c:v>16.961099999999831</c:v>
                </c:pt>
                <c:pt idx="961">
                  <c:v>16.961199999999831</c:v>
                </c:pt>
                <c:pt idx="962">
                  <c:v>16.961299999999831</c:v>
                </c:pt>
                <c:pt idx="963">
                  <c:v>16.961399999999831</c:v>
                </c:pt>
                <c:pt idx="964">
                  <c:v>16.96149999999983</c:v>
                </c:pt>
                <c:pt idx="965">
                  <c:v>16.96159999999983</c:v>
                </c:pt>
                <c:pt idx="966">
                  <c:v>16.96169999999983</c:v>
                </c:pt>
                <c:pt idx="967">
                  <c:v>16.96179999999983</c:v>
                </c:pt>
                <c:pt idx="968">
                  <c:v>16.961899999999829</c:v>
                </c:pt>
                <c:pt idx="969">
                  <c:v>16.961999999999829</c:v>
                </c:pt>
                <c:pt idx="970">
                  <c:v>16.962099999999829</c:v>
                </c:pt>
                <c:pt idx="971">
                  <c:v>16.962199999999829</c:v>
                </c:pt>
                <c:pt idx="972">
                  <c:v>16.962299999999829</c:v>
                </c:pt>
                <c:pt idx="973">
                  <c:v>16.962399999999828</c:v>
                </c:pt>
                <c:pt idx="974">
                  <c:v>16.962499999999828</c:v>
                </c:pt>
                <c:pt idx="975">
                  <c:v>16.962599999999828</c:v>
                </c:pt>
                <c:pt idx="976">
                  <c:v>16.962699999999828</c:v>
                </c:pt>
                <c:pt idx="977">
                  <c:v>16.962799999999827</c:v>
                </c:pt>
                <c:pt idx="978">
                  <c:v>16.962899999999827</c:v>
                </c:pt>
                <c:pt idx="979">
                  <c:v>16.962999999999827</c:v>
                </c:pt>
                <c:pt idx="980">
                  <c:v>16.963099999999827</c:v>
                </c:pt>
                <c:pt idx="981">
                  <c:v>16.963199999999826</c:v>
                </c:pt>
                <c:pt idx="982">
                  <c:v>16.963299999999826</c:v>
                </c:pt>
                <c:pt idx="983">
                  <c:v>16.963399999999826</c:v>
                </c:pt>
                <c:pt idx="984">
                  <c:v>16.963499999999826</c:v>
                </c:pt>
                <c:pt idx="985">
                  <c:v>16.963599999999825</c:v>
                </c:pt>
                <c:pt idx="986">
                  <c:v>16.963699999999825</c:v>
                </c:pt>
                <c:pt idx="987">
                  <c:v>16.963799999999825</c:v>
                </c:pt>
                <c:pt idx="988">
                  <c:v>16.963899999999825</c:v>
                </c:pt>
                <c:pt idx="989">
                  <c:v>16.963999999999825</c:v>
                </c:pt>
                <c:pt idx="990">
                  <c:v>16.964099999999824</c:v>
                </c:pt>
                <c:pt idx="991">
                  <c:v>16.964199999999824</c:v>
                </c:pt>
                <c:pt idx="992">
                  <c:v>16.964299999999824</c:v>
                </c:pt>
                <c:pt idx="993">
                  <c:v>16.964399999999824</c:v>
                </c:pt>
                <c:pt idx="994">
                  <c:v>16.964499999999823</c:v>
                </c:pt>
                <c:pt idx="995">
                  <c:v>16.964599999999823</c:v>
                </c:pt>
                <c:pt idx="996">
                  <c:v>16.964699999999823</c:v>
                </c:pt>
                <c:pt idx="997">
                  <c:v>16.964799999999823</c:v>
                </c:pt>
                <c:pt idx="998">
                  <c:v>16.964899999999822</c:v>
                </c:pt>
                <c:pt idx="999">
                  <c:v>16.964999999999822</c:v>
                </c:pt>
                <c:pt idx="1000">
                  <c:v>16.965099999999822</c:v>
                </c:pt>
              </c:numCache>
            </c:numRef>
          </c:xVal>
          <c:yVal>
            <c:numRef>
              <c:f>Calculs!$I$4:$I$1004</c:f>
              <c:numCache>
                <c:formatCode>0.00</c:formatCode>
                <c:ptCount val="1001"/>
                <c:pt idx="0">
                  <c:v>0</c:v>
                </c:pt>
                <c:pt idx="1">
                  <c:v>0.21788822456659754</c:v>
                </c:pt>
                <c:pt idx="2">
                  <c:v>1.0335818005750179</c:v>
                </c:pt>
                <c:pt idx="3">
                  <c:v>2.2758060093757426</c:v>
                </c:pt>
                <c:pt idx="4">
                  <c:v>3.255449872323219</c:v>
                </c:pt>
                <c:pt idx="5">
                  <c:v>3.9720337413151934</c:v>
                </c:pt>
                <c:pt idx="6">
                  <c:v>4.5221255121345907</c:v>
                </c:pt>
                <c:pt idx="7">
                  <c:v>5.0573501091177926</c:v>
                </c:pt>
                <c:pt idx="8">
                  <c:v>5.6142704393810918</c:v>
                </c:pt>
                <c:pt idx="9">
                  <c:v>6.1928920476707194</c:v>
                </c:pt>
                <c:pt idx="10">
                  <c:v>6.7932195877786494</c:v>
                </c:pt>
                <c:pt idx="11">
                  <c:v>7.4014009404961696</c:v>
                </c:pt>
                <c:pt idx="12">
                  <c:v>8.0174259682153739</c:v>
                </c:pt>
                <c:pt idx="13">
                  <c:v>8.6412839554552967</c:v>
                </c:pt>
                <c:pt idx="14">
                  <c:v>9.2729636004246494</c:v>
                </c:pt>
                <c:pt idx="15">
                  <c:v>9.91245300667401</c:v>
                </c:pt>
                <c:pt idx="16">
                  <c:v>10.559739674841888</c:v>
                </c:pt>
                <c:pt idx="17">
                  <c:v>11.214810494499197</c:v>
                </c:pt>
                <c:pt idx="18">
                  <c:v>11.877651736096698</c:v>
                </c:pt>
                <c:pt idx="19">
                  <c:v>12.54824904302</c:v>
                </c:pt>
                <c:pt idx="20">
                  <c:v>13.22658742375681</c:v>
                </c:pt>
                <c:pt idx="21">
                  <c:v>13.912651244181106</c:v>
                </c:pt>
                <c:pt idx="22">
                  <c:v>14.604763077494541</c:v>
                </c:pt>
                <c:pt idx="23">
                  <c:v>15.299027037507287</c:v>
                </c:pt>
                <c:pt idx="24">
                  <c:v>15.995421911611647</c:v>
                </c:pt>
                <c:pt idx="25">
                  <c:v>16.693926272130316</c:v>
                </c:pt>
                <c:pt idx="26">
                  <c:v>17.394518478188978</c:v>
                </c:pt>
                <c:pt idx="27">
                  <c:v>18.097176677647496</c:v>
                </c:pt>
                <c:pt idx="28">
                  <c:v>18.801878809089626</c:v>
                </c:pt>
                <c:pt idx="29">
                  <c:v>19.508609856419422</c:v>
                </c:pt>
                <c:pt idx="30">
                  <c:v>20.217354807028109</c:v>
                </c:pt>
                <c:pt idx="31">
                  <c:v>20.928090598772723</c:v>
                </c:pt>
                <c:pt idx="32">
                  <c:v>21.640793987790055</c:v>
                </c:pt>
                <c:pt idx="33">
                  <c:v>22.355441549078307</c:v>
                </c:pt>
                <c:pt idx="34">
                  <c:v>23.072009677368776</c:v>
                </c:pt>
                <c:pt idx="35">
                  <c:v>23.79004223713866</c:v>
                </c:pt>
                <c:pt idx="36">
                  <c:v>24.505622127663397</c:v>
                </c:pt>
                <c:pt idx="37">
                  <c:v>25.218724139651048</c:v>
                </c:pt>
                <c:pt idx="38">
                  <c:v>25.929323335663227</c:v>
                </c:pt>
                <c:pt idx="39">
                  <c:v>26.637395051939897</c:v>
                </c:pt>
                <c:pt idx="40">
                  <c:v>27.342914900262649</c:v>
                </c:pt>
                <c:pt idx="41">
                  <c:v>28.045858769841264</c:v>
                </c:pt>
                <c:pt idx="42">
                  <c:v>28.746202829210365</c:v>
                </c:pt>
                <c:pt idx="43">
                  <c:v>29.443923528125055</c:v>
                </c:pt>
                <c:pt idx="44">
                  <c:v>30.138997599445926</c:v>
                </c:pt>
                <c:pt idx="45">
                  <c:v>30.831402061005129</c:v>
                </c:pt>
                <c:pt idx="46">
                  <c:v>31.52111421744635</c:v>
                </c:pt>
                <c:pt idx="47">
                  <c:v>32.208111662032508</c:v>
                </c:pt>
                <c:pt idx="48">
                  <c:v>32.892372278415692</c:v>
                </c:pt>
                <c:pt idx="49">
                  <c:v>33.57387424236466</c:v>
                </c:pt>
                <c:pt idx="50">
                  <c:v>34.252596023445754</c:v>
                </c:pt>
                <c:pt idx="51">
                  <c:v>34.928516386653655</c:v>
                </c:pt>
                <c:pt idx="52">
                  <c:v>35.601614393988712</c:v>
                </c:pt>
                <c:pt idx="53">
                  <c:v>36.271869405978222</c:v>
                </c:pt>
                <c:pt idx="54">
                  <c:v>36.939261083139073</c:v>
                </c:pt>
                <c:pt idx="55">
                  <c:v>37.603769387379714</c:v>
                </c:pt>
                <c:pt idx="56">
                  <c:v>38.265374583339579</c:v>
                </c:pt>
                <c:pt idx="57">
                  <c:v>38.924057239664307</c:v>
                </c:pt>
                <c:pt idx="58">
                  <c:v>39.57979823021541</c:v>
                </c:pt>
                <c:pt idx="59">
                  <c:v>40.232578735213032</c:v>
                </c:pt>
                <c:pt idx="60">
                  <c:v>40.882380242310965</c:v>
                </c:pt>
                <c:pt idx="61">
                  <c:v>41.529184547602782</c:v>
                </c:pt>
                <c:pt idx="62">
                  <c:v>42.172973756558505</c:v>
                </c:pt>
                <c:pt idx="63">
                  <c:v>42.813730284891115</c:v>
                </c:pt>
                <c:pt idx="64">
                  <c:v>43.451436859352405</c:v>
                </c:pt>
                <c:pt idx="65">
                  <c:v>44.086076518457787</c:v>
                </c:pt>
                <c:pt idx="66">
                  <c:v>44.717632613139642</c:v>
                </c:pt>
                <c:pt idx="67">
                  <c:v>45.346088807329181</c:v>
                </c:pt>
                <c:pt idx="68">
                  <c:v>45.971429078466528</c:v>
                </c:pt>
                <c:pt idx="69">
                  <c:v>46.593637717939089</c:v>
                </c:pt>
                <c:pt idx="70">
                  <c:v>47.212699331448071</c:v>
                </c:pt>
                <c:pt idx="71">
                  <c:v>47.828598839303467</c:v>
                </c:pt>
                <c:pt idx="72">
                  <c:v>48.441321476647396</c:v>
                </c:pt>
                <c:pt idx="73">
                  <c:v>49.050852793606253</c:v>
                </c:pt>
                <c:pt idx="74">
                  <c:v>49.657178655371752</c:v>
                </c:pt>
                <c:pt idx="75">
                  <c:v>50.260285242211296</c:v>
                </c:pt>
                <c:pt idx="76">
                  <c:v>50.860159049407969</c:v>
                </c:pt>
                <c:pt idx="77">
                  <c:v>51.456786887130654</c:v>
                </c:pt>
                <c:pt idx="78">
                  <c:v>52.050155880234563</c:v>
                </c:pt>
                <c:pt idx="79">
                  <c:v>52.640253467992984</c:v>
                </c:pt>
                <c:pt idx="80">
                  <c:v>53.227067403760408</c:v>
                </c:pt>
                <c:pt idx="81">
                  <c:v>53.810585754567967</c:v>
                </c:pt>
                <c:pt idx="82">
                  <c:v>54.390796900651516</c:v>
                </c:pt>
                <c:pt idx="83">
                  <c:v>54.967689534913255</c:v>
                </c:pt>
                <c:pt idx="84">
                  <c:v>55.541252662317341</c:v>
                </c:pt>
                <c:pt idx="85">
                  <c:v>56.111475599220384</c:v>
                </c:pt>
                <c:pt idx="86">
                  <c:v>56.678347972637461</c:v>
                </c:pt>
                <c:pt idx="87">
                  <c:v>57.241859719444456</c:v>
                </c:pt>
                <c:pt idx="88">
                  <c:v>57.802001085517531</c:v>
                </c:pt>
                <c:pt idx="89">
                  <c:v>58.35876262481051</c:v>
                </c:pt>
                <c:pt idx="90">
                  <c:v>58.91213519837104</c:v>
                </c:pt>
                <c:pt idx="91">
                  <c:v>59.462109973296393</c:v>
                </c:pt>
                <c:pt idx="92">
                  <c:v>60.008678421629838</c:v>
                </c:pt>
                <c:pt idx="93">
                  <c:v>60.551832319198326</c:v>
                </c:pt>
                <c:pt idx="94">
                  <c:v>61.091563744392687</c:v>
                </c:pt>
                <c:pt idx="95">
                  <c:v>61.62786507689097</c:v>
                </c:pt>
                <c:pt idx="96">
                  <c:v>62.160728996326171</c:v>
                </c:pt>
                <c:pt idx="97">
                  <c:v>62.690148480899076</c:v>
                </c:pt>
                <c:pt idx="98">
                  <c:v>63.216116805937382</c:v>
                </c:pt>
                <c:pt idx="99">
                  <c:v>63.738627542402035</c:v>
                </c:pt>
                <c:pt idx="100">
                  <c:v>64.257674555341751</c:v>
                </c:pt>
                <c:pt idx="101">
                  <c:v>64.773252002296857</c:v>
                </c:pt>
                <c:pt idx="102">
                  <c:v>65.285354331653366</c:v>
                </c:pt>
                <c:pt idx="103">
                  <c:v>65.793976280948414</c:v>
                </c:pt>
                <c:pt idx="104">
                  <c:v>66.299112875128102</c:v>
                </c:pt>
                <c:pt idx="105">
                  <c:v>66.80075942475878</c:v>
                </c:pt>
                <c:pt idx="106">
                  <c:v>67.298911524192846</c:v>
                </c:pt>
                <c:pt idx="107">
                  <c:v>67.793565049690159</c:v>
                </c:pt>
                <c:pt idx="108">
                  <c:v>68.284716157496206</c:v>
                </c:pt>
                <c:pt idx="109">
                  <c:v>68.772361281877849</c:v>
                </c:pt>
                <c:pt idx="110">
                  <c:v>69.256497133118174</c:v>
                </c:pt>
                <c:pt idx="111">
                  <c:v>69.737120695471191</c:v>
                </c:pt>
                <c:pt idx="112">
                  <c:v>70.214229225077531</c:v>
                </c:pt>
                <c:pt idx="113">
                  <c:v>70.687820247842382</c:v>
                </c:pt>
                <c:pt idx="114">
                  <c:v>71.157891557276699</c:v>
                </c:pt>
                <c:pt idx="115">
                  <c:v>71.624441212302727</c:v>
                </c:pt>
                <c:pt idx="116">
                  <c:v>72.087467535024999</c:v>
                </c:pt>
                <c:pt idx="117">
                  <c:v>72.546969108467906</c:v>
                </c:pt>
                <c:pt idx="118">
                  <c:v>73.00294477428092</c:v>
                </c:pt>
                <c:pt idx="119">
                  <c:v>73.455393630412615</c:v>
                </c:pt>
                <c:pt idx="120">
                  <c:v>73.904315028754496</c:v>
                </c:pt>
                <c:pt idx="121">
                  <c:v>74.349708572755787</c:v>
                </c:pt>
                <c:pt idx="122">
                  <c:v>74.791574115010306</c:v>
                </c:pt>
                <c:pt idx="123">
                  <c:v>75.229911754816399</c:v>
                </c:pt>
                <c:pt idx="124">
                  <c:v>75.664721835711134</c:v>
                </c:pt>
                <c:pt idx="125">
                  <c:v>76.096004942979718</c:v>
                </c:pt>
                <c:pt idx="126">
                  <c:v>76.523761901141313</c:v>
                </c:pt>
                <c:pt idx="127">
                  <c:v>76.947993771412214</c:v>
                </c:pt>
                <c:pt idx="128">
                  <c:v>77.368701849147556</c:v>
                </c:pt>
                <c:pt idx="129">
                  <c:v>77.785887661262393</c:v>
                </c:pt>
                <c:pt idx="130">
                  <c:v>78.199552963633593</c:v>
                </c:pt>
                <c:pt idx="131">
                  <c:v>78.60969973848303</c:v>
                </c:pt>
                <c:pt idx="132">
                  <c:v>79.016330191743563</c:v>
                </c:pt>
                <c:pt idx="133">
                  <c:v>79.419446750408639</c:v>
                </c:pt>
                <c:pt idx="134">
                  <c:v>79.819052059866394</c:v>
                </c:pt>
                <c:pt idx="135">
                  <c:v>80.215148981219642</c:v>
                </c:pt>
                <c:pt idx="136">
                  <c:v>80.607740588592122</c:v>
                </c:pt>
                <c:pt idx="137">
                  <c:v>80.996830166422768</c:v>
                </c:pt>
                <c:pt idx="138">
                  <c:v>81.382421206748148</c:v>
                </c:pt>
                <c:pt idx="139">
                  <c:v>81.764517406474653</c:v>
                </c:pt>
                <c:pt idx="140">
                  <c:v>82.14312266464114</c:v>
                </c:pt>
                <c:pt idx="141">
                  <c:v>82.518241079672791</c:v>
                </c:pt>
                <c:pt idx="142">
                  <c:v>82.889876946627524</c:v>
                </c:pt>
                <c:pt idx="143">
                  <c:v>83.258034754435442</c:v>
                </c:pt>
                <c:pt idx="144">
                  <c:v>83.622719183132531</c:v>
                </c:pt>
                <c:pt idx="145">
                  <c:v>83.983935101089216</c:v>
                </c:pt>
                <c:pt idx="146">
                  <c:v>84.341687562234924</c:v>
                </c:pt>
                <c:pt idx="147">
                  <c:v>84.695981803279338</c:v>
                </c:pt>
                <c:pt idx="148">
                  <c:v>85.046823240931204</c:v>
                </c:pt>
                <c:pt idx="149">
                  <c:v>85.394217469115546</c:v>
                </c:pt>
                <c:pt idx="150">
                  <c:v>85.738170256190131</c:v>
                </c:pt>
                <c:pt idx="151">
                  <c:v>86.07868754216193</c:v>
                </c:pt>
                <c:pt idx="152">
                  <c:v>86.41577543590445</c:v>
                </c:pt>
                <c:pt idx="153">
                  <c:v>86.749440212376641</c:v>
                </c:pt>
                <c:pt idx="154">
                  <c:v>87.07968830984413</c:v>
                </c:pt>
                <c:pt idx="155">
                  <c:v>87.406526327103563</c:v>
                </c:pt>
                <c:pt idx="156">
                  <c:v>87.729961020710888</c:v>
                </c:pt>
                <c:pt idx="157">
                  <c:v>88.049999302214104</c:v>
                </c:pt>
                <c:pt idx="158">
                  <c:v>88.370592722646137</c:v>
                </c:pt>
                <c:pt idx="159">
                  <c:v>88.692721327805785</c:v>
                </c:pt>
                <c:pt idx="160">
                  <c:v>89.016375277533726</c:v>
                </c:pt>
                <c:pt idx="161">
                  <c:v>89.341544702867566</c:v>
                </c:pt>
                <c:pt idx="162">
                  <c:v>89.668219706358826</c:v>
                </c:pt>
                <c:pt idx="163">
                  <c:v>89.996390362398472</c:v>
                </c:pt>
                <c:pt idx="164">
                  <c:v>90.320246837728916</c:v>
                </c:pt>
                <c:pt idx="165">
                  <c:v>90.631096848938427</c:v>
                </c:pt>
                <c:pt idx="166">
                  <c:v>90.928982400523296</c:v>
                </c:pt>
                <c:pt idx="167">
                  <c:v>91.20803130929653</c:v>
                </c:pt>
                <c:pt idx="168">
                  <c:v>91.44464225741423</c:v>
                </c:pt>
                <c:pt idx="169">
                  <c:v>91.638971812649274</c:v>
                </c:pt>
                <c:pt idx="170">
                  <c:v>91.791180426345093</c:v>
                </c:pt>
                <c:pt idx="171">
                  <c:v>91.901432122278152</c:v>
                </c:pt>
                <c:pt idx="172">
                  <c:v>91.969894189090127</c:v>
                </c:pt>
                <c:pt idx="173">
                  <c:v>91.996736876501998</c:v>
                </c:pt>
                <c:pt idx="174">
                  <c:v>91.982133095504764</c:v>
                </c:pt>
                <c:pt idx="175">
                  <c:v>91.926258122703857</c:v>
                </c:pt>
                <c:pt idx="176">
                  <c:v>91.829289308977238</c:v>
                </c:pt>
                <c:pt idx="177">
                  <c:v>91.691405792590785</c:v>
                </c:pt>
                <c:pt idx="178">
                  <c:v>91.512788216897789</c:v>
                </c:pt>
                <c:pt idx="179">
                  <c:v>91.293618452733611</c:v>
                </c:pt>
                <c:pt idx="180">
                  <c:v>91.05566475203355</c:v>
                </c:pt>
                <c:pt idx="181">
                  <c:v>90.799010233865161</c:v>
                </c:pt>
                <c:pt idx="182">
                  <c:v>90.5237375950462</c:v>
                </c:pt>
                <c:pt idx="183">
                  <c:v>90.229929058777813</c:v>
                </c:pt>
                <c:pt idx="184">
                  <c:v>89.93152680671902</c:v>
                </c:pt>
                <c:pt idx="185">
                  <c:v>89.634487813519584</c:v>
                </c:pt>
                <c:pt idx="186">
                  <c:v>89.338801286355746</c:v>
                </c:pt>
                <c:pt idx="187">
                  <c:v>89.044456545426698</c:v>
                </c:pt>
                <c:pt idx="188">
                  <c:v>88.751443022477304</c:v>
                </c:pt>
                <c:pt idx="189">
                  <c:v>88.459750259343735</c:v>
                </c:pt>
                <c:pt idx="190">
                  <c:v>88.169367906522211</c:v>
                </c:pt>
                <c:pt idx="191">
                  <c:v>87.880285721759876</c:v>
                </c:pt>
                <c:pt idx="192">
                  <c:v>87.592493568667791</c:v>
                </c:pt>
                <c:pt idx="193">
                  <c:v>87.30598141535539</c:v>
                </c:pt>
                <c:pt idx="194">
                  <c:v>87.020739333086311</c:v>
                </c:pt>
                <c:pt idx="195">
                  <c:v>86.736757494954787</c:v>
                </c:pt>
                <c:pt idx="196">
                  <c:v>86.45402617458268</c:v>
                </c:pt>
                <c:pt idx="197">
                  <c:v>86.172535744836395</c:v>
                </c:pt>
                <c:pt idx="198">
                  <c:v>85.892276676563753</c:v>
                </c:pt>
                <c:pt idx="199">
                  <c:v>85.613239537349884</c:v>
                </c:pt>
                <c:pt idx="200">
                  <c:v>85.335414990292406</c:v>
                </c:pt>
                <c:pt idx="201">
                  <c:v>82.569490126072424</c:v>
                </c:pt>
                <c:pt idx="202">
                  <c:v>79.921190425444834</c:v>
                </c:pt>
                <c:pt idx="203">
                  <c:v>77.381851417373767</c:v>
                </c:pt>
                <c:pt idx="204">
                  <c:v>74.943638811577586</c:v>
                </c:pt>
                <c:pt idx="205">
                  <c:v>72.599451236786607</c:v>
                </c:pt>
                <c:pt idx="206">
                  <c:v>70.342836499212979</c:v>
                </c:pt>
                <c:pt idx="207">
                  <c:v>68.167919224507799</c:v>
                </c:pt>
                <c:pt idx="208">
                  <c:v>66.069338127032822</c:v>
                </c:pt>
                <c:pt idx="209">
                  <c:v>64.042191456379811</c:v>
                </c:pt>
                <c:pt idx="210">
                  <c:v>62.081989418655361</c:v>
                </c:pt>
                <c:pt idx="211">
                  <c:v>60.184612571378217</c:v>
                </c:pt>
                <c:pt idx="212">
                  <c:v>58.346275355407087</c:v>
                </c:pt>
                <c:pt idx="213">
                  <c:v>56.563494062541686</c:v>
                </c:pt>
                <c:pt idx="214">
                  <c:v>54.833058649128546</c:v>
                </c:pt>
                <c:pt idx="215">
                  <c:v>53.152007898746668</c:v>
                </c:pt>
                <c:pt idx="216">
                  <c:v>51.517607514489754</c:v>
                </c:pt>
                <c:pt idx="217">
                  <c:v>49.927330786418921</c:v>
                </c:pt>
                <c:pt idx="218">
                  <c:v>48.378841534777976</c:v>
                </c:pt>
                <c:pt idx="219">
                  <c:v>46.869979076449745</c:v>
                </c:pt>
                <c:pt idx="220">
                  <c:v>45.398745002447527</c:v>
                </c:pt>
                <c:pt idx="221">
                  <c:v>43.963291589274462</c:v>
                </c:pt>
                <c:pt idx="222">
                  <c:v>42.561911697832144</c:v>
                </c:pt>
                <c:pt idx="223">
                  <c:v>41.193030041146272</c:v>
                </c:pt>
                <c:pt idx="224">
                  <c:v>39.855195727311603</c:v>
                </c:pt>
                <c:pt idx="225">
                  <c:v>38.547076007462429</c:v>
                </c:pt>
                <c:pt idx="226">
                  <c:v>37.267451180914577</c:v>
                </c:pt>
                <c:pt idx="227">
                  <c:v>36.015210631525505</c:v>
                </c:pt>
                <c:pt idx="228">
                  <c:v>34.78934999139301</c:v>
                </c:pt>
                <c:pt idx="229">
                  <c:v>33.588969450864667</c:v>
                </c:pt>
                <c:pt idx="230">
                  <c:v>32.413273258072515</c:v>
                </c:pt>
                <c:pt idx="231">
                  <c:v>31.261570477455329</c:v>
                </c:pt>
                <c:pt idx="232">
                  <c:v>30.133277105591542</c:v>
                </c:pt>
                <c:pt idx="233">
                  <c:v>29.027919674700261</c:v>
                </c:pt>
                <c:pt idx="234">
                  <c:v>27.945140509818781</c:v>
                </c:pt>
                <c:pt idx="235">
                  <c:v>26.884704845129029</c:v>
                </c:pt>
                <c:pt idx="236">
                  <c:v>25.846510047908563</c:v>
                </c:pt>
                <c:pt idx="237">
                  <c:v>24.8305972440163</c:v>
                </c:pt>
                <c:pt idx="238">
                  <c:v>23.837165684160198</c:v>
                </c:pt>
                <c:pt idx="239">
                  <c:v>22.866590230562153</c:v>
                </c:pt>
                <c:pt idx="240">
                  <c:v>21.919442370410891</c:v>
                </c:pt>
                <c:pt idx="241">
                  <c:v>20.99651516119421</c:v>
                </c:pt>
                <c:pt idx="242">
                  <c:v>20.098852460260328</c:v>
                </c:pt>
                <c:pt idx="243">
                  <c:v>19.227782650377186</c:v>
                </c:pt>
                <c:pt idx="244">
                  <c:v>18.384956789985683</c:v>
                </c:pt>
                <c:pt idx="245">
                  <c:v>17.572390612706041</c:v>
                </c:pt>
                <c:pt idx="246">
                  <c:v>16.792508968895582</c:v>
                </c:pt>
                <c:pt idx="247">
                  <c:v>16.04819001040779</c:v>
                </c:pt>
                <c:pt idx="248">
                  <c:v>15.342804528245731</c:v>
                </c:pt>
                <c:pt idx="249">
                  <c:v>14.680243263757218</c:v>
                </c:pt>
                <c:pt idx="250">
                  <c:v>14.064921775447608</c:v>
                </c:pt>
                <c:pt idx="251">
                  <c:v>13.501748926723552</c:v>
                </c:pt>
                <c:pt idx="252">
                  <c:v>12.996042201721938</c:v>
                </c:pt>
                <c:pt idx="253">
                  <c:v>12.55337257516447</c:v>
                </c:pt>
                <c:pt idx="254">
                  <c:v>12.179326009255776</c:v>
                </c:pt>
                <c:pt idx="255">
                  <c:v>11.879180310580002</c:v>
                </c:pt>
                <c:pt idx="256">
                  <c:v>11.657515911904252</c:v>
                </c:pt>
                <c:pt idx="257">
                  <c:v>11.517804104564037</c:v>
                </c:pt>
                <c:pt idx="258">
                  <c:v>11.46203807293257</c:v>
                </c:pt>
                <c:pt idx="259">
                  <c:v>11.490479308158806</c:v>
                </c:pt>
                <c:pt idx="260">
                  <c:v>11.601576152780801</c:v>
                </c:pt>
                <c:pt idx="261">
                  <c:v>11.792074012778116</c:v>
                </c:pt>
                <c:pt idx="262">
                  <c:v>12.057291589084622</c:v>
                </c:pt>
                <c:pt idx="263">
                  <c:v>12.391502533103848</c:v>
                </c:pt>
                <c:pt idx="264">
                  <c:v>12.788349373839962</c:v>
                </c:pt>
                <c:pt idx="265">
                  <c:v>13.241226489287198</c:v>
                </c:pt>
                <c:pt idx="266">
                  <c:v>13.743591970674608</c:v>
                </c:pt>
                <c:pt idx="267">
                  <c:v>14.289193056151731</c:v>
                </c:pt>
                <c:pt idx="268">
                  <c:v>14.872208732707501</c:v>
                </c:pt>
                <c:pt idx="269">
                  <c:v>15.487323700928332</c:v>
                </c:pt>
                <c:pt idx="270">
                  <c:v>16.129751394198326</c:v>
                </c:pt>
                <c:pt idx="271">
                  <c:v>16.795222734447979</c:v>
                </c:pt>
                <c:pt idx="272">
                  <c:v>17.479954197269659</c:v>
                </c:pt>
                <c:pt idx="273">
                  <c:v>18.180605174676892</c:v>
                </c:pt>
                <c:pt idx="274">
                  <c:v>18.894231415274788</c:v>
                </c:pt>
                <c:pt idx="275">
                  <c:v>19.61823880193085</c:v>
                </c:pt>
                <c:pt idx="276">
                  <c:v>20.350339911252686</c:v>
                </c:pt>
                <c:pt idx="277">
                  <c:v>21.08851457428802</c:v>
                </c:pt>
                <c:pt idx="278">
                  <c:v>21.830974879015479</c:v>
                </c:pt>
                <c:pt idx="279">
                  <c:v>22.576134590271728</c:v>
                </c:pt>
                <c:pt idx="280">
                  <c:v>23.322582707343049</c:v>
                </c:pt>
                <c:pt idx="281">
                  <c:v>24.06906075753913</c:v>
                </c:pt>
                <c:pt idx="282">
                  <c:v>24.8144433833371</c:v>
                </c:pt>
                <c:pt idx="283">
                  <c:v>25.557721786598037</c:v>
                </c:pt>
                <c:pt idx="284">
                  <c:v>26.297989623935617</c:v>
                </c:pt>
                <c:pt idx="285">
                  <c:v>27.034430989061946</c:v>
                </c:pt>
                <c:pt idx="286">
                  <c:v>27.766310162899202</c:v>
                </c:pt>
                <c:pt idx="287">
                  <c:v>28.492962855999941</c:v>
                </c:pt>
                <c:pt idx="288">
                  <c:v>29.213788708109501</c:v>
                </c:pt>
                <c:pt idx="289">
                  <c:v>29.92824484557892</c:v>
                </c:pt>
                <c:pt idx="290">
                  <c:v>30.635840328589911</c:v>
                </c:pt>
                <c:pt idx="291">
                  <c:v>31.33613134698437</c:v>
                </c:pt>
                <c:pt idx="292">
                  <c:v>32.028717046295561</c:v>
                </c:pt>
                <c:pt idx="293">
                  <c:v>32.713235884828237</c:v>
                </c:pt>
                <c:pt idx="294">
                  <c:v>33.389362438809606</c:v>
                </c:pt>
                <c:pt idx="295">
                  <c:v>34.056804586182295</c:v>
                </c:pt>
                <c:pt idx="296">
                  <c:v>34.715301010939307</c:v>
                </c:pt>
                <c:pt idx="297">
                  <c:v>35.364618979363861</c:v>
                </c:pt>
                <c:pt idx="298">
                  <c:v>36.004552347438675</c:v>
                </c:pt>
                <c:pt idx="299">
                  <c:v>36.634919765286831</c:v>
                </c:pt>
                <c:pt idx="300">
                  <c:v>37.255563050018964</c:v>
                </c:pt>
                <c:pt idx="301">
                  <c:v>37.866345702968694</c:v>
                </c:pt>
                <c:pt idx="302">
                  <c:v>38.467151551153002</c:v>
                </c:pt>
                <c:pt idx="303">
                  <c:v>39.057883496021482</c:v>
                </c:pt>
                <c:pt idx="304">
                  <c:v>39.638462355262433</c:v>
                </c:pt>
                <c:pt idx="305">
                  <c:v>40.208825785701329</c:v>
                </c:pt>
                <c:pt idx="306">
                  <c:v>40.768927277230333</c:v>
                </c:pt>
                <c:pt idx="307">
                  <c:v>41.318735209304691</c:v>
                </c:pt>
                <c:pt idx="308">
                  <c:v>41.858231962884048</c:v>
                </c:pt>
                <c:pt idx="309">
                  <c:v>42.38741308182356</c:v>
                </c:pt>
                <c:pt idx="310">
                  <c:v>42.906286478666864</c:v>
                </c:pt>
                <c:pt idx="311">
                  <c:v>43.414871680587588</c:v>
                </c:pt>
                <c:pt idx="312">
                  <c:v>43.913199111893903</c:v>
                </c:pt>
                <c:pt idx="313">
                  <c:v>44.401309410069537</c:v>
                </c:pt>
                <c:pt idx="314">
                  <c:v>44.879252772793642</c:v>
                </c:pt>
                <c:pt idx="315">
                  <c:v>45.3470883337733</c:v>
                </c:pt>
                <c:pt idx="316">
                  <c:v>45.804883565549616</c:v>
                </c:pt>
                <c:pt idx="317">
                  <c:v>46.252713707710001</c:v>
                </c:pt>
                <c:pt idx="318">
                  <c:v>46.690661219165506</c:v>
                </c:pt>
                <c:pt idx="319">
                  <c:v>47.118815253338141</c:v>
                </c:pt>
                <c:pt idx="320">
                  <c:v>47.537271155257571</c:v>
                </c:pt>
                <c:pt idx="321">
                  <c:v>47.946129979691896</c:v>
                </c:pt>
                <c:pt idx="322">
                  <c:v>48.345498029540529</c:v>
                </c:pt>
                <c:pt idx="323">
                  <c:v>48.735486413799912</c:v>
                </c:pt>
                <c:pt idx="324">
                  <c:v>49.116210624479919</c:v>
                </c:pt>
                <c:pt idx="325">
                  <c:v>49.487790131901868</c:v>
                </c:pt>
                <c:pt idx="326">
                  <c:v>49.850347997851266</c:v>
                </c:pt>
                <c:pt idx="327">
                  <c:v>50.204010506090761</c:v>
                </c:pt>
                <c:pt idx="328">
                  <c:v>50.548906809764247</c:v>
                </c:pt>
                <c:pt idx="329">
                  <c:v>50.88516859524178</c:v>
                </c:pt>
                <c:pt idx="330">
                  <c:v>51.212929761969107</c:v>
                </c:pt>
                <c:pt idx="331">
                  <c:v>51.532326117895551</c:v>
                </c:pt>
                <c:pt idx="332">
                  <c:v>51.843495090061253</c:v>
                </c:pt>
                <c:pt idx="333">
                  <c:v>52.146575449929337</c:v>
                </c:pt>
                <c:pt idx="334">
                  <c:v>52.44170705305168</c:v>
                </c:pt>
                <c:pt idx="335">
                  <c:v>52.729030592658823</c:v>
                </c:pt>
                <c:pt idx="336">
                  <c:v>53.008687366765493</c:v>
                </c:pt>
                <c:pt idx="337">
                  <c:v>53.280819058384068</c:v>
                </c:pt>
                <c:pt idx="338">
                  <c:v>53.545567528438546</c:v>
                </c:pt>
                <c:pt idx="339">
                  <c:v>53.803074620972232</c:v>
                </c:pt>
                <c:pt idx="340">
                  <c:v>54.05348198024322</c:v>
                </c:pt>
                <c:pt idx="341">
                  <c:v>54.296930879302657</c:v>
                </c:pt>
                <c:pt idx="342">
                  <c:v>54.533562059652731</c:v>
                </c:pt>
                <c:pt idx="343">
                  <c:v>54.763515581583256</c:v>
                </c:pt>
                <c:pt idx="344">
                  <c:v>54.986930684788547</c:v>
                </c:pt>
                <c:pt idx="345">
                  <c:v>55.203945658869777</c:v>
                </c:pt>
                <c:pt idx="346">
                  <c:v>55.414697723331919</c:v>
                </c:pt>
                <c:pt idx="347">
                  <c:v>55.619322916689043</c:v>
                </c:pt>
                <c:pt idx="348">
                  <c:v>55.817955994297002</c:v>
                </c:pt>
                <c:pt idx="349">
                  <c:v>56.010730334538316</c:v>
                </c:pt>
                <c:pt idx="350">
                  <c:v>56.010917313318963</c:v>
                </c:pt>
                <c:pt idx="351">
                  <c:v>56.011104286521977</c:v>
                </c:pt>
                <c:pt idx="352">
                  <c:v>56.011291254147501</c:v>
                </c:pt>
                <c:pt idx="353">
                  <c:v>56.011478216195634</c:v>
                </c:pt>
                <c:pt idx="354">
                  <c:v>56.011665172666532</c:v>
                </c:pt>
                <c:pt idx="355">
                  <c:v>56.011852123560303</c:v>
                </c:pt>
                <c:pt idx="356">
                  <c:v>56.012039068877087</c:v>
                </c:pt>
                <c:pt idx="357">
                  <c:v>56.012226008616999</c:v>
                </c:pt>
                <c:pt idx="358">
                  <c:v>56.012412942780173</c:v>
                </c:pt>
                <c:pt idx="359">
                  <c:v>56.012599871366731</c:v>
                </c:pt>
                <c:pt idx="360">
                  <c:v>56.012786794376808</c:v>
                </c:pt>
                <c:pt idx="361">
                  <c:v>56.012973711810524</c:v>
                </c:pt>
                <c:pt idx="362">
                  <c:v>56.013160623668007</c:v>
                </c:pt>
                <c:pt idx="363">
                  <c:v>56.013347529949378</c:v>
                </c:pt>
                <c:pt idx="364">
                  <c:v>56.013534430654779</c:v>
                </c:pt>
                <c:pt idx="365">
                  <c:v>56.013721325784324</c:v>
                </c:pt>
                <c:pt idx="366">
                  <c:v>56.013908215338148</c:v>
                </c:pt>
                <c:pt idx="367">
                  <c:v>56.014095099316371</c:v>
                </c:pt>
                <c:pt idx="368">
                  <c:v>56.014281977719115</c:v>
                </c:pt>
                <c:pt idx="369">
                  <c:v>56.014468850546521</c:v>
                </c:pt>
                <c:pt idx="370">
                  <c:v>56.014655717798711</c:v>
                </c:pt>
                <c:pt idx="371">
                  <c:v>56.014842579475804</c:v>
                </c:pt>
                <c:pt idx="372">
                  <c:v>56.015029435577929</c:v>
                </c:pt>
                <c:pt idx="373">
                  <c:v>56.015216286105215</c:v>
                </c:pt>
                <c:pt idx="374">
                  <c:v>56.015403131057795</c:v>
                </c:pt>
                <c:pt idx="375">
                  <c:v>56.015589970435791</c:v>
                </c:pt>
                <c:pt idx="376">
                  <c:v>56.01577680423933</c:v>
                </c:pt>
                <c:pt idx="377">
                  <c:v>56.015963632468534</c:v>
                </c:pt>
                <c:pt idx="378">
                  <c:v>56.01615045512353</c:v>
                </c:pt>
                <c:pt idx="379">
                  <c:v>56.016337272204446</c:v>
                </c:pt>
                <c:pt idx="380">
                  <c:v>56.016524083711424</c:v>
                </c:pt>
                <c:pt idx="381">
                  <c:v>56.016710889644571</c:v>
                </c:pt>
                <c:pt idx="382">
                  <c:v>56.016897690004022</c:v>
                </c:pt>
                <c:pt idx="383">
                  <c:v>56.017084484789898</c:v>
                </c:pt>
                <c:pt idx="384">
                  <c:v>56.017271274002326</c:v>
                </c:pt>
                <c:pt idx="385">
                  <c:v>56.017458057641448</c:v>
                </c:pt>
                <c:pt idx="386">
                  <c:v>56.017644835707372</c:v>
                </c:pt>
                <c:pt idx="387">
                  <c:v>56.01783160820024</c:v>
                </c:pt>
                <c:pt idx="388">
                  <c:v>56.018018375120164</c:v>
                </c:pt>
                <c:pt idx="389">
                  <c:v>56.01820513646728</c:v>
                </c:pt>
                <c:pt idx="390">
                  <c:v>56.018391892241716</c:v>
                </c:pt>
                <c:pt idx="391">
                  <c:v>56.018578642443593</c:v>
                </c:pt>
                <c:pt idx="392">
                  <c:v>56.018765387073039</c:v>
                </c:pt>
                <c:pt idx="393">
                  <c:v>56.018952126130188</c:v>
                </c:pt>
                <c:pt idx="394">
                  <c:v>56.019138859615147</c:v>
                </c:pt>
                <c:pt idx="395">
                  <c:v>56.019325587528066</c:v>
                </c:pt>
                <c:pt idx="396">
                  <c:v>56.019512309869064</c:v>
                </c:pt>
                <c:pt idx="397">
                  <c:v>56.019699026638264</c:v>
                </c:pt>
                <c:pt idx="398">
                  <c:v>56.019885737835793</c:v>
                </c:pt>
                <c:pt idx="399">
                  <c:v>56.020072443461771</c:v>
                </c:pt>
                <c:pt idx="400">
                  <c:v>56.020259143516341</c:v>
                </c:pt>
                <c:pt idx="401">
                  <c:v>56.020445837999624</c:v>
                </c:pt>
                <c:pt idx="402">
                  <c:v>56.020632526911733</c:v>
                </c:pt>
                <c:pt idx="403">
                  <c:v>56.020819210252824</c:v>
                </c:pt>
                <c:pt idx="404">
                  <c:v>56.021005888022991</c:v>
                </c:pt>
                <c:pt idx="405">
                  <c:v>56.021192560222389</c:v>
                </c:pt>
                <c:pt idx="406">
                  <c:v>56.021379226851124</c:v>
                </c:pt>
                <c:pt idx="407">
                  <c:v>56.021565887909325</c:v>
                </c:pt>
                <c:pt idx="408">
                  <c:v>56.021752543397135</c:v>
                </c:pt>
                <c:pt idx="409">
                  <c:v>56.021939193314665</c:v>
                </c:pt>
                <c:pt idx="410">
                  <c:v>56.022125837662038</c:v>
                </c:pt>
                <c:pt idx="411">
                  <c:v>56.022312476439396</c:v>
                </c:pt>
                <c:pt idx="412">
                  <c:v>56.022499109646866</c:v>
                </c:pt>
                <c:pt idx="413">
                  <c:v>56.022685737284554</c:v>
                </c:pt>
                <c:pt idx="414">
                  <c:v>56.022872359352611</c:v>
                </c:pt>
                <c:pt idx="415">
                  <c:v>56.023058975851143</c:v>
                </c:pt>
                <c:pt idx="416">
                  <c:v>56.023245586780291</c:v>
                </c:pt>
                <c:pt idx="417">
                  <c:v>56.02343219214017</c:v>
                </c:pt>
                <c:pt idx="418">
                  <c:v>56.023618791930929</c:v>
                </c:pt>
                <c:pt idx="419">
                  <c:v>56.023805386152674</c:v>
                </c:pt>
                <c:pt idx="420">
                  <c:v>56.023991974805533</c:v>
                </c:pt>
                <c:pt idx="421">
                  <c:v>56.024178557889641</c:v>
                </c:pt>
                <c:pt idx="422">
                  <c:v>56.02436513540512</c:v>
                </c:pt>
                <c:pt idx="423">
                  <c:v>56.024551707352089</c:v>
                </c:pt>
                <c:pt idx="424">
                  <c:v>56.024738273730691</c:v>
                </c:pt>
                <c:pt idx="425">
                  <c:v>56.024924834541046</c:v>
                </c:pt>
                <c:pt idx="426">
                  <c:v>56.02511138978327</c:v>
                </c:pt>
                <c:pt idx="427">
                  <c:v>56.025297939457509</c:v>
                </c:pt>
                <c:pt idx="428">
                  <c:v>56.025484483563872</c:v>
                </c:pt>
                <c:pt idx="429">
                  <c:v>56.0256710221025</c:v>
                </c:pt>
                <c:pt idx="430">
                  <c:v>56.025857555073515</c:v>
                </c:pt>
                <c:pt idx="431">
                  <c:v>56.026044082477028</c:v>
                </c:pt>
                <c:pt idx="432">
                  <c:v>56.026230604313191</c:v>
                </c:pt>
                <c:pt idx="433">
                  <c:v>56.026417120582117</c:v>
                </c:pt>
                <c:pt idx="434">
                  <c:v>56.026603631283933</c:v>
                </c:pt>
                <c:pt idx="435">
                  <c:v>56.026790136418768</c:v>
                </c:pt>
                <c:pt idx="436">
                  <c:v>56.026976635986749</c:v>
                </c:pt>
                <c:pt idx="437">
                  <c:v>56.027163129988004</c:v>
                </c:pt>
                <c:pt idx="438">
                  <c:v>56.027349618422654</c:v>
                </c:pt>
                <c:pt idx="439">
                  <c:v>56.027536101290828</c:v>
                </c:pt>
                <c:pt idx="440">
                  <c:v>56.027722578592659</c:v>
                </c:pt>
                <c:pt idx="441">
                  <c:v>56.027909050328269</c:v>
                </c:pt>
                <c:pt idx="442">
                  <c:v>56.028095516497778</c:v>
                </c:pt>
                <c:pt idx="443">
                  <c:v>56.028281977101322</c:v>
                </c:pt>
                <c:pt idx="444">
                  <c:v>56.028468432139029</c:v>
                </c:pt>
                <c:pt idx="445">
                  <c:v>56.028654881611018</c:v>
                </c:pt>
                <c:pt idx="446">
                  <c:v>56.028841325517419</c:v>
                </c:pt>
                <c:pt idx="447">
                  <c:v>56.029027763858359</c:v>
                </c:pt>
                <c:pt idx="448">
                  <c:v>56.029214196633966</c:v>
                </c:pt>
                <c:pt idx="449">
                  <c:v>56.029400623844353</c:v>
                </c:pt>
                <c:pt idx="450">
                  <c:v>56.02958704548967</c:v>
                </c:pt>
                <c:pt idx="451">
                  <c:v>56.029773461570031</c:v>
                </c:pt>
                <c:pt idx="452">
                  <c:v>56.029959872085563</c:v>
                </c:pt>
                <c:pt idx="453">
                  <c:v>56.030146277036394</c:v>
                </c:pt>
                <c:pt idx="454">
                  <c:v>56.030332676422645</c:v>
                </c:pt>
                <c:pt idx="455">
                  <c:v>56.030519070244452</c:v>
                </c:pt>
                <c:pt idx="456">
                  <c:v>56.030705458501934</c:v>
                </c:pt>
                <c:pt idx="457">
                  <c:v>56.030891841195221</c:v>
                </c:pt>
                <c:pt idx="458">
                  <c:v>56.031078218324438</c:v>
                </c:pt>
                <c:pt idx="459">
                  <c:v>56.03126458988973</c:v>
                </c:pt>
                <c:pt idx="460">
                  <c:v>56.031450955891195</c:v>
                </c:pt>
                <c:pt idx="461">
                  <c:v>56.031637316328968</c:v>
                </c:pt>
                <c:pt idx="462">
                  <c:v>56.031823671203178</c:v>
                </c:pt>
                <c:pt idx="463">
                  <c:v>56.032010020513958</c:v>
                </c:pt>
                <c:pt idx="464">
                  <c:v>56.032196364261431</c:v>
                </c:pt>
                <c:pt idx="465">
                  <c:v>56.032382702445716</c:v>
                </c:pt>
                <c:pt idx="466">
                  <c:v>56.032569035066949</c:v>
                </c:pt>
                <c:pt idx="467">
                  <c:v>56.032755362125251</c:v>
                </c:pt>
                <c:pt idx="468">
                  <c:v>56.032941683620749</c:v>
                </c:pt>
                <c:pt idx="469">
                  <c:v>56.033127999553578</c:v>
                </c:pt>
                <c:pt idx="470">
                  <c:v>56.033314309923853</c:v>
                </c:pt>
                <c:pt idx="471">
                  <c:v>56.033500614731707</c:v>
                </c:pt>
                <c:pt idx="472">
                  <c:v>56.033686913977277</c:v>
                </c:pt>
                <c:pt idx="473">
                  <c:v>56.033873207660662</c:v>
                </c:pt>
                <c:pt idx="474">
                  <c:v>56.034059495782017</c:v>
                </c:pt>
                <c:pt idx="475">
                  <c:v>56.03424577834145</c:v>
                </c:pt>
                <c:pt idx="476">
                  <c:v>56.034432055339089</c:v>
                </c:pt>
                <c:pt idx="477">
                  <c:v>56.034618326775075</c:v>
                </c:pt>
                <c:pt idx="478">
                  <c:v>56.034804592649515</c:v>
                </c:pt>
                <c:pt idx="479">
                  <c:v>56.034990852962551</c:v>
                </c:pt>
                <c:pt idx="480">
                  <c:v>56.035177107714311</c:v>
                </c:pt>
                <c:pt idx="481">
                  <c:v>56.035363356904902</c:v>
                </c:pt>
                <c:pt idx="482">
                  <c:v>56.035549600534466</c:v>
                </c:pt>
                <c:pt idx="483">
                  <c:v>56.035735838603138</c:v>
                </c:pt>
                <c:pt idx="484">
                  <c:v>56.035922071111024</c:v>
                </c:pt>
                <c:pt idx="485">
                  <c:v>56.036108298058259</c:v>
                </c:pt>
                <c:pt idx="486">
                  <c:v>56.036294519444979</c:v>
                </c:pt>
                <c:pt idx="487">
                  <c:v>56.036480735271304</c:v>
                </c:pt>
                <c:pt idx="488">
                  <c:v>56.036666945537355</c:v>
                </c:pt>
                <c:pt idx="489">
                  <c:v>56.03685315024326</c:v>
                </c:pt>
                <c:pt idx="490">
                  <c:v>56.037039349389147</c:v>
                </c:pt>
                <c:pt idx="491">
                  <c:v>56.03722554297515</c:v>
                </c:pt>
                <c:pt idx="492">
                  <c:v>56.037411731001392</c:v>
                </c:pt>
                <c:pt idx="493">
                  <c:v>56.037597913467991</c:v>
                </c:pt>
                <c:pt idx="494">
                  <c:v>56.037784090375077</c:v>
                </c:pt>
                <c:pt idx="495">
                  <c:v>56.037970261722784</c:v>
                </c:pt>
                <c:pt idx="496">
                  <c:v>56.038156427511232</c:v>
                </c:pt>
                <c:pt idx="497">
                  <c:v>56.038342587740551</c:v>
                </c:pt>
                <c:pt idx="498">
                  <c:v>56.038528742410861</c:v>
                </c:pt>
                <c:pt idx="499">
                  <c:v>56.038714891522304</c:v>
                </c:pt>
                <c:pt idx="500">
                  <c:v>56.038901035074986</c:v>
                </c:pt>
                <c:pt idx="501">
                  <c:v>56.039087173069049</c:v>
                </c:pt>
                <c:pt idx="502">
                  <c:v>56.039273305504615</c:v>
                </c:pt>
                <c:pt idx="503">
                  <c:v>56.039459432381804</c:v>
                </c:pt>
                <c:pt idx="504">
                  <c:v>56.039645553700751</c:v>
                </c:pt>
                <c:pt idx="505">
                  <c:v>56.039831669461584</c:v>
                </c:pt>
                <c:pt idx="506">
                  <c:v>56.040017779664424</c:v>
                </c:pt>
                <c:pt idx="507">
                  <c:v>56.040203884309399</c:v>
                </c:pt>
                <c:pt idx="508">
                  <c:v>56.040389983396629</c:v>
                </c:pt>
                <c:pt idx="509">
                  <c:v>56.04057607692625</c:v>
                </c:pt>
                <c:pt idx="510">
                  <c:v>56.040762164898389</c:v>
                </c:pt>
                <c:pt idx="511">
                  <c:v>56.040948247313167</c:v>
                </c:pt>
                <c:pt idx="512">
                  <c:v>56.041134324170713</c:v>
                </c:pt>
                <c:pt idx="513">
                  <c:v>56.041320395471161</c:v>
                </c:pt>
                <c:pt idx="514">
                  <c:v>56.041506461214624</c:v>
                </c:pt>
                <c:pt idx="515">
                  <c:v>56.041692521401231</c:v>
                </c:pt>
                <c:pt idx="516">
                  <c:v>56.041878576031117</c:v>
                </c:pt>
                <c:pt idx="517">
                  <c:v>56.042064625104402</c:v>
                </c:pt>
                <c:pt idx="518">
                  <c:v>56.042250668621215</c:v>
                </c:pt>
                <c:pt idx="519">
                  <c:v>56.042436706581682</c:v>
                </c:pt>
                <c:pt idx="520">
                  <c:v>56.042622738985926</c:v>
                </c:pt>
                <c:pt idx="521">
                  <c:v>56.042808765834081</c:v>
                </c:pt>
                <c:pt idx="522">
                  <c:v>56.042994787126268</c:v>
                </c:pt>
                <c:pt idx="523">
                  <c:v>56.043180802862608</c:v>
                </c:pt>
                <c:pt idx="524">
                  <c:v>56.043366813043242</c:v>
                </c:pt>
                <c:pt idx="525">
                  <c:v>56.043552817668285</c:v>
                </c:pt>
                <c:pt idx="526">
                  <c:v>56.043738816737871</c:v>
                </c:pt>
                <c:pt idx="527">
                  <c:v>56.043924810252122</c:v>
                </c:pt>
                <c:pt idx="528">
                  <c:v>56.044110798211165</c:v>
                </c:pt>
                <c:pt idx="529">
                  <c:v>56.044296780615127</c:v>
                </c:pt>
                <c:pt idx="530">
                  <c:v>56.044482757464138</c:v>
                </c:pt>
                <c:pt idx="531">
                  <c:v>56.044668728758317</c:v>
                </c:pt>
                <c:pt idx="532">
                  <c:v>56.044854694497793</c:v>
                </c:pt>
                <c:pt idx="533">
                  <c:v>56.045040654682701</c:v>
                </c:pt>
                <c:pt idx="534">
                  <c:v>56.045226609313154</c:v>
                </c:pt>
                <c:pt idx="535">
                  <c:v>56.045412558389287</c:v>
                </c:pt>
                <c:pt idx="536">
                  <c:v>56.045598501911229</c:v>
                </c:pt>
                <c:pt idx="537">
                  <c:v>56.0457844398791</c:v>
                </c:pt>
                <c:pt idx="538">
                  <c:v>56.045970372293034</c:v>
                </c:pt>
                <c:pt idx="539">
                  <c:v>56.046156299153139</c:v>
                </c:pt>
                <c:pt idx="540">
                  <c:v>56.046342220459564</c:v>
                </c:pt>
                <c:pt idx="541">
                  <c:v>56.04652813621243</c:v>
                </c:pt>
                <c:pt idx="542">
                  <c:v>56.04671404641185</c:v>
                </c:pt>
                <c:pt idx="543">
                  <c:v>56.046899951057966</c:v>
                </c:pt>
                <c:pt idx="544">
                  <c:v>56.0470858501509</c:v>
                </c:pt>
                <c:pt idx="545">
                  <c:v>56.047271743690779</c:v>
                </c:pt>
                <c:pt idx="546">
                  <c:v>56.04745763167773</c:v>
                </c:pt>
                <c:pt idx="547">
                  <c:v>56.047643514111876</c:v>
                </c:pt>
                <c:pt idx="548">
                  <c:v>56.047829390993343</c:v>
                </c:pt>
                <c:pt idx="549">
                  <c:v>56.048015262322252</c:v>
                </c:pt>
                <c:pt idx="550">
                  <c:v>56.048201128098746</c:v>
                </c:pt>
                <c:pt idx="551">
                  <c:v>56.048386988322932</c:v>
                </c:pt>
                <c:pt idx="552">
                  <c:v>56.048572842994957</c:v>
                </c:pt>
                <c:pt idx="553">
                  <c:v>56.048758692114937</c:v>
                </c:pt>
                <c:pt idx="554">
                  <c:v>56.048944535682999</c:v>
                </c:pt>
                <c:pt idx="555">
                  <c:v>56.049130373699271</c:v>
                </c:pt>
                <c:pt idx="556">
                  <c:v>56.049316206163873</c:v>
                </c:pt>
                <c:pt idx="557">
                  <c:v>56.049502033076941</c:v>
                </c:pt>
                <c:pt idx="558">
                  <c:v>56.049687854438595</c:v>
                </c:pt>
                <c:pt idx="559">
                  <c:v>56.049873670248957</c:v>
                </c:pt>
                <c:pt idx="560">
                  <c:v>56.050059480508175</c:v>
                </c:pt>
                <c:pt idx="561">
                  <c:v>56.050245285216349</c:v>
                </c:pt>
                <c:pt idx="562">
                  <c:v>56.050431084373614</c:v>
                </c:pt>
                <c:pt idx="563">
                  <c:v>56.050616877980097</c:v>
                </c:pt>
                <c:pt idx="564">
                  <c:v>56.050802666035942</c:v>
                </c:pt>
                <c:pt idx="565">
                  <c:v>56.050988448541247</c:v>
                </c:pt>
                <c:pt idx="566">
                  <c:v>56.051174225496162</c:v>
                </c:pt>
                <c:pt idx="567">
                  <c:v>56.051359996900793</c:v>
                </c:pt>
                <c:pt idx="568">
                  <c:v>56.051545762755282</c:v>
                </c:pt>
                <c:pt idx="569">
                  <c:v>56.05173152305975</c:v>
                </c:pt>
                <c:pt idx="570">
                  <c:v>56.051917277814326</c:v>
                </c:pt>
                <c:pt idx="571">
                  <c:v>56.052103027019129</c:v>
                </c:pt>
                <c:pt idx="572">
                  <c:v>56.052288770674295</c:v>
                </c:pt>
                <c:pt idx="573">
                  <c:v>56.052474508779945</c:v>
                </c:pt>
                <c:pt idx="574">
                  <c:v>56.052660241336199</c:v>
                </c:pt>
                <c:pt idx="575">
                  <c:v>56.052845968343206</c:v>
                </c:pt>
                <c:pt idx="576">
                  <c:v>56.05303168980106</c:v>
                </c:pt>
                <c:pt idx="577">
                  <c:v>56.053217405709923</c:v>
                </c:pt>
                <c:pt idx="578">
                  <c:v>56.053403116069887</c:v>
                </c:pt>
                <c:pt idx="579">
                  <c:v>56.053588820881103</c:v>
                </c:pt>
                <c:pt idx="580">
                  <c:v>56.053774520143683</c:v>
                </c:pt>
                <c:pt idx="581">
                  <c:v>56.053960213857756</c:v>
                </c:pt>
                <c:pt idx="582">
                  <c:v>56.054145902023464</c:v>
                </c:pt>
                <c:pt idx="583">
                  <c:v>56.05433158464092</c:v>
                </c:pt>
                <c:pt idx="584">
                  <c:v>56.054517261710252</c:v>
                </c:pt>
                <c:pt idx="585">
                  <c:v>56.054702933231582</c:v>
                </c:pt>
                <c:pt idx="586">
                  <c:v>56.054888599205036</c:v>
                </c:pt>
                <c:pt idx="587">
                  <c:v>56.05507425963075</c:v>
                </c:pt>
                <c:pt idx="588">
                  <c:v>56.055259914508852</c:v>
                </c:pt>
                <c:pt idx="589">
                  <c:v>56.055445563839456</c:v>
                </c:pt>
                <c:pt idx="590">
                  <c:v>56.055631207622696</c:v>
                </c:pt>
                <c:pt idx="591">
                  <c:v>56.055816845858693</c:v>
                </c:pt>
                <c:pt idx="592">
                  <c:v>56.05600247854759</c:v>
                </c:pt>
                <c:pt idx="593">
                  <c:v>56.056188105689493</c:v>
                </c:pt>
                <c:pt idx="594">
                  <c:v>56.05637372728453</c:v>
                </c:pt>
                <c:pt idx="595">
                  <c:v>56.056559343332843</c:v>
                </c:pt>
                <c:pt idx="596">
                  <c:v>56.056744953834546</c:v>
                </c:pt>
                <c:pt idx="597">
                  <c:v>56.056930558789773</c:v>
                </c:pt>
                <c:pt idx="598">
                  <c:v>56.057116158198639</c:v>
                </c:pt>
                <c:pt idx="599">
                  <c:v>56.057301752061278</c:v>
                </c:pt>
                <c:pt idx="600">
                  <c:v>56.057487340377818</c:v>
                </c:pt>
                <c:pt idx="601">
                  <c:v>56.057672923148381</c:v>
                </c:pt>
                <c:pt idx="602">
                  <c:v>56.057858500373101</c:v>
                </c:pt>
                <c:pt idx="603">
                  <c:v>56.058044072052098</c:v>
                </c:pt>
                <c:pt idx="604">
                  <c:v>56.058229638185502</c:v>
                </c:pt>
                <c:pt idx="605">
                  <c:v>56.058415198773432</c:v>
                </c:pt>
                <c:pt idx="606">
                  <c:v>56.058600753816023</c:v>
                </c:pt>
                <c:pt idx="607">
                  <c:v>56.05878630331339</c:v>
                </c:pt>
                <c:pt idx="608">
                  <c:v>56.058971847265667</c:v>
                </c:pt>
                <c:pt idx="609">
                  <c:v>56.059157385672982</c:v>
                </c:pt>
                <c:pt idx="610">
                  <c:v>56.059342918535464</c:v>
                </c:pt>
                <c:pt idx="611">
                  <c:v>56.059528445853239</c:v>
                </c:pt>
                <c:pt idx="612">
                  <c:v>56.059713967626422</c:v>
                </c:pt>
                <c:pt idx="613">
                  <c:v>56.059899483855148</c:v>
                </c:pt>
                <c:pt idx="614">
                  <c:v>56.060084994539551</c:v>
                </c:pt>
                <c:pt idx="615">
                  <c:v>56.060270499679746</c:v>
                </c:pt>
                <c:pt idx="616">
                  <c:v>56.06045599927586</c:v>
                </c:pt>
                <c:pt idx="617">
                  <c:v>56.060641493328021</c:v>
                </c:pt>
                <c:pt idx="618">
                  <c:v>56.060826981836357</c:v>
                </c:pt>
                <c:pt idx="619">
                  <c:v>56.061012464800996</c:v>
                </c:pt>
                <c:pt idx="620">
                  <c:v>56.061197942222059</c:v>
                </c:pt>
                <c:pt idx="621">
                  <c:v>56.061383414099673</c:v>
                </c:pt>
                <c:pt idx="622">
                  <c:v>56.061568880433974</c:v>
                </c:pt>
                <c:pt idx="623">
                  <c:v>56.061754341225075</c:v>
                </c:pt>
                <c:pt idx="624">
                  <c:v>56.061939796473119</c:v>
                </c:pt>
                <c:pt idx="625">
                  <c:v>56.062125246178212</c:v>
                </c:pt>
                <c:pt idx="626">
                  <c:v>56.062310690340496</c:v>
                </c:pt>
                <c:pt idx="627">
                  <c:v>56.062496128960085</c:v>
                </c:pt>
                <c:pt idx="628">
                  <c:v>56.06268156203712</c:v>
                </c:pt>
                <c:pt idx="629">
                  <c:v>56.062866989571717</c:v>
                </c:pt>
                <c:pt idx="630">
                  <c:v>56.063052411564001</c:v>
                </c:pt>
                <c:pt idx="631">
                  <c:v>56.06323782801411</c:v>
                </c:pt>
                <c:pt idx="632">
                  <c:v>56.063423238922155</c:v>
                </c:pt>
                <c:pt idx="633">
                  <c:v>56.063608644288273</c:v>
                </c:pt>
                <c:pt idx="634">
                  <c:v>56.063794044112591</c:v>
                </c:pt>
                <c:pt idx="635">
                  <c:v>56.063979438395229</c:v>
                </c:pt>
                <c:pt idx="636">
                  <c:v>56.06416482713631</c:v>
                </c:pt>
                <c:pt idx="637">
                  <c:v>56.064350210335974</c:v>
                </c:pt>
                <c:pt idx="638">
                  <c:v>56.064535587994335</c:v>
                </c:pt>
                <c:pt idx="639">
                  <c:v>56.064720960111529</c:v>
                </c:pt>
                <c:pt idx="640">
                  <c:v>56.064906326687662</c:v>
                </c:pt>
                <c:pt idx="641">
                  <c:v>56.065091687722891</c:v>
                </c:pt>
                <c:pt idx="642">
                  <c:v>56.065277043217321</c:v>
                </c:pt>
                <c:pt idx="643">
                  <c:v>56.065462393171082</c:v>
                </c:pt>
                <c:pt idx="644">
                  <c:v>56.065647737584314</c:v>
                </c:pt>
                <c:pt idx="645">
                  <c:v>56.065833076457125</c:v>
                </c:pt>
                <c:pt idx="646">
                  <c:v>56.066018409789649</c:v>
                </c:pt>
                <c:pt idx="647">
                  <c:v>56.066203737582008</c:v>
                </c:pt>
                <c:pt idx="648">
                  <c:v>56.066389059834336</c:v>
                </c:pt>
                <c:pt idx="649">
                  <c:v>56.066574376546768</c:v>
                </c:pt>
                <c:pt idx="650">
                  <c:v>56.066759687719404</c:v>
                </c:pt>
                <c:pt idx="651">
                  <c:v>56.066944993352379</c:v>
                </c:pt>
                <c:pt idx="652">
                  <c:v>56.067130293445835</c:v>
                </c:pt>
                <c:pt idx="653">
                  <c:v>56.067315587999879</c:v>
                </c:pt>
                <c:pt idx="654">
                  <c:v>56.067500877014659</c:v>
                </c:pt>
                <c:pt idx="655">
                  <c:v>56.067686160490283</c:v>
                </c:pt>
                <c:pt idx="656">
                  <c:v>56.067871438426884</c:v>
                </c:pt>
                <c:pt idx="657">
                  <c:v>56.068056710824585</c:v>
                </c:pt>
                <c:pt idx="658">
                  <c:v>56.06824197768352</c:v>
                </c:pt>
                <c:pt idx="659">
                  <c:v>56.068427239003803</c:v>
                </c:pt>
                <c:pt idx="660">
                  <c:v>56.068612494785569</c:v>
                </c:pt>
                <c:pt idx="661">
                  <c:v>56.068797745028945</c:v>
                </c:pt>
                <c:pt idx="662">
                  <c:v>56.068982989734053</c:v>
                </c:pt>
                <c:pt idx="663">
                  <c:v>56.06916822890102</c:v>
                </c:pt>
                <c:pt idx="664">
                  <c:v>56.069353462529975</c:v>
                </c:pt>
                <c:pt idx="665">
                  <c:v>56.069538690621052</c:v>
                </c:pt>
                <c:pt idx="666">
                  <c:v>56.069723913174357</c:v>
                </c:pt>
                <c:pt idx="667">
                  <c:v>56.069909130190027</c:v>
                </c:pt>
                <c:pt idx="668">
                  <c:v>56.070094341668202</c:v>
                </c:pt>
                <c:pt idx="669">
                  <c:v>56.070279547608983</c:v>
                </c:pt>
                <c:pt idx="670">
                  <c:v>56.070464748012505</c:v>
                </c:pt>
                <c:pt idx="671">
                  <c:v>56.070649942878916</c:v>
                </c:pt>
                <c:pt idx="672">
                  <c:v>56.070835132208309</c:v>
                </c:pt>
                <c:pt idx="673">
                  <c:v>56.071020316000826</c:v>
                </c:pt>
                <c:pt idx="674">
                  <c:v>56.071205494256596</c:v>
                </c:pt>
                <c:pt idx="675">
                  <c:v>56.071390666975745</c:v>
                </c:pt>
                <c:pt idx="676">
                  <c:v>56.071575834158395</c:v>
                </c:pt>
                <c:pt idx="677">
                  <c:v>56.071760995804681</c:v>
                </c:pt>
                <c:pt idx="678">
                  <c:v>56.071946151914709</c:v>
                </c:pt>
                <c:pt idx="679">
                  <c:v>56.072131302488629</c:v>
                </c:pt>
                <c:pt idx="680">
                  <c:v>56.072316447526539</c:v>
                </c:pt>
                <c:pt idx="681">
                  <c:v>56.072501587028604</c:v>
                </c:pt>
                <c:pt idx="682">
                  <c:v>56.072686720994916</c:v>
                </c:pt>
                <c:pt idx="683">
                  <c:v>56.072871849425617</c:v>
                </c:pt>
                <c:pt idx="684">
                  <c:v>56.073056972320835</c:v>
                </c:pt>
                <c:pt idx="685">
                  <c:v>56.073242089680683</c:v>
                </c:pt>
                <c:pt idx="686">
                  <c:v>56.073427201505304</c:v>
                </c:pt>
                <c:pt idx="687">
                  <c:v>56.073612307794818</c:v>
                </c:pt>
                <c:pt idx="688">
                  <c:v>56.073797408549346</c:v>
                </c:pt>
                <c:pt idx="689">
                  <c:v>56.073982503769017</c:v>
                </c:pt>
                <c:pt idx="690">
                  <c:v>56.074167593453964</c:v>
                </c:pt>
                <c:pt idx="691">
                  <c:v>56.07435267760431</c:v>
                </c:pt>
                <c:pt idx="692">
                  <c:v>56.074537756220167</c:v>
                </c:pt>
                <c:pt idx="693">
                  <c:v>56.074722829301678</c:v>
                </c:pt>
                <c:pt idx="694">
                  <c:v>56.074907896848963</c:v>
                </c:pt>
                <c:pt idx="695">
                  <c:v>56.075092958862157</c:v>
                </c:pt>
                <c:pt idx="696">
                  <c:v>56.075278015341375</c:v>
                </c:pt>
                <c:pt idx="697">
                  <c:v>56.075463066286751</c:v>
                </c:pt>
                <c:pt idx="698">
                  <c:v>56.075648111698399</c:v>
                </c:pt>
                <c:pt idx="699">
                  <c:v>56.075833151576461</c:v>
                </c:pt>
                <c:pt idx="700">
                  <c:v>56.076018185921058</c:v>
                </c:pt>
                <c:pt idx="701">
                  <c:v>56.07620321473231</c:v>
                </c:pt>
                <c:pt idx="702">
                  <c:v>56.076388238010345</c:v>
                </c:pt>
                <c:pt idx="703">
                  <c:v>56.076573255755292</c:v>
                </c:pt>
                <c:pt idx="704">
                  <c:v>56.076758267967278</c:v>
                </c:pt>
                <c:pt idx="705">
                  <c:v>56.076943274646439</c:v>
                </c:pt>
                <c:pt idx="706">
                  <c:v>56.07712827579288</c:v>
                </c:pt>
                <c:pt idx="707">
                  <c:v>56.077313271406744</c:v>
                </c:pt>
                <c:pt idx="708">
                  <c:v>56.077498261488145</c:v>
                </c:pt>
                <c:pt idx="709">
                  <c:v>56.077683246037218</c:v>
                </c:pt>
                <c:pt idx="710">
                  <c:v>56.077868225054097</c:v>
                </c:pt>
                <c:pt idx="711">
                  <c:v>56.078053198538889</c:v>
                </c:pt>
                <c:pt idx="712">
                  <c:v>56.07823816649173</c:v>
                </c:pt>
                <c:pt idx="713">
                  <c:v>56.078423128912739</c:v>
                </c:pt>
                <c:pt idx="714">
                  <c:v>56.07860808580206</c:v>
                </c:pt>
                <c:pt idx="715">
                  <c:v>56.078793037159798</c:v>
                </c:pt>
                <c:pt idx="716">
                  <c:v>56.078977982986096</c:v>
                </c:pt>
                <c:pt idx="717">
                  <c:v>56.079162923281082</c:v>
                </c:pt>
                <c:pt idx="718">
                  <c:v>56.079347858044862</c:v>
                </c:pt>
                <c:pt idx="719">
                  <c:v>56.079532787277572</c:v>
                </c:pt>
                <c:pt idx="720">
                  <c:v>56.079717710979345</c:v>
                </c:pt>
                <c:pt idx="721">
                  <c:v>56.079902629150304</c:v>
                </c:pt>
                <c:pt idx="722">
                  <c:v>56.080087541790562</c:v>
                </c:pt>
                <c:pt idx="723">
                  <c:v>56.080272448900274</c:v>
                </c:pt>
                <c:pt idx="724">
                  <c:v>56.080457350479541</c:v>
                </c:pt>
                <c:pt idx="725">
                  <c:v>56.080642246528491</c:v>
                </c:pt>
                <c:pt idx="726">
                  <c:v>56.080827137047272</c:v>
                </c:pt>
                <c:pt idx="727">
                  <c:v>56.081012022035985</c:v>
                </c:pt>
                <c:pt idx="728">
                  <c:v>56.081196901494764</c:v>
                </c:pt>
                <c:pt idx="729">
                  <c:v>56.081381775423743</c:v>
                </c:pt>
                <c:pt idx="730">
                  <c:v>56.081566643823038</c:v>
                </c:pt>
                <c:pt idx="731">
                  <c:v>56.08175150669279</c:v>
                </c:pt>
                <c:pt idx="732">
                  <c:v>56.081936364033105</c:v>
                </c:pt>
                <c:pt idx="733">
                  <c:v>56.082121215844118</c:v>
                </c:pt>
                <c:pt idx="734">
                  <c:v>56.082306062125959</c:v>
                </c:pt>
                <c:pt idx="735">
                  <c:v>56.082490902878753</c:v>
                </c:pt>
                <c:pt idx="736">
                  <c:v>56.082675738102623</c:v>
                </c:pt>
                <c:pt idx="737">
                  <c:v>56.082860567797695</c:v>
                </c:pt>
                <c:pt idx="738">
                  <c:v>56.083045391964099</c:v>
                </c:pt>
                <c:pt idx="739">
                  <c:v>56.083230210601961</c:v>
                </c:pt>
                <c:pt idx="740">
                  <c:v>56.083415023711403</c:v>
                </c:pt>
                <c:pt idx="741">
                  <c:v>56.08359983129256</c:v>
                </c:pt>
                <c:pt idx="742">
                  <c:v>56.083784633345552</c:v>
                </c:pt>
                <c:pt idx="743">
                  <c:v>56.0839694298705</c:v>
                </c:pt>
                <c:pt idx="744">
                  <c:v>56.084154220867539</c:v>
                </c:pt>
                <c:pt idx="745">
                  <c:v>56.084339006336783</c:v>
                </c:pt>
                <c:pt idx="746">
                  <c:v>56.084523786278375</c:v>
                </c:pt>
                <c:pt idx="747">
                  <c:v>56.084708560692434</c:v>
                </c:pt>
                <c:pt idx="748">
                  <c:v>56.084893329579081</c:v>
                </c:pt>
                <c:pt idx="749">
                  <c:v>56.085078092938453</c:v>
                </c:pt>
                <c:pt idx="750">
                  <c:v>56.085262850770661</c:v>
                </c:pt>
                <c:pt idx="751">
                  <c:v>56.085447603075849</c:v>
                </c:pt>
                <c:pt idx="752">
                  <c:v>56.08563234985413</c:v>
                </c:pt>
                <c:pt idx="753">
                  <c:v>56.085817091105632</c:v>
                </c:pt>
                <c:pt idx="754">
                  <c:v>56.086001826830483</c:v>
                </c:pt>
                <c:pt idx="755">
                  <c:v>56.086186557028817</c:v>
                </c:pt>
                <c:pt idx="756">
                  <c:v>56.086371281700742</c:v>
                </c:pt>
                <c:pt idx="757">
                  <c:v>56.0865560008464</c:v>
                </c:pt>
                <c:pt idx="758">
                  <c:v>56.086740714465911</c:v>
                </c:pt>
                <c:pt idx="759">
                  <c:v>56.086925422559403</c:v>
                </c:pt>
                <c:pt idx="760">
                  <c:v>56.087110125127005</c:v>
                </c:pt>
                <c:pt idx="761">
                  <c:v>56.087294822168836</c:v>
                </c:pt>
                <c:pt idx="762">
                  <c:v>56.087479513685025</c:v>
                </c:pt>
                <c:pt idx="763">
                  <c:v>56.087664199675693</c:v>
                </c:pt>
                <c:pt idx="764">
                  <c:v>56.087848880140974</c:v>
                </c:pt>
                <c:pt idx="765">
                  <c:v>56.088033555080997</c:v>
                </c:pt>
                <c:pt idx="766">
                  <c:v>56.088218224495883</c:v>
                </c:pt>
                <c:pt idx="767">
                  <c:v>56.088402888385758</c:v>
                </c:pt>
                <c:pt idx="768">
                  <c:v>56.088587546750752</c:v>
                </c:pt>
                <c:pt idx="769">
                  <c:v>56.088772199590984</c:v>
                </c:pt>
                <c:pt idx="770">
                  <c:v>56.088956846906584</c:v>
                </c:pt>
                <c:pt idx="771">
                  <c:v>56.089141488697685</c:v>
                </c:pt>
                <c:pt idx="772">
                  <c:v>56.089326124964387</c:v>
                </c:pt>
                <c:pt idx="773">
                  <c:v>56.089510755706861</c:v>
                </c:pt>
                <c:pt idx="774">
                  <c:v>56.089695380925193</c:v>
                </c:pt>
                <c:pt idx="775">
                  <c:v>56.089880000619523</c:v>
                </c:pt>
                <c:pt idx="776">
                  <c:v>56.090064614789988</c:v>
                </c:pt>
                <c:pt idx="777">
                  <c:v>56.090249223436693</c:v>
                </c:pt>
                <c:pt idx="778">
                  <c:v>56.090433826559789</c:v>
                </c:pt>
                <c:pt idx="779">
                  <c:v>56.090618424159381</c:v>
                </c:pt>
                <c:pt idx="780">
                  <c:v>56.090803016235597</c:v>
                </c:pt>
                <c:pt idx="781">
                  <c:v>56.09098760278858</c:v>
                </c:pt>
                <c:pt idx="782">
                  <c:v>56.091172183818436</c:v>
                </c:pt>
                <c:pt idx="783">
                  <c:v>56.091356759325308</c:v>
                </c:pt>
                <c:pt idx="784">
                  <c:v>56.091541329309301</c:v>
                </c:pt>
                <c:pt idx="785">
                  <c:v>56.091725893770565</c:v>
                </c:pt>
                <c:pt idx="786">
                  <c:v>56.091910452709214</c:v>
                </c:pt>
                <c:pt idx="787">
                  <c:v>56.092095006125376</c:v>
                </c:pt>
                <c:pt idx="788">
                  <c:v>56.092279554019179</c:v>
                </c:pt>
                <c:pt idx="789">
                  <c:v>56.092464096390735</c:v>
                </c:pt>
                <c:pt idx="790">
                  <c:v>56.092648633240188</c:v>
                </c:pt>
                <c:pt idx="791">
                  <c:v>56.092833164567665</c:v>
                </c:pt>
                <c:pt idx="792">
                  <c:v>56.093017690373287</c:v>
                </c:pt>
                <c:pt idx="793">
                  <c:v>56.093202210657161</c:v>
                </c:pt>
                <c:pt idx="794">
                  <c:v>56.09338672541945</c:v>
                </c:pt>
                <c:pt idx="795">
                  <c:v>56.093571234660246</c:v>
                </c:pt>
                <c:pt idx="796">
                  <c:v>56.093755738379699</c:v>
                </c:pt>
                <c:pt idx="797">
                  <c:v>56.093940236577915</c:v>
                </c:pt>
                <c:pt idx="798">
                  <c:v>56.094124729255036</c:v>
                </c:pt>
                <c:pt idx="799">
                  <c:v>56.094309216411183</c:v>
                </c:pt>
                <c:pt idx="800">
                  <c:v>56.094493698046477</c:v>
                </c:pt>
                <c:pt idx="801">
                  <c:v>56.094678174161054</c:v>
                </c:pt>
                <c:pt idx="802">
                  <c:v>56.09486264475504</c:v>
                </c:pt>
                <c:pt idx="803">
                  <c:v>56.095047109828549</c:v>
                </c:pt>
                <c:pt idx="804">
                  <c:v>56.095231569381717</c:v>
                </c:pt>
                <c:pt idx="805">
                  <c:v>56.095416023414664</c:v>
                </c:pt>
                <c:pt idx="806">
                  <c:v>56.095600471927526</c:v>
                </c:pt>
                <c:pt idx="807">
                  <c:v>56.095784914920415</c:v>
                </c:pt>
                <c:pt idx="808">
                  <c:v>56.095969352393482</c:v>
                </c:pt>
                <c:pt idx="809">
                  <c:v>56.096153784346818</c:v>
                </c:pt>
                <c:pt idx="810">
                  <c:v>56.096338210780566</c:v>
                </c:pt>
                <c:pt idx="811">
                  <c:v>56.096522631694867</c:v>
                </c:pt>
                <c:pt idx="812">
                  <c:v>56.096707047089822</c:v>
                </c:pt>
                <c:pt idx="813">
                  <c:v>56.096891456965572</c:v>
                </c:pt>
                <c:pt idx="814">
                  <c:v>56.097075861322246</c:v>
                </c:pt>
                <c:pt idx="815">
                  <c:v>56.097260260159956</c:v>
                </c:pt>
                <c:pt idx="816">
                  <c:v>56.097444653478838</c:v>
                </c:pt>
                <c:pt idx="817">
                  <c:v>56.097629041279021</c:v>
                </c:pt>
                <c:pt idx="818">
                  <c:v>56.097813423560616</c:v>
                </c:pt>
                <c:pt idx="819">
                  <c:v>56.097997800323768</c:v>
                </c:pt>
                <c:pt idx="820">
                  <c:v>56.098182171568588</c:v>
                </c:pt>
                <c:pt idx="821">
                  <c:v>56.098366537295206</c:v>
                </c:pt>
                <c:pt idx="822">
                  <c:v>56.098550897503756</c:v>
                </c:pt>
                <c:pt idx="823">
                  <c:v>56.098735252194352</c:v>
                </c:pt>
                <c:pt idx="824">
                  <c:v>56.098919601367136</c:v>
                </c:pt>
                <c:pt idx="825">
                  <c:v>56.099103945022215</c:v>
                </c:pt>
                <c:pt idx="826">
                  <c:v>56.09928828315973</c:v>
                </c:pt>
                <c:pt idx="827">
                  <c:v>56.09947261577981</c:v>
                </c:pt>
                <c:pt idx="828">
                  <c:v>56.099656942882554</c:v>
                </c:pt>
                <c:pt idx="829">
                  <c:v>56.099841264468111</c:v>
                </c:pt>
                <c:pt idx="830">
                  <c:v>56.100025580536609</c:v>
                </c:pt>
                <c:pt idx="831">
                  <c:v>56.100209891088163</c:v>
                </c:pt>
                <c:pt idx="832">
                  <c:v>56.100394196122906</c:v>
                </c:pt>
                <c:pt idx="833">
                  <c:v>56.10057849564096</c:v>
                </c:pt>
                <c:pt idx="834">
                  <c:v>56.100762789642459</c:v>
                </c:pt>
                <c:pt idx="835">
                  <c:v>56.100947078127511</c:v>
                </c:pt>
                <c:pt idx="836">
                  <c:v>56.101131361096265</c:v>
                </c:pt>
                <c:pt idx="837">
                  <c:v>56.101315638548833</c:v>
                </c:pt>
                <c:pt idx="838">
                  <c:v>56.101499910485344</c:v>
                </c:pt>
                <c:pt idx="839">
                  <c:v>56.101684176905934</c:v>
                </c:pt>
                <c:pt idx="840">
                  <c:v>56.101868437810708</c:v>
                </c:pt>
                <c:pt idx="841">
                  <c:v>56.102052693199795</c:v>
                </c:pt>
                <c:pt idx="842">
                  <c:v>56.102236943073343</c:v>
                </c:pt>
                <c:pt idx="843">
                  <c:v>56.10242118743146</c:v>
                </c:pt>
                <c:pt idx="844">
                  <c:v>56.10260542627428</c:v>
                </c:pt>
                <c:pt idx="845">
                  <c:v>56.102789659601918</c:v>
                </c:pt>
                <c:pt idx="846">
                  <c:v>56.102973887414514</c:v>
                </c:pt>
                <c:pt idx="847">
                  <c:v>56.103158109712183</c:v>
                </c:pt>
                <c:pt idx="848">
                  <c:v>56.10334232649506</c:v>
                </c:pt>
                <c:pt idx="849">
                  <c:v>56.103526537763265</c:v>
                </c:pt>
                <c:pt idx="850">
                  <c:v>56.10371074351692</c:v>
                </c:pt>
                <c:pt idx="851">
                  <c:v>56.103894943756167</c:v>
                </c:pt>
                <c:pt idx="852">
                  <c:v>56.104079138481119</c:v>
                </c:pt>
                <c:pt idx="853">
                  <c:v>56.104263327691903</c:v>
                </c:pt>
                <c:pt idx="854">
                  <c:v>56.104447511388642</c:v>
                </c:pt>
                <c:pt idx="855">
                  <c:v>56.104631689571463</c:v>
                </c:pt>
                <c:pt idx="856">
                  <c:v>56.104815862240507</c:v>
                </c:pt>
                <c:pt idx="857">
                  <c:v>56.105000029395882</c:v>
                </c:pt>
                <c:pt idx="858">
                  <c:v>56.105184191037729</c:v>
                </c:pt>
                <c:pt idx="859">
                  <c:v>56.105368347166156</c:v>
                </c:pt>
                <c:pt idx="860">
                  <c:v>56.105552497781304</c:v>
                </c:pt>
                <c:pt idx="861">
                  <c:v>56.105736642883294</c:v>
                </c:pt>
                <c:pt idx="862">
                  <c:v>56.105920782472246</c:v>
                </c:pt>
                <c:pt idx="863">
                  <c:v>56.106104916548297</c:v>
                </c:pt>
                <c:pt idx="864">
                  <c:v>56.106289045111573</c:v>
                </c:pt>
                <c:pt idx="865">
                  <c:v>56.106473168162189</c:v>
                </c:pt>
                <c:pt idx="866">
                  <c:v>56.10665728570028</c:v>
                </c:pt>
                <c:pt idx="867">
                  <c:v>56.106841397725972</c:v>
                </c:pt>
                <c:pt idx="868">
                  <c:v>56.107025504239388</c:v>
                </c:pt>
                <c:pt idx="869">
                  <c:v>56.107209605240648</c:v>
                </c:pt>
                <c:pt idx="870">
                  <c:v>56.10739370072988</c:v>
                </c:pt>
                <c:pt idx="871">
                  <c:v>56.107577790707225</c:v>
                </c:pt>
                <c:pt idx="872">
                  <c:v>56.107761875172798</c:v>
                </c:pt>
                <c:pt idx="873">
                  <c:v>56.107945954126713</c:v>
                </c:pt>
                <c:pt idx="874">
                  <c:v>56.108130027569118</c:v>
                </c:pt>
                <c:pt idx="875">
                  <c:v>56.108314095500127</c:v>
                </c:pt>
                <c:pt idx="876">
                  <c:v>56.108498157919861</c:v>
                </c:pt>
                <c:pt idx="877">
                  <c:v>56.108682214828463</c:v>
                </c:pt>
                <c:pt idx="878">
                  <c:v>56.108866266226052</c:v>
                </c:pt>
                <c:pt idx="879">
                  <c:v>56.109050312112736</c:v>
                </c:pt>
                <c:pt idx="880">
                  <c:v>56.10923435248867</c:v>
                </c:pt>
                <c:pt idx="881">
                  <c:v>56.109418387353955</c:v>
                </c:pt>
                <c:pt idx="882">
                  <c:v>56.109602416708732</c:v>
                </c:pt>
                <c:pt idx="883">
                  <c:v>56.109786440553123</c:v>
                </c:pt>
                <c:pt idx="884">
                  <c:v>56.109970458887254</c:v>
                </c:pt>
                <c:pt idx="885">
                  <c:v>56.110154471711255</c:v>
                </c:pt>
                <c:pt idx="886">
                  <c:v>56.110338479025245</c:v>
                </c:pt>
                <c:pt idx="887">
                  <c:v>56.110522480829353</c:v>
                </c:pt>
                <c:pt idx="888">
                  <c:v>56.110706477123706</c:v>
                </c:pt>
                <c:pt idx="889">
                  <c:v>56.110890467908426</c:v>
                </c:pt>
                <c:pt idx="890">
                  <c:v>56.11107445318364</c:v>
                </c:pt>
                <c:pt idx="891">
                  <c:v>56.111258432949484</c:v>
                </c:pt>
                <c:pt idx="892">
                  <c:v>56.11144240720607</c:v>
                </c:pt>
                <c:pt idx="893">
                  <c:v>56.111626375953534</c:v>
                </c:pt>
                <c:pt idx="894">
                  <c:v>56.11181033919199</c:v>
                </c:pt>
                <c:pt idx="895">
                  <c:v>56.111994296921573</c:v>
                </c:pt>
                <c:pt idx="896">
                  <c:v>56.11217824914241</c:v>
                </c:pt>
                <c:pt idx="897">
                  <c:v>56.112362195854622</c:v>
                </c:pt>
                <c:pt idx="898">
                  <c:v>56.112546137058331</c:v>
                </c:pt>
                <c:pt idx="899">
                  <c:v>56.112730072753685</c:v>
                </c:pt>
                <c:pt idx="900">
                  <c:v>56.112914002940791</c:v>
                </c:pt>
                <c:pt idx="901">
                  <c:v>56.113097927619769</c:v>
                </c:pt>
                <c:pt idx="902">
                  <c:v>56.113281846790763</c:v>
                </c:pt>
                <c:pt idx="903">
                  <c:v>56.113465760453884</c:v>
                </c:pt>
                <c:pt idx="904">
                  <c:v>56.11364966860927</c:v>
                </c:pt>
                <c:pt idx="905">
                  <c:v>56.113833571257032</c:v>
                </c:pt>
                <c:pt idx="906">
                  <c:v>56.114017468397314</c:v>
                </c:pt>
                <c:pt idx="907">
                  <c:v>56.114201360030229</c:v>
                </c:pt>
                <c:pt idx="908">
                  <c:v>56.114385246155912</c:v>
                </c:pt>
                <c:pt idx="909">
                  <c:v>56.114569126774484</c:v>
                </c:pt>
                <c:pt idx="910">
                  <c:v>56.114753001886065</c:v>
                </c:pt>
                <c:pt idx="911">
                  <c:v>56.114936871490784</c:v>
                </c:pt>
                <c:pt idx="912">
                  <c:v>56.115120735588775</c:v>
                </c:pt>
                <c:pt idx="913">
                  <c:v>56.115304594180159</c:v>
                </c:pt>
                <c:pt idx="914">
                  <c:v>56.115488447265058</c:v>
                </c:pt>
                <c:pt idx="915">
                  <c:v>56.115672294843606</c:v>
                </c:pt>
                <c:pt idx="916">
                  <c:v>56.115856136915923</c:v>
                </c:pt>
                <c:pt idx="917">
                  <c:v>56.116039973482138</c:v>
                </c:pt>
                <c:pt idx="918">
                  <c:v>56.116223804542372</c:v>
                </c:pt>
                <c:pt idx="919">
                  <c:v>56.116407630096752</c:v>
                </c:pt>
                <c:pt idx="920">
                  <c:v>56.116591450145414</c:v>
                </c:pt>
                <c:pt idx="921">
                  <c:v>56.116775264688471</c:v>
                </c:pt>
                <c:pt idx="922">
                  <c:v>56.116959073726051</c:v>
                </c:pt>
                <c:pt idx="923">
                  <c:v>56.117142877258296</c:v>
                </c:pt>
                <c:pt idx="924">
                  <c:v>56.117326675285305</c:v>
                </c:pt>
                <c:pt idx="925">
                  <c:v>56.117510467807222</c:v>
                </c:pt>
                <c:pt idx="926">
                  <c:v>56.117694254824166</c:v>
                </c:pt>
                <c:pt idx="927">
                  <c:v>56.117878036336258</c:v>
                </c:pt>
                <c:pt idx="928">
                  <c:v>56.118061812343647</c:v>
                </c:pt>
                <c:pt idx="929">
                  <c:v>56.118245582846434</c:v>
                </c:pt>
                <c:pt idx="930">
                  <c:v>56.11842934784476</c:v>
                </c:pt>
                <c:pt idx="931">
                  <c:v>56.118613107338746</c:v>
                </c:pt>
                <c:pt idx="932">
                  <c:v>56.118796861328512</c:v>
                </c:pt>
                <c:pt idx="933">
                  <c:v>56.118980609814194</c:v>
                </c:pt>
                <c:pt idx="934">
                  <c:v>56.119164352795906</c:v>
                </c:pt>
                <c:pt idx="935">
                  <c:v>56.119348090273789</c:v>
                </c:pt>
                <c:pt idx="936">
                  <c:v>56.11953182224795</c:v>
                </c:pt>
                <c:pt idx="937">
                  <c:v>56.119715548718538</c:v>
                </c:pt>
                <c:pt idx="938">
                  <c:v>56.119899269685661</c:v>
                </c:pt>
                <c:pt idx="939">
                  <c:v>56.120082985149452</c:v>
                </c:pt>
                <c:pt idx="940">
                  <c:v>56.120266695110033</c:v>
                </c:pt>
                <c:pt idx="941">
                  <c:v>56.120450399567531</c:v>
                </c:pt>
                <c:pt idx="942">
                  <c:v>56.120634098522082</c:v>
                </c:pt>
                <c:pt idx="943">
                  <c:v>56.120817791973785</c:v>
                </c:pt>
                <c:pt idx="944">
                  <c:v>56.121001479922796</c:v>
                </c:pt>
                <c:pt idx="945">
                  <c:v>56.121185162369223</c:v>
                </c:pt>
                <c:pt idx="946">
                  <c:v>56.121368839313206</c:v>
                </c:pt>
                <c:pt idx="947">
                  <c:v>56.121552510754853</c:v>
                </c:pt>
                <c:pt idx="948">
                  <c:v>56.121736176694306</c:v>
                </c:pt>
                <c:pt idx="949">
                  <c:v>56.121919837131678</c:v>
                </c:pt>
                <c:pt idx="950">
                  <c:v>56.122103492067112</c:v>
                </c:pt>
                <c:pt idx="951">
                  <c:v>56.122287141500713</c:v>
                </c:pt>
                <c:pt idx="952">
                  <c:v>56.122470785432625</c:v>
                </c:pt>
                <c:pt idx="953">
                  <c:v>56.122654423862961</c:v>
                </c:pt>
                <c:pt idx="954">
                  <c:v>56.122838056791856</c:v>
                </c:pt>
                <c:pt idx="955">
                  <c:v>56.123021684219424</c:v>
                </c:pt>
                <c:pt idx="956">
                  <c:v>56.123205306145806</c:v>
                </c:pt>
                <c:pt idx="957">
                  <c:v>56.123388922571117</c:v>
                </c:pt>
                <c:pt idx="958">
                  <c:v>56.123572533495484</c:v>
                </c:pt>
                <c:pt idx="959">
                  <c:v>56.123756138919035</c:v>
                </c:pt>
                <c:pt idx="960">
                  <c:v>56.123939738841898</c:v>
                </c:pt>
                <c:pt idx="961">
                  <c:v>56.124123333264194</c:v>
                </c:pt>
                <c:pt idx="962">
                  <c:v>56.124306922186058</c:v>
                </c:pt>
                <c:pt idx="963">
                  <c:v>56.124490505607596</c:v>
                </c:pt>
                <c:pt idx="964">
                  <c:v>56.124674083528959</c:v>
                </c:pt>
                <c:pt idx="965">
                  <c:v>56.124857655950251</c:v>
                </c:pt>
                <c:pt idx="966">
                  <c:v>56.125041222871616</c:v>
                </c:pt>
                <c:pt idx="967">
                  <c:v>56.125224784293167</c:v>
                </c:pt>
                <c:pt idx="968">
                  <c:v>56.125408340215039</c:v>
                </c:pt>
                <c:pt idx="969">
                  <c:v>56.125591890637345</c:v>
                </c:pt>
                <c:pt idx="970">
                  <c:v>56.125775435560229</c:v>
                </c:pt>
                <c:pt idx="971">
                  <c:v>56.12595897498381</c:v>
                </c:pt>
                <c:pt idx="972">
                  <c:v>56.126142508908202</c:v>
                </c:pt>
                <c:pt idx="973">
                  <c:v>56.126326037333548</c:v>
                </c:pt>
                <c:pt idx="974">
                  <c:v>56.126509560259954</c:v>
                </c:pt>
                <c:pt idx="975">
                  <c:v>56.126693077687563</c:v>
                </c:pt>
                <c:pt idx="976">
                  <c:v>56.126876589616494</c:v>
                </c:pt>
                <c:pt idx="977">
                  <c:v>56.127060096046883</c:v>
                </c:pt>
                <c:pt idx="978">
                  <c:v>56.127243596978843</c:v>
                </c:pt>
                <c:pt idx="979">
                  <c:v>56.127427092412496</c:v>
                </c:pt>
                <c:pt idx="980">
                  <c:v>56.127610582347977</c:v>
                </c:pt>
                <c:pt idx="981">
                  <c:v>56.12779406678542</c:v>
                </c:pt>
                <c:pt idx="982">
                  <c:v>56.127977545724939</c:v>
                </c:pt>
                <c:pt idx="983">
                  <c:v>56.128161019166654</c:v>
                </c:pt>
                <c:pt idx="984">
                  <c:v>56.128344487110709</c:v>
                </c:pt>
                <c:pt idx="985">
                  <c:v>56.128527949557217</c:v>
                </c:pt>
                <c:pt idx="986">
                  <c:v>56.128711406506305</c:v>
                </c:pt>
                <c:pt idx="987">
                  <c:v>56.128894857958102</c:v>
                </c:pt>
                <c:pt idx="988">
                  <c:v>56.129078303912735</c:v>
                </c:pt>
                <c:pt idx="989">
                  <c:v>56.129261744370318</c:v>
                </c:pt>
                <c:pt idx="990">
                  <c:v>56.129445179330993</c:v>
                </c:pt>
                <c:pt idx="991">
                  <c:v>56.129628608794874</c:v>
                </c:pt>
                <c:pt idx="992">
                  <c:v>56.129812032762096</c:v>
                </c:pt>
                <c:pt idx="993">
                  <c:v>56.129995451232773</c:v>
                </c:pt>
                <c:pt idx="994">
                  <c:v>56.130178864207053</c:v>
                </c:pt>
                <c:pt idx="995">
                  <c:v>56.130362271685037</c:v>
                </c:pt>
                <c:pt idx="996">
                  <c:v>56.130545673666866</c:v>
                </c:pt>
                <c:pt idx="997">
                  <c:v>56.130729070152654</c:v>
                </c:pt>
                <c:pt idx="998">
                  <c:v>56.130912461142543</c:v>
                </c:pt>
                <c:pt idx="999">
                  <c:v>56.13109584663664</c:v>
                </c:pt>
                <c:pt idx="1000">
                  <c:v>56.13127922663508</c:v>
                </c:pt>
              </c:numCache>
            </c:numRef>
          </c:yVal>
        </c:ser>
        <c:axId val="149125760"/>
        <c:axId val="149132032"/>
      </c:scatterChart>
      <c:valAx>
        <c:axId val="149125760"/>
        <c:scaling>
          <c:orientation val="minMax"/>
        </c:scaling>
        <c:axPos val="b"/>
        <c:majorGridlines>
          <c:spPr>
            <a:ln w="3175">
              <a:solidFill>
                <a:srgbClr val="000000"/>
              </a:solidFill>
              <a:prstDash val="sysDash"/>
            </a:ln>
          </c:spPr>
        </c:majorGridlines>
        <c:title>
          <c:tx>
            <c:strRef>
              <c:f>Courbes!$B$146</c:f>
              <c:strCache>
                <c:ptCount val="1"/>
                <c:pt idx="0">
                  <c:v>Temps [s]</c:v>
                </c:pt>
              </c:strCache>
            </c:strRef>
          </c:tx>
          <c:layout/>
          <c:txPr>
            <a:bodyPr/>
            <a:lstStyle/>
            <a:p>
              <a:pPr>
                <a:defRPr sz="1000" b="0" i="0" u="none" strike="noStrike" baseline="0">
                  <a:solidFill>
                    <a:srgbClr val="000000"/>
                  </a:solidFill>
                  <a:latin typeface="Arial"/>
                  <a:ea typeface="Arial"/>
                  <a:cs typeface="Arial"/>
                </a:defRPr>
              </a:pPr>
              <a:endParaRPr lang="fr-FR"/>
            </a:p>
          </c:txPr>
        </c:title>
        <c:numFmt formatCode="0" sourceLinked="0"/>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200" b="1" i="0" u="none" strike="noStrike" baseline="0">
                <a:solidFill>
                  <a:srgbClr val="000000"/>
                </a:solidFill>
                <a:latin typeface="Arial"/>
                <a:ea typeface="Arial"/>
                <a:cs typeface="Arial"/>
              </a:defRPr>
            </a:pPr>
            <a:r>
              <a:rPr lang="fr-FR"/>
              <a:t>Accélérations</a:t>
            </a:r>
          </a:p>
        </c:rich>
      </c:tx>
      <c:layout/>
      <c:overlay val="1"/>
    </c:title>
    <c:plotArea>
      <c:layout>
        <c:manualLayout>
          <c:layoutTarget val="inner"/>
          <c:xMode val="edge"/>
          <c:yMode val="edge"/>
          <c:x val="9.4339622641509524E-2"/>
          <c:y val="9.4771241830065356E-2"/>
          <c:w val="0.88679245283019104"/>
          <c:h val="0.81699346405228768"/>
        </c:manualLayout>
      </c:layout>
      <c:scatterChart>
        <c:scatterStyle val="lineMarker"/>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16.900099999999973</c:v>
                </c:pt>
                <c:pt idx="351">
                  <c:v>16.900199999999973</c:v>
                </c:pt>
                <c:pt idx="352">
                  <c:v>16.900299999999973</c:v>
                </c:pt>
                <c:pt idx="353">
                  <c:v>16.900399999999973</c:v>
                </c:pt>
                <c:pt idx="354">
                  <c:v>16.900499999999973</c:v>
                </c:pt>
                <c:pt idx="355">
                  <c:v>16.900599999999972</c:v>
                </c:pt>
                <c:pt idx="356">
                  <c:v>16.900699999999972</c:v>
                </c:pt>
                <c:pt idx="357">
                  <c:v>16.900799999999972</c:v>
                </c:pt>
                <c:pt idx="358">
                  <c:v>16.900899999999972</c:v>
                </c:pt>
                <c:pt idx="359">
                  <c:v>16.900999999999971</c:v>
                </c:pt>
                <c:pt idx="360">
                  <c:v>16.901099999999971</c:v>
                </c:pt>
                <c:pt idx="361">
                  <c:v>16.901199999999971</c:v>
                </c:pt>
                <c:pt idx="362">
                  <c:v>16.901299999999971</c:v>
                </c:pt>
                <c:pt idx="363">
                  <c:v>16.90139999999997</c:v>
                </c:pt>
                <c:pt idx="364">
                  <c:v>16.90149999999997</c:v>
                </c:pt>
                <c:pt idx="365">
                  <c:v>16.90159999999997</c:v>
                </c:pt>
                <c:pt idx="366">
                  <c:v>16.90169999999997</c:v>
                </c:pt>
                <c:pt idx="367">
                  <c:v>16.90179999999997</c:v>
                </c:pt>
                <c:pt idx="368">
                  <c:v>16.901899999999969</c:v>
                </c:pt>
                <c:pt idx="369">
                  <c:v>16.901999999999969</c:v>
                </c:pt>
                <c:pt idx="370">
                  <c:v>16.902099999999969</c:v>
                </c:pt>
                <c:pt idx="371">
                  <c:v>16.902199999999969</c:v>
                </c:pt>
                <c:pt idx="372">
                  <c:v>16.902299999999968</c:v>
                </c:pt>
                <c:pt idx="373">
                  <c:v>16.902399999999968</c:v>
                </c:pt>
                <c:pt idx="374">
                  <c:v>16.902499999999968</c:v>
                </c:pt>
                <c:pt idx="375">
                  <c:v>16.902599999999968</c:v>
                </c:pt>
                <c:pt idx="376">
                  <c:v>16.902699999999967</c:v>
                </c:pt>
                <c:pt idx="377">
                  <c:v>16.902799999999967</c:v>
                </c:pt>
                <c:pt idx="378">
                  <c:v>16.902899999999967</c:v>
                </c:pt>
                <c:pt idx="379">
                  <c:v>16.902999999999967</c:v>
                </c:pt>
                <c:pt idx="380">
                  <c:v>16.903099999999966</c:v>
                </c:pt>
                <c:pt idx="381">
                  <c:v>16.903199999999966</c:v>
                </c:pt>
                <c:pt idx="382">
                  <c:v>16.903299999999966</c:v>
                </c:pt>
                <c:pt idx="383">
                  <c:v>16.903399999999966</c:v>
                </c:pt>
                <c:pt idx="384">
                  <c:v>16.903499999999966</c:v>
                </c:pt>
                <c:pt idx="385">
                  <c:v>16.903599999999965</c:v>
                </c:pt>
                <c:pt idx="386">
                  <c:v>16.903699999999965</c:v>
                </c:pt>
                <c:pt idx="387">
                  <c:v>16.903799999999965</c:v>
                </c:pt>
                <c:pt idx="388">
                  <c:v>16.903899999999965</c:v>
                </c:pt>
                <c:pt idx="389">
                  <c:v>16.903999999999964</c:v>
                </c:pt>
                <c:pt idx="390">
                  <c:v>16.904099999999964</c:v>
                </c:pt>
                <c:pt idx="391">
                  <c:v>16.904199999999964</c:v>
                </c:pt>
                <c:pt idx="392">
                  <c:v>16.904299999999964</c:v>
                </c:pt>
                <c:pt idx="393">
                  <c:v>16.904399999999963</c:v>
                </c:pt>
                <c:pt idx="394">
                  <c:v>16.904499999999963</c:v>
                </c:pt>
                <c:pt idx="395">
                  <c:v>16.904599999999963</c:v>
                </c:pt>
                <c:pt idx="396">
                  <c:v>16.904699999999963</c:v>
                </c:pt>
                <c:pt idx="397">
                  <c:v>16.904799999999963</c:v>
                </c:pt>
                <c:pt idx="398">
                  <c:v>16.904899999999962</c:v>
                </c:pt>
                <c:pt idx="399">
                  <c:v>16.904999999999962</c:v>
                </c:pt>
                <c:pt idx="400">
                  <c:v>16.905099999999962</c:v>
                </c:pt>
                <c:pt idx="401">
                  <c:v>16.905199999999962</c:v>
                </c:pt>
                <c:pt idx="402">
                  <c:v>16.905299999999961</c:v>
                </c:pt>
                <c:pt idx="403">
                  <c:v>16.905399999999961</c:v>
                </c:pt>
                <c:pt idx="404">
                  <c:v>16.905499999999961</c:v>
                </c:pt>
                <c:pt idx="405">
                  <c:v>16.905599999999961</c:v>
                </c:pt>
                <c:pt idx="406">
                  <c:v>16.90569999999996</c:v>
                </c:pt>
                <c:pt idx="407">
                  <c:v>16.90579999999996</c:v>
                </c:pt>
                <c:pt idx="408">
                  <c:v>16.90589999999996</c:v>
                </c:pt>
                <c:pt idx="409">
                  <c:v>16.90599999999996</c:v>
                </c:pt>
                <c:pt idx="410">
                  <c:v>16.906099999999959</c:v>
                </c:pt>
                <c:pt idx="411">
                  <c:v>16.906199999999959</c:v>
                </c:pt>
                <c:pt idx="412">
                  <c:v>16.906299999999959</c:v>
                </c:pt>
                <c:pt idx="413">
                  <c:v>16.906399999999959</c:v>
                </c:pt>
                <c:pt idx="414">
                  <c:v>16.906499999999959</c:v>
                </c:pt>
                <c:pt idx="415">
                  <c:v>16.906599999999958</c:v>
                </c:pt>
                <c:pt idx="416">
                  <c:v>16.906699999999958</c:v>
                </c:pt>
                <c:pt idx="417">
                  <c:v>16.906799999999958</c:v>
                </c:pt>
                <c:pt idx="418">
                  <c:v>16.906899999999958</c:v>
                </c:pt>
                <c:pt idx="419">
                  <c:v>16.906999999999957</c:v>
                </c:pt>
                <c:pt idx="420">
                  <c:v>16.907099999999957</c:v>
                </c:pt>
                <c:pt idx="421">
                  <c:v>16.907199999999957</c:v>
                </c:pt>
                <c:pt idx="422">
                  <c:v>16.907299999999957</c:v>
                </c:pt>
                <c:pt idx="423">
                  <c:v>16.907399999999956</c:v>
                </c:pt>
                <c:pt idx="424">
                  <c:v>16.907499999999956</c:v>
                </c:pt>
                <c:pt idx="425">
                  <c:v>16.907599999999956</c:v>
                </c:pt>
                <c:pt idx="426">
                  <c:v>16.907699999999956</c:v>
                </c:pt>
                <c:pt idx="427">
                  <c:v>16.907799999999956</c:v>
                </c:pt>
                <c:pt idx="428">
                  <c:v>16.907899999999955</c:v>
                </c:pt>
                <c:pt idx="429">
                  <c:v>16.907999999999955</c:v>
                </c:pt>
                <c:pt idx="430">
                  <c:v>16.908099999999955</c:v>
                </c:pt>
                <c:pt idx="431">
                  <c:v>16.908199999999955</c:v>
                </c:pt>
                <c:pt idx="432">
                  <c:v>16.908299999999954</c:v>
                </c:pt>
                <c:pt idx="433">
                  <c:v>16.908399999999954</c:v>
                </c:pt>
                <c:pt idx="434">
                  <c:v>16.908499999999954</c:v>
                </c:pt>
                <c:pt idx="435">
                  <c:v>16.908599999999954</c:v>
                </c:pt>
                <c:pt idx="436">
                  <c:v>16.908699999999953</c:v>
                </c:pt>
                <c:pt idx="437">
                  <c:v>16.908799999999953</c:v>
                </c:pt>
                <c:pt idx="438">
                  <c:v>16.908899999999953</c:v>
                </c:pt>
                <c:pt idx="439">
                  <c:v>16.908999999999953</c:v>
                </c:pt>
                <c:pt idx="440">
                  <c:v>16.909099999999953</c:v>
                </c:pt>
                <c:pt idx="441">
                  <c:v>16.909199999999952</c:v>
                </c:pt>
                <c:pt idx="442">
                  <c:v>16.909299999999952</c:v>
                </c:pt>
                <c:pt idx="443">
                  <c:v>16.909399999999952</c:v>
                </c:pt>
                <c:pt idx="444">
                  <c:v>16.909499999999952</c:v>
                </c:pt>
                <c:pt idx="445">
                  <c:v>16.909599999999951</c:v>
                </c:pt>
                <c:pt idx="446">
                  <c:v>16.909699999999951</c:v>
                </c:pt>
                <c:pt idx="447">
                  <c:v>16.909799999999951</c:v>
                </c:pt>
                <c:pt idx="448">
                  <c:v>16.909899999999951</c:v>
                </c:pt>
                <c:pt idx="449">
                  <c:v>16.90999999999995</c:v>
                </c:pt>
                <c:pt idx="450">
                  <c:v>16.91009999999995</c:v>
                </c:pt>
                <c:pt idx="451">
                  <c:v>16.91019999999995</c:v>
                </c:pt>
                <c:pt idx="452">
                  <c:v>16.91029999999995</c:v>
                </c:pt>
                <c:pt idx="453">
                  <c:v>16.910399999999949</c:v>
                </c:pt>
                <c:pt idx="454">
                  <c:v>16.910499999999949</c:v>
                </c:pt>
                <c:pt idx="455">
                  <c:v>16.910599999999949</c:v>
                </c:pt>
                <c:pt idx="456">
                  <c:v>16.910699999999949</c:v>
                </c:pt>
                <c:pt idx="457">
                  <c:v>16.910799999999949</c:v>
                </c:pt>
                <c:pt idx="458">
                  <c:v>16.910899999999948</c:v>
                </c:pt>
                <c:pt idx="459">
                  <c:v>16.910999999999948</c:v>
                </c:pt>
                <c:pt idx="460">
                  <c:v>16.911099999999948</c:v>
                </c:pt>
                <c:pt idx="461">
                  <c:v>16.911199999999948</c:v>
                </c:pt>
                <c:pt idx="462">
                  <c:v>16.911299999999947</c:v>
                </c:pt>
                <c:pt idx="463">
                  <c:v>16.911399999999947</c:v>
                </c:pt>
                <c:pt idx="464">
                  <c:v>16.911499999999947</c:v>
                </c:pt>
                <c:pt idx="465">
                  <c:v>16.911599999999947</c:v>
                </c:pt>
                <c:pt idx="466">
                  <c:v>16.911699999999946</c:v>
                </c:pt>
                <c:pt idx="467">
                  <c:v>16.911799999999946</c:v>
                </c:pt>
                <c:pt idx="468">
                  <c:v>16.911899999999946</c:v>
                </c:pt>
                <c:pt idx="469">
                  <c:v>16.911999999999946</c:v>
                </c:pt>
                <c:pt idx="470">
                  <c:v>16.912099999999946</c:v>
                </c:pt>
                <c:pt idx="471">
                  <c:v>16.912199999999945</c:v>
                </c:pt>
                <c:pt idx="472">
                  <c:v>16.912299999999945</c:v>
                </c:pt>
                <c:pt idx="473">
                  <c:v>16.912399999999945</c:v>
                </c:pt>
                <c:pt idx="474">
                  <c:v>16.912499999999945</c:v>
                </c:pt>
                <c:pt idx="475">
                  <c:v>16.912599999999944</c:v>
                </c:pt>
                <c:pt idx="476">
                  <c:v>16.912699999999944</c:v>
                </c:pt>
                <c:pt idx="477">
                  <c:v>16.912799999999944</c:v>
                </c:pt>
                <c:pt idx="478">
                  <c:v>16.912899999999944</c:v>
                </c:pt>
                <c:pt idx="479">
                  <c:v>16.912999999999943</c:v>
                </c:pt>
                <c:pt idx="480">
                  <c:v>16.913099999999943</c:v>
                </c:pt>
                <c:pt idx="481">
                  <c:v>16.913199999999943</c:v>
                </c:pt>
                <c:pt idx="482">
                  <c:v>16.913299999999943</c:v>
                </c:pt>
                <c:pt idx="483">
                  <c:v>16.913399999999942</c:v>
                </c:pt>
                <c:pt idx="484">
                  <c:v>16.913499999999942</c:v>
                </c:pt>
                <c:pt idx="485">
                  <c:v>16.913599999999942</c:v>
                </c:pt>
                <c:pt idx="486">
                  <c:v>16.913699999999942</c:v>
                </c:pt>
                <c:pt idx="487">
                  <c:v>16.913799999999942</c:v>
                </c:pt>
                <c:pt idx="488">
                  <c:v>16.913899999999941</c:v>
                </c:pt>
                <c:pt idx="489">
                  <c:v>16.913999999999941</c:v>
                </c:pt>
                <c:pt idx="490">
                  <c:v>16.914099999999941</c:v>
                </c:pt>
                <c:pt idx="491">
                  <c:v>16.914199999999941</c:v>
                </c:pt>
                <c:pt idx="492">
                  <c:v>16.91429999999994</c:v>
                </c:pt>
                <c:pt idx="493">
                  <c:v>16.91439999999994</c:v>
                </c:pt>
                <c:pt idx="494">
                  <c:v>16.91449999999994</c:v>
                </c:pt>
                <c:pt idx="495">
                  <c:v>16.91459999999994</c:v>
                </c:pt>
                <c:pt idx="496">
                  <c:v>16.914699999999939</c:v>
                </c:pt>
                <c:pt idx="497">
                  <c:v>16.914799999999939</c:v>
                </c:pt>
                <c:pt idx="498">
                  <c:v>16.914899999999939</c:v>
                </c:pt>
                <c:pt idx="499">
                  <c:v>16.914999999999939</c:v>
                </c:pt>
                <c:pt idx="500">
                  <c:v>16.915099999999939</c:v>
                </c:pt>
                <c:pt idx="501">
                  <c:v>16.915199999999938</c:v>
                </c:pt>
                <c:pt idx="502">
                  <c:v>16.915299999999938</c:v>
                </c:pt>
                <c:pt idx="503">
                  <c:v>16.915399999999938</c:v>
                </c:pt>
                <c:pt idx="504">
                  <c:v>16.915499999999938</c:v>
                </c:pt>
                <c:pt idx="505">
                  <c:v>16.915599999999937</c:v>
                </c:pt>
                <c:pt idx="506">
                  <c:v>16.915699999999937</c:v>
                </c:pt>
                <c:pt idx="507">
                  <c:v>16.915799999999937</c:v>
                </c:pt>
                <c:pt idx="508">
                  <c:v>16.915899999999937</c:v>
                </c:pt>
                <c:pt idx="509">
                  <c:v>16.915999999999936</c:v>
                </c:pt>
                <c:pt idx="510">
                  <c:v>16.916099999999936</c:v>
                </c:pt>
                <c:pt idx="511">
                  <c:v>16.916199999999936</c:v>
                </c:pt>
                <c:pt idx="512">
                  <c:v>16.916299999999936</c:v>
                </c:pt>
                <c:pt idx="513">
                  <c:v>16.916399999999935</c:v>
                </c:pt>
                <c:pt idx="514">
                  <c:v>16.916499999999935</c:v>
                </c:pt>
                <c:pt idx="515">
                  <c:v>16.916599999999935</c:v>
                </c:pt>
                <c:pt idx="516">
                  <c:v>16.916699999999935</c:v>
                </c:pt>
                <c:pt idx="517">
                  <c:v>16.916799999999935</c:v>
                </c:pt>
                <c:pt idx="518">
                  <c:v>16.916899999999934</c:v>
                </c:pt>
                <c:pt idx="519">
                  <c:v>16.916999999999934</c:v>
                </c:pt>
                <c:pt idx="520">
                  <c:v>16.917099999999934</c:v>
                </c:pt>
                <c:pt idx="521">
                  <c:v>16.917199999999934</c:v>
                </c:pt>
                <c:pt idx="522">
                  <c:v>16.917299999999933</c:v>
                </c:pt>
                <c:pt idx="523">
                  <c:v>16.917399999999933</c:v>
                </c:pt>
                <c:pt idx="524">
                  <c:v>16.917499999999933</c:v>
                </c:pt>
                <c:pt idx="525">
                  <c:v>16.917599999999933</c:v>
                </c:pt>
                <c:pt idx="526">
                  <c:v>16.917699999999932</c:v>
                </c:pt>
                <c:pt idx="527">
                  <c:v>16.917799999999932</c:v>
                </c:pt>
                <c:pt idx="528">
                  <c:v>16.917899999999932</c:v>
                </c:pt>
                <c:pt idx="529">
                  <c:v>16.917999999999932</c:v>
                </c:pt>
                <c:pt idx="530">
                  <c:v>16.918099999999932</c:v>
                </c:pt>
                <c:pt idx="531">
                  <c:v>16.918199999999931</c:v>
                </c:pt>
                <c:pt idx="532">
                  <c:v>16.918299999999931</c:v>
                </c:pt>
                <c:pt idx="533">
                  <c:v>16.918399999999931</c:v>
                </c:pt>
                <c:pt idx="534">
                  <c:v>16.918499999999931</c:v>
                </c:pt>
                <c:pt idx="535">
                  <c:v>16.91859999999993</c:v>
                </c:pt>
                <c:pt idx="536">
                  <c:v>16.91869999999993</c:v>
                </c:pt>
                <c:pt idx="537">
                  <c:v>16.91879999999993</c:v>
                </c:pt>
                <c:pt idx="538">
                  <c:v>16.91889999999993</c:v>
                </c:pt>
                <c:pt idx="539">
                  <c:v>16.918999999999929</c:v>
                </c:pt>
                <c:pt idx="540">
                  <c:v>16.919099999999929</c:v>
                </c:pt>
                <c:pt idx="541">
                  <c:v>16.919199999999929</c:v>
                </c:pt>
                <c:pt idx="542">
                  <c:v>16.919299999999929</c:v>
                </c:pt>
                <c:pt idx="543">
                  <c:v>16.919399999999928</c:v>
                </c:pt>
                <c:pt idx="544">
                  <c:v>16.919499999999928</c:v>
                </c:pt>
                <c:pt idx="545">
                  <c:v>16.919599999999928</c:v>
                </c:pt>
                <c:pt idx="546">
                  <c:v>16.919699999999928</c:v>
                </c:pt>
                <c:pt idx="547">
                  <c:v>16.919799999999928</c:v>
                </c:pt>
                <c:pt idx="548">
                  <c:v>16.919899999999927</c:v>
                </c:pt>
                <c:pt idx="549">
                  <c:v>16.919999999999927</c:v>
                </c:pt>
                <c:pt idx="550">
                  <c:v>16.920099999999927</c:v>
                </c:pt>
                <c:pt idx="551">
                  <c:v>16.920199999999927</c:v>
                </c:pt>
                <c:pt idx="552">
                  <c:v>16.920299999999926</c:v>
                </c:pt>
                <c:pt idx="553">
                  <c:v>16.920399999999926</c:v>
                </c:pt>
                <c:pt idx="554">
                  <c:v>16.920499999999926</c:v>
                </c:pt>
                <c:pt idx="555">
                  <c:v>16.920599999999926</c:v>
                </c:pt>
                <c:pt idx="556">
                  <c:v>16.920699999999925</c:v>
                </c:pt>
                <c:pt idx="557">
                  <c:v>16.920799999999925</c:v>
                </c:pt>
                <c:pt idx="558">
                  <c:v>16.920899999999925</c:v>
                </c:pt>
                <c:pt idx="559">
                  <c:v>16.920999999999925</c:v>
                </c:pt>
                <c:pt idx="560">
                  <c:v>16.921099999999925</c:v>
                </c:pt>
                <c:pt idx="561">
                  <c:v>16.921199999999924</c:v>
                </c:pt>
                <c:pt idx="562">
                  <c:v>16.921299999999924</c:v>
                </c:pt>
                <c:pt idx="563">
                  <c:v>16.921399999999924</c:v>
                </c:pt>
                <c:pt idx="564">
                  <c:v>16.921499999999924</c:v>
                </c:pt>
                <c:pt idx="565">
                  <c:v>16.921599999999923</c:v>
                </c:pt>
                <c:pt idx="566">
                  <c:v>16.921699999999923</c:v>
                </c:pt>
                <c:pt idx="567">
                  <c:v>16.921799999999923</c:v>
                </c:pt>
                <c:pt idx="568">
                  <c:v>16.921899999999923</c:v>
                </c:pt>
                <c:pt idx="569">
                  <c:v>16.921999999999922</c:v>
                </c:pt>
                <c:pt idx="570">
                  <c:v>16.922099999999922</c:v>
                </c:pt>
                <c:pt idx="571">
                  <c:v>16.922199999999922</c:v>
                </c:pt>
                <c:pt idx="572">
                  <c:v>16.922299999999922</c:v>
                </c:pt>
                <c:pt idx="573">
                  <c:v>16.922399999999922</c:v>
                </c:pt>
                <c:pt idx="574">
                  <c:v>16.922499999999921</c:v>
                </c:pt>
                <c:pt idx="575">
                  <c:v>16.922599999999921</c:v>
                </c:pt>
                <c:pt idx="576">
                  <c:v>16.922699999999921</c:v>
                </c:pt>
                <c:pt idx="577">
                  <c:v>16.922799999999921</c:v>
                </c:pt>
                <c:pt idx="578">
                  <c:v>16.92289999999992</c:v>
                </c:pt>
                <c:pt idx="579">
                  <c:v>16.92299999999992</c:v>
                </c:pt>
                <c:pt idx="580">
                  <c:v>16.92309999999992</c:v>
                </c:pt>
                <c:pt idx="581">
                  <c:v>16.92319999999992</c:v>
                </c:pt>
                <c:pt idx="582">
                  <c:v>16.923299999999919</c:v>
                </c:pt>
                <c:pt idx="583">
                  <c:v>16.923399999999919</c:v>
                </c:pt>
                <c:pt idx="584">
                  <c:v>16.923499999999919</c:v>
                </c:pt>
                <c:pt idx="585">
                  <c:v>16.923599999999919</c:v>
                </c:pt>
                <c:pt idx="586">
                  <c:v>16.923699999999918</c:v>
                </c:pt>
                <c:pt idx="587">
                  <c:v>16.923799999999918</c:v>
                </c:pt>
                <c:pt idx="588">
                  <c:v>16.923899999999918</c:v>
                </c:pt>
                <c:pt idx="589">
                  <c:v>16.923999999999918</c:v>
                </c:pt>
                <c:pt idx="590">
                  <c:v>16.924099999999918</c:v>
                </c:pt>
                <c:pt idx="591">
                  <c:v>16.924199999999917</c:v>
                </c:pt>
                <c:pt idx="592">
                  <c:v>16.924299999999917</c:v>
                </c:pt>
                <c:pt idx="593">
                  <c:v>16.924399999999917</c:v>
                </c:pt>
                <c:pt idx="594">
                  <c:v>16.924499999999917</c:v>
                </c:pt>
                <c:pt idx="595">
                  <c:v>16.924599999999916</c:v>
                </c:pt>
                <c:pt idx="596">
                  <c:v>16.924699999999916</c:v>
                </c:pt>
                <c:pt idx="597">
                  <c:v>16.924799999999916</c:v>
                </c:pt>
                <c:pt idx="598">
                  <c:v>16.924899999999916</c:v>
                </c:pt>
                <c:pt idx="599">
                  <c:v>16.924999999999915</c:v>
                </c:pt>
                <c:pt idx="600">
                  <c:v>16.925099999999915</c:v>
                </c:pt>
                <c:pt idx="601">
                  <c:v>16.925199999999915</c:v>
                </c:pt>
                <c:pt idx="602">
                  <c:v>16.925299999999915</c:v>
                </c:pt>
                <c:pt idx="603">
                  <c:v>16.925399999999915</c:v>
                </c:pt>
                <c:pt idx="604">
                  <c:v>16.925499999999914</c:v>
                </c:pt>
                <c:pt idx="605">
                  <c:v>16.925599999999914</c:v>
                </c:pt>
                <c:pt idx="606">
                  <c:v>16.925699999999914</c:v>
                </c:pt>
                <c:pt idx="607">
                  <c:v>16.925799999999914</c:v>
                </c:pt>
                <c:pt idx="608">
                  <c:v>16.925899999999913</c:v>
                </c:pt>
                <c:pt idx="609">
                  <c:v>16.925999999999913</c:v>
                </c:pt>
                <c:pt idx="610">
                  <c:v>16.926099999999913</c:v>
                </c:pt>
                <c:pt idx="611">
                  <c:v>16.926199999999913</c:v>
                </c:pt>
                <c:pt idx="612">
                  <c:v>16.926299999999912</c:v>
                </c:pt>
                <c:pt idx="613">
                  <c:v>16.926399999999912</c:v>
                </c:pt>
                <c:pt idx="614">
                  <c:v>16.926499999999912</c:v>
                </c:pt>
                <c:pt idx="615">
                  <c:v>16.926599999999912</c:v>
                </c:pt>
                <c:pt idx="616">
                  <c:v>16.926699999999911</c:v>
                </c:pt>
                <c:pt idx="617">
                  <c:v>16.926799999999911</c:v>
                </c:pt>
                <c:pt idx="618">
                  <c:v>16.926899999999911</c:v>
                </c:pt>
                <c:pt idx="619">
                  <c:v>16.926999999999911</c:v>
                </c:pt>
                <c:pt idx="620">
                  <c:v>16.927099999999911</c:v>
                </c:pt>
                <c:pt idx="621">
                  <c:v>16.92719999999991</c:v>
                </c:pt>
                <c:pt idx="622">
                  <c:v>16.92729999999991</c:v>
                </c:pt>
                <c:pt idx="623">
                  <c:v>16.92739999999991</c:v>
                </c:pt>
                <c:pt idx="624">
                  <c:v>16.92749999999991</c:v>
                </c:pt>
                <c:pt idx="625">
                  <c:v>16.927599999999909</c:v>
                </c:pt>
                <c:pt idx="626">
                  <c:v>16.927699999999909</c:v>
                </c:pt>
                <c:pt idx="627">
                  <c:v>16.927799999999909</c:v>
                </c:pt>
                <c:pt idx="628">
                  <c:v>16.927899999999909</c:v>
                </c:pt>
                <c:pt idx="629">
                  <c:v>16.927999999999908</c:v>
                </c:pt>
                <c:pt idx="630">
                  <c:v>16.928099999999908</c:v>
                </c:pt>
                <c:pt idx="631">
                  <c:v>16.928199999999908</c:v>
                </c:pt>
                <c:pt idx="632">
                  <c:v>16.928299999999908</c:v>
                </c:pt>
                <c:pt idx="633">
                  <c:v>16.928399999999908</c:v>
                </c:pt>
                <c:pt idx="634">
                  <c:v>16.928499999999907</c:v>
                </c:pt>
                <c:pt idx="635">
                  <c:v>16.928599999999907</c:v>
                </c:pt>
                <c:pt idx="636">
                  <c:v>16.928699999999907</c:v>
                </c:pt>
                <c:pt idx="637">
                  <c:v>16.928799999999907</c:v>
                </c:pt>
                <c:pt idx="638">
                  <c:v>16.928899999999906</c:v>
                </c:pt>
                <c:pt idx="639">
                  <c:v>16.928999999999906</c:v>
                </c:pt>
                <c:pt idx="640">
                  <c:v>16.929099999999906</c:v>
                </c:pt>
                <c:pt idx="641">
                  <c:v>16.929199999999906</c:v>
                </c:pt>
                <c:pt idx="642">
                  <c:v>16.929299999999905</c:v>
                </c:pt>
                <c:pt idx="643">
                  <c:v>16.929399999999905</c:v>
                </c:pt>
                <c:pt idx="644">
                  <c:v>16.929499999999905</c:v>
                </c:pt>
                <c:pt idx="645">
                  <c:v>16.929599999999905</c:v>
                </c:pt>
                <c:pt idx="646">
                  <c:v>16.929699999999904</c:v>
                </c:pt>
                <c:pt idx="647">
                  <c:v>16.929799999999904</c:v>
                </c:pt>
                <c:pt idx="648">
                  <c:v>16.929899999999904</c:v>
                </c:pt>
                <c:pt idx="649">
                  <c:v>16.929999999999904</c:v>
                </c:pt>
                <c:pt idx="650">
                  <c:v>16.930099999999904</c:v>
                </c:pt>
                <c:pt idx="651">
                  <c:v>16.930199999999903</c:v>
                </c:pt>
                <c:pt idx="652">
                  <c:v>16.930299999999903</c:v>
                </c:pt>
                <c:pt idx="653">
                  <c:v>16.930399999999903</c:v>
                </c:pt>
                <c:pt idx="654">
                  <c:v>16.930499999999903</c:v>
                </c:pt>
                <c:pt idx="655">
                  <c:v>16.930599999999902</c:v>
                </c:pt>
                <c:pt idx="656">
                  <c:v>16.930699999999902</c:v>
                </c:pt>
                <c:pt idx="657">
                  <c:v>16.930799999999902</c:v>
                </c:pt>
                <c:pt idx="658">
                  <c:v>16.930899999999902</c:v>
                </c:pt>
                <c:pt idx="659">
                  <c:v>16.930999999999901</c:v>
                </c:pt>
                <c:pt idx="660">
                  <c:v>16.931099999999901</c:v>
                </c:pt>
                <c:pt idx="661">
                  <c:v>16.931199999999901</c:v>
                </c:pt>
                <c:pt idx="662">
                  <c:v>16.931299999999901</c:v>
                </c:pt>
                <c:pt idx="663">
                  <c:v>16.931399999999901</c:v>
                </c:pt>
                <c:pt idx="664">
                  <c:v>16.9314999999999</c:v>
                </c:pt>
                <c:pt idx="665">
                  <c:v>16.9315999999999</c:v>
                </c:pt>
                <c:pt idx="666">
                  <c:v>16.9316999999999</c:v>
                </c:pt>
                <c:pt idx="667">
                  <c:v>16.9317999999999</c:v>
                </c:pt>
                <c:pt idx="668">
                  <c:v>16.931899999999899</c:v>
                </c:pt>
                <c:pt idx="669">
                  <c:v>16.931999999999899</c:v>
                </c:pt>
                <c:pt idx="670">
                  <c:v>16.932099999999899</c:v>
                </c:pt>
                <c:pt idx="671">
                  <c:v>16.932199999999899</c:v>
                </c:pt>
                <c:pt idx="672">
                  <c:v>16.932299999999898</c:v>
                </c:pt>
                <c:pt idx="673">
                  <c:v>16.932399999999898</c:v>
                </c:pt>
                <c:pt idx="674">
                  <c:v>16.932499999999898</c:v>
                </c:pt>
                <c:pt idx="675">
                  <c:v>16.932599999999898</c:v>
                </c:pt>
                <c:pt idx="676">
                  <c:v>16.932699999999897</c:v>
                </c:pt>
                <c:pt idx="677">
                  <c:v>16.932799999999897</c:v>
                </c:pt>
                <c:pt idx="678">
                  <c:v>16.932899999999897</c:v>
                </c:pt>
                <c:pt idx="679">
                  <c:v>16.932999999999897</c:v>
                </c:pt>
                <c:pt idx="680">
                  <c:v>16.933099999999897</c:v>
                </c:pt>
                <c:pt idx="681">
                  <c:v>16.933199999999896</c:v>
                </c:pt>
                <c:pt idx="682">
                  <c:v>16.933299999999896</c:v>
                </c:pt>
                <c:pt idx="683">
                  <c:v>16.933399999999896</c:v>
                </c:pt>
                <c:pt idx="684">
                  <c:v>16.933499999999896</c:v>
                </c:pt>
                <c:pt idx="685">
                  <c:v>16.933599999999895</c:v>
                </c:pt>
                <c:pt idx="686">
                  <c:v>16.933699999999895</c:v>
                </c:pt>
                <c:pt idx="687">
                  <c:v>16.933799999999895</c:v>
                </c:pt>
                <c:pt idx="688">
                  <c:v>16.933899999999895</c:v>
                </c:pt>
                <c:pt idx="689">
                  <c:v>16.933999999999894</c:v>
                </c:pt>
                <c:pt idx="690">
                  <c:v>16.934099999999894</c:v>
                </c:pt>
                <c:pt idx="691">
                  <c:v>16.934199999999894</c:v>
                </c:pt>
                <c:pt idx="692">
                  <c:v>16.934299999999894</c:v>
                </c:pt>
                <c:pt idx="693">
                  <c:v>16.934399999999894</c:v>
                </c:pt>
                <c:pt idx="694">
                  <c:v>16.934499999999893</c:v>
                </c:pt>
                <c:pt idx="695">
                  <c:v>16.934599999999893</c:v>
                </c:pt>
                <c:pt idx="696">
                  <c:v>16.934699999999893</c:v>
                </c:pt>
                <c:pt idx="697">
                  <c:v>16.934799999999893</c:v>
                </c:pt>
                <c:pt idx="698">
                  <c:v>16.934899999999892</c:v>
                </c:pt>
                <c:pt idx="699">
                  <c:v>16.934999999999892</c:v>
                </c:pt>
                <c:pt idx="700">
                  <c:v>16.935099999999892</c:v>
                </c:pt>
                <c:pt idx="701">
                  <c:v>16.935199999999892</c:v>
                </c:pt>
                <c:pt idx="702">
                  <c:v>16.935299999999891</c:v>
                </c:pt>
                <c:pt idx="703">
                  <c:v>16.935399999999891</c:v>
                </c:pt>
                <c:pt idx="704">
                  <c:v>16.935499999999891</c:v>
                </c:pt>
                <c:pt idx="705">
                  <c:v>16.935599999999891</c:v>
                </c:pt>
                <c:pt idx="706">
                  <c:v>16.935699999999891</c:v>
                </c:pt>
                <c:pt idx="707">
                  <c:v>16.93579999999989</c:v>
                </c:pt>
                <c:pt idx="708">
                  <c:v>16.93589999999989</c:v>
                </c:pt>
                <c:pt idx="709">
                  <c:v>16.93599999999989</c:v>
                </c:pt>
                <c:pt idx="710">
                  <c:v>16.93609999999989</c:v>
                </c:pt>
                <c:pt idx="711">
                  <c:v>16.936199999999889</c:v>
                </c:pt>
                <c:pt idx="712">
                  <c:v>16.936299999999889</c:v>
                </c:pt>
                <c:pt idx="713">
                  <c:v>16.936399999999889</c:v>
                </c:pt>
                <c:pt idx="714">
                  <c:v>16.936499999999889</c:v>
                </c:pt>
                <c:pt idx="715">
                  <c:v>16.936599999999888</c:v>
                </c:pt>
                <c:pt idx="716">
                  <c:v>16.936699999999888</c:v>
                </c:pt>
                <c:pt idx="717">
                  <c:v>16.936799999999888</c:v>
                </c:pt>
                <c:pt idx="718">
                  <c:v>16.936899999999888</c:v>
                </c:pt>
                <c:pt idx="719">
                  <c:v>16.936999999999887</c:v>
                </c:pt>
                <c:pt idx="720">
                  <c:v>16.937099999999887</c:v>
                </c:pt>
                <c:pt idx="721">
                  <c:v>16.937199999999887</c:v>
                </c:pt>
                <c:pt idx="722">
                  <c:v>16.937299999999887</c:v>
                </c:pt>
                <c:pt idx="723">
                  <c:v>16.937399999999887</c:v>
                </c:pt>
                <c:pt idx="724">
                  <c:v>16.937499999999886</c:v>
                </c:pt>
                <c:pt idx="725">
                  <c:v>16.937599999999886</c:v>
                </c:pt>
                <c:pt idx="726">
                  <c:v>16.937699999999886</c:v>
                </c:pt>
                <c:pt idx="727">
                  <c:v>16.937799999999886</c:v>
                </c:pt>
                <c:pt idx="728">
                  <c:v>16.937899999999885</c:v>
                </c:pt>
                <c:pt idx="729">
                  <c:v>16.937999999999885</c:v>
                </c:pt>
                <c:pt idx="730">
                  <c:v>16.938099999999885</c:v>
                </c:pt>
                <c:pt idx="731">
                  <c:v>16.938199999999885</c:v>
                </c:pt>
                <c:pt idx="732">
                  <c:v>16.938299999999884</c:v>
                </c:pt>
                <c:pt idx="733">
                  <c:v>16.938399999999884</c:v>
                </c:pt>
                <c:pt idx="734">
                  <c:v>16.938499999999884</c:v>
                </c:pt>
                <c:pt idx="735">
                  <c:v>16.938599999999884</c:v>
                </c:pt>
                <c:pt idx="736">
                  <c:v>16.938699999999884</c:v>
                </c:pt>
                <c:pt idx="737">
                  <c:v>16.938799999999883</c:v>
                </c:pt>
                <c:pt idx="738">
                  <c:v>16.938899999999883</c:v>
                </c:pt>
                <c:pt idx="739">
                  <c:v>16.938999999999883</c:v>
                </c:pt>
                <c:pt idx="740">
                  <c:v>16.939099999999883</c:v>
                </c:pt>
                <c:pt idx="741">
                  <c:v>16.939199999999882</c:v>
                </c:pt>
                <c:pt idx="742">
                  <c:v>16.939299999999882</c:v>
                </c:pt>
                <c:pt idx="743">
                  <c:v>16.939399999999882</c:v>
                </c:pt>
                <c:pt idx="744">
                  <c:v>16.939499999999882</c:v>
                </c:pt>
                <c:pt idx="745">
                  <c:v>16.939599999999881</c:v>
                </c:pt>
                <c:pt idx="746">
                  <c:v>16.939699999999881</c:v>
                </c:pt>
                <c:pt idx="747">
                  <c:v>16.939799999999881</c:v>
                </c:pt>
                <c:pt idx="748">
                  <c:v>16.939899999999881</c:v>
                </c:pt>
                <c:pt idx="749">
                  <c:v>16.93999999999988</c:v>
                </c:pt>
                <c:pt idx="750">
                  <c:v>16.94009999999988</c:v>
                </c:pt>
                <c:pt idx="751">
                  <c:v>16.94019999999988</c:v>
                </c:pt>
                <c:pt idx="752">
                  <c:v>16.94029999999988</c:v>
                </c:pt>
                <c:pt idx="753">
                  <c:v>16.94039999999988</c:v>
                </c:pt>
                <c:pt idx="754">
                  <c:v>16.940499999999879</c:v>
                </c:pt>
                <c:pt idx="755">
                  <c:v>16.940599999999879</c:v>
                </c:pt>
                <c:pt idx="756">
                  <c:v>16.940699999999879</c:v>
                </c:pt>
                <c:pt idx="757">
                  <c:v>16.940799999999879</c:v>
                </c:pt>
                <c:pt idx="758">
                  <c:v>16.940899999999878</c:v>
                </c:pt>
                <c:pt idx="759">
                  <c:v>16.940999999999878</c:v>
                </c:pt>
                <c:pt idx="760">
                  <c:v>16.941099999999878</c:v>
                </c:pt>
                <c:pt idx="761">
                  <c:v>16.941199999999878</c:v>
                </c:pt>
                <c:pt idx="762">
                  <c:v>16.941299999999877</c:v>
                </c:pt>
                <c:pt idx="763">
                  <c:v>16.941399999999877</c:v>
                </c:pt>
                <c:pt idx="764">
                  <c:v>16.941499999999877</c:v>
                </c:pt>
                <c:pt idx="765">
                  <c:v>16.941599999999877</c:v>
                </c:pt>
                <c:pt idx="766">
                  <c:v>16.941699999999877</c:v>
                </c:pt>
                <c:pt idx="767">
                  <c:v>16.941799999999876</c:v>
                </c:pt>
                <c:pt idx="768">
                  <c:v>16.941899999999876</c:v>
                </c:pt>
                <c:pt idx="769">
                  <c:v>16.941999999999876</c:v>
                </c:pt>
                <c:pt idx="770">
                  <c:v>16.942099999999876</c:v>
                </c:pt>
                <c:pt idx="771">
                  <c:v>16.942199999999875</c:v>
                </c:pt>
                <c:pt idx="772">
                  <c:v>16.942299999999875</c:v>
                </c:pt>
                <c:pt idx="773">
                  <c:v>16.942399999999875</c:v>
                </c:pt>
                <c:pt idx="774">
                  <c:v>16.942499999999875</c:v>
                </c:pt>
                <c:pt idx="775">
                  <c:v>16.942599999999874</c:v>
                </c:pt>
                <c:pt idx="776">
                  <c:v>16.942699999999874</c:v>
                </c:pt>
                <c:pt idx="777">
                  <c:v>16.942799999999874</c:v>
                </c:pt>
                <c:pt idx="778">
                  <c:v>16.942899999999874</c:v>
                </c:pt>
                <c:pt idx="779">
                  <c:v>16.942999999999873</c:v>
                </c:pt>
                <c:pt idx="780">
                  <c:v>16.943099999999873</c:v>
                </c:pt>
                <c:pt idx="781">
                  <c:v>16.943199999999873</c:v>
                </c:pt>
                <c:pt idx="782">
                  <c:v>16.943299999999873</c:v>
                </c:pt>
                <c:pt idx="783">
                  <c:v>16.943399999999873</c:v>
                </c:pt>
                <c:pt idx="784">
                  <c:v>16.943499999999872</c:v>
                </c:pt>
                <c:pt idx="785">
                  <c:v>16.943599999999872</c:v>
                </c:pt>
                <c:pt idx="786">
                  <c:v>16.943699999999872</c:v>
                </c:pt>
                <c:pt idx="787">
                  <c:v>16.943799999999872</c:v>
                </c:pt>
                <c:pt idx="788">
                  <c:v>16.943899999999871</c:v>
                </c:pt>
                <c:pt idx="789">
                  <c:v>16.943999999999871</c:v>
                </c:pt>
                <c:pt idx="790">
                  <c:v>16.944099999999871</c:v>
                </c:pt>
                <c:pt idx="791">
                  <c:v>16.944199999999871</c:v>
                </c:pt>
                <c:pt idx="792">
                  <c:v>16.94429999999987</c:v>
                </c:pt>
                <c:pt idx="793">
                  <c:v>16.94439999999987</c:v>
                </c:pt>
                <c:pt idx="794">
                  <c:v>16.94449999999987</c:v>
                </c:pt>
                <c:pt idx="795">
                  <c:v>16.94459999999987</c:v>
                </c:pt>
                <c:pt idx="796">
                  <c:v>16.94469999999987</c:v>
                </c:pt>
                <c:pt idx="797">
                  <c:v>16.944799999999869</c:v>
                </c:pt>
                <c:pt idx="798">
                  <c:v>16.944899999999869</c:v>
                </c:pt>
                <c:pt idx="799">
                  <c:v>16.944999999999869</c:v>
                </c:pt>
                <c:pt idx="800">
                  <c:v>16.945099999999869</c:v>
                </c:pt>
                <c:pt idx="801">
                  <c:v>16.945199999999868</c:v>
                </c:pt>
                <c:pt idx="802">
                  <c:v>16.945299999999868</c:v>
                </c:pt>
                <c:pt idx="803">
                  <c:v>16.945399999999868</c:v>
                </c:pt>
                <c:pt idx="804">
                  <c:v>16.945499999999868</c:v>
                </c:pt>
                <c:pt idx="805">
                  <c:v>16.945599999999867</c:v>
                </c:pt>
                <c:pt idx="806">
                  <c:v>16.945699999999867</c:v>
                </c:pt>
                <c:pt idx="807">
                  <c:v>16.945799999999867</c:v>
                </c:pt>
                <c:pt idx="808">
                  <c:v>16.945899999999867</c:v>
                </c:pt>
                <c:pt idx="809">
                  <c:v>16.945999999999867</c:v>
                </c:pt>
                <c:pt idx="810">
                  <c:v>16.946099999999866</c:v>
                </c:pt>
                <c:pt idx="811">
                  <c:v>16.946199999999866</c:v>
                </c:pt>
                <c:pt idx="812">
                  <c:v>16.946299999999866</c:v>
                </c:pt>
                <c:pt idx="813">
                  <c:v>16.946399999999866</c:v>
                </c:pt>
                <c:pt idx="814">
                  <c:v>16.946499999999865</c:v>
                </c:pt>
                <c:pt idx="815">
                  <c:v>16.946599999999865</c:v>
                </c:pt>
                <c:pt idx="816">
                  <c:v>16.946699999999865</c:v>
                </c:pt>
                <c:pt idx="817">
                  <c:v>16.946799999999865</c:v>
                </c:pt>
                <c:pt idx="818">
                  <c:v>16.946899999999864</c:v>
                </c:pt>
                <c:pt idx="819">
                  <c:v>16.946999999999864</c:v>
                </c:pt>
                <c:pt idx="820">
                  <c:v>16.947099999999864</c:v>
                </c:pt>
                <c:pt idx="821">
                  <c:v>16.947199999999864</c:v>
                </c:pt>
                <c:pt idx="822">
                  <c:v>16.947299999999863</c:v>
                </c:pt>
                <c:pt idx="823">
                  <c:v>16.947399999999863</c:v>
                </c:pt>
                <c:pt idx="824">
                  <c:v>16.947499999999863</c:v>
                </c:pt>
                <c:pt idx="825">
                  <c:v>16.947599999999863</c:v>
                </c:pt>
                <c:pt idx="826">
                  <c:v>16.947699999999863</c:v>
                </c:pt>
                <c:pt idx="827">
                  <c:v>16.947799999999862</c:v>
                </c:pt>
                <c:pt idx="828">
                  <c:v>16.947899999999862</c:v>
                </c:pt>
                <c:pt idx="829">
                  <c:v>16.947999999999862</c:v>
                </c:pt>
                <c:pt idx="830">
                  <c:v>16.948099999999862</c:v>
                </c:pt>
                <c:pt idx="831">
                  <c:v>16.948199999999861</c:v>
                </c:pt>
                <c:pt idx="832">
                  <c:v>16.948299999999861</c:v>
                </c:pt>
                <c:pt idx="833">
                  <c:v>16.948399999999861</c:v>
                </c:pt>
                <c:pt idx="834">
                  <c:v>16.948499999999861</c:v>
                </c:pt>
                <c:pt idx="835">
                  <c:v>16.94859999999986</c:v>
                </c:pt>
                <c:pt idx="836">
                  <c:v>16.94869999999986</c:v>
                </c:pt>
                <c:pt idx="837">
                  <c:v>16.94879999999986</c:v>
                </c:pt>
                <c:pt idx="838">
                  <c:v>16.94889999999986</c:v>
                </c:pt>
                <c:pt idx="839">
                  <c:v>16.94899999999986</c:v>
                </c:pt>
                <c:pt idx="840">
                  <c:v>16.949099999999859</c:v>
                </c:pt>
                <c:pt idx="841">
                  <c:v>16.949199999999859</c:v>
                </c:pt>
                <c:pt idx="842">
                  <c:v>16.949299999999859</c:v>
                </c:pt>
                <c:pt idx="843">
                  <c:v>16.949399999999859</c:v>
                </c:pt>
                <c:pt idx="844">
                  <c:v>16.949499999999858</c:v>
                </c:pt>
                <c:pt idx="845">
                  <c:v>16.949599999999858</c:v>
                </c:pt>
                <c:pt idx="846">
                  <c:v>16.949699999999858</c:v>
                </c:pt>
                <c:pt idx="847">
                  <c:v>16.949799999999858</c:v>
                </c:pt>
                <c:pt idx="848">
                  <c:v>16.949899999999857</c:v>
                </c:pt>
                <c:pt idx="849">
                  <c:v>16.949999999999857</c:v>
                </c:pt>
                <c:pt idx="850">
                  <c:v>16.950099999999857</c:v>
                </c:pt>
                <c:pt idx="851">
                  <c:v>16.950199999999857</c:v>
                </c:pt>
                <c:pt idx="852">
                  <c:v>16.950299999999856</c:v>
                </c:pt>
                <c:pt idx="853">
                  <c:v>16.950399999999856</c:v>
                </c:pt>
                <c:pt idx="854">
                  <c:v>16.950499999999856</c:v>
                </c:pt>
                <c:pt idx="855">
                  <c:v>16.950599999999856</c:v>
                </c:pt>
                <c:pt idx="856">
                  <c:v>16.950699999999856</c:v>
                </c:pt>
                <c:pt idx="857">
                  <c:v>16.950799999999855</c:v>
                </c:pt>
                <c:pt idx="858">
                  <c:v>16.950899999999855</c:v>
                </c:pt>
                <c:pt idx="859">
                  <c:v>16.950999999999855</c:v>
                </c:pt>
                <c:pt idx="860">
                  <c:v>16.951099999999855</c:v>
                </c:pt>
                <c:pt idx="861">
                  <c:v>16.951199999999854</c:v>
                </c:pt>
                <c:pt idx="862">
                  <c:v>16.951299999999854</c:v>
                </c:pt>
                <c:pt idx="863">
                  <c:v>16.951399999999854</c:v>
                </c:pt>
                <c:pt idx="864">
                  <c:v>16.951499999999854</c:v>
                </c:pt>
                <c:pt idx="865">
                  <c:v>16.951599999999853</c:v>
                </c:pt>
                <c:pt idx="866">
                  <c:v>16.951699999999853</c:v>
                </c:pt>
                <c:pt idx="867">
                  <c:v>16.951799999999853</c:v>
                </c:pt>
                <c:pt idx="868">
                  <c:v>16.951899999999853</c:v>
                </c:pt>
                <c:pt idx="869">
                  <c:v>16.951999999999853</c:v>
                </c:pt>
                <c:pt idx="870">
                  <c:v>16.952099999999852</c:v>
                </c:pt>
                <c:pt idx="871">
                  <c:v>16.952199999999852</c:v>
                </c:pt>
                <c:pt idx="872">
                  <c:v>16.952299999999852</c:v>
                </c:pt>
                <c:pt idx="873">
                  <c:v>16.952399999999852</c:v>
                </c:pt>
                <c:pt idx="874">
                  <c:v>16.952499999999851</c:v>
                </c:pt>
                <c:pt idx="875">
                  <c:v>16.952599999999851</c:v>
                </c:pt>
                <c:pt idx="876">
                  <c:v>16.952699999999851</c:v>
                </c:pt>
                <c:pt idx="877">
                  <c:v>16.952799999999851</c:v>
                </c:pt>
                <c:pt idx="878">
                  <c:v>16.95289999999985</c:v>
                </c:pt>
                <c:pt idx="879">
                  <c:v>16.95299999999985</c:v>
                </c:pt>
                <c:pt idx="880">
                  <c:v>16.95309999999985</c:v>
                </c:pt>
                <c:pt idx="881">
                  <c:v>16.95319999999985</c:v>
                </c:pt>
                <c:pt idx="882">
                  <c:v>16.953299999999849</c:v>
                </c:pt>
                <c:pt idx="883">
                  <c:v>16.953399999999849</c:v>
                </c:pt>
                <c:pt idx="884">
                  <c:v>16.953499999999849</c:v>
                </c:pt>
                <c:pt idx="885">
                  <c:v>16.953599999999849</c:v>
                </c:pt>
                <c:pt idx="886">
                  <c:v>16.953699999999849</c:v>
                </c:pt>
                <c:pt idx="887">
                  <c:v>16.953799999999848</c:v>
                </c:pt>
                <c:pt idx="888">
                  <c:v>16.953899999999848</c:v>
                </c:pt>
                <c:pt idx="889">
                  <c:v>16.953999999999848</c:v>
                </c:pt>
                <c:pt idx="890">
                  <c:v>16.954099999999848</c:v>
                </c:pt>
                <c:pt idx="891">
                  <c:v>16.954199999999847</c:v>
                </c:pt>
                <c:pt idx="892">
                  <c:v>16.954299999999847</c:v>
                </c:pt>
                <c:pt idx="893">
                  <c:v>16.954399999999847</c:v>
                </c:pt>
                <c:pt idx="894">
                  <c:v>16.954499999999847</c:v>
                </c:pt>
                <c:pt idx="895">
                  <c:v>16.954599999999846</c:v>
                </c:pt>
                <c:pt idx="896">
                  <c:v>16.954699999999846</c:v>
                </c:pt>
                <c:pt idx="897">
                  <c:v>16.954799999999846</c:v>
                </c:pt>
                <c:pt idx="898">
                  <c:v>16.954899999999846</c:v>
                </c:pt>
                <c:pt idx="899">
                  <c:v>16.954999999999846</c:v>
                </c:pt>
                <c:pt idx="900">
                  <c:v>16.955099999999845</c:v>
                </c:pt>
                <c:pt idx="901">
                  <c:v>16.955199999999845</c:v>
                </c:pt>
                <c:pt idx="902">
                  <c:v>16.955299999999845</c:v>
                </c:pt>
                <c:pt idx="903">
                  <c:v>16.955399999999845</c:v>
                </c:pt>
                <c:pt idx="904">
                  <c:v>16.955499999999844</c:v>
                </c:pt>
                <c:pt idx="905">
                  <c:v>16.955599999999844</c:v>
                </c:pt>
                <c:pt idx="906">
                  <c:v>16.955699999999844</c:v>
                </c:pt>
                <c:pt idx="907">
                  <c:v>16.955799999999844</c:v>
                </c:pt>
                <c:pt idx="908">
                  <c:v>16.955899999999843</c:v>
                </c:pt>
                <c:pt idx="909">
                  <c:v>16.955999999999843</c:v>
                </c:pt>
                <c:pt idx="910">
                  <c:v>16.956099999999843</c:v>
                </c:pt>
                <c:pt idx="911">
                  <c:v>16.956199999999843</c:v>
                </c:pt>
                <c:pt idx="912">
                  <c:v>16.956299999999842</c:v>
                </c:pt>
                <c:pt idx="913">
                  <c:v>16.956399999999842</c:v>
                </c:pt>
                <c:pt idx="914">
                  <c:v>16.956499999999842</c:v>
                </c:pt>
                <c:pt idx="915">
                  <c:v>16.956599999999842</c:v>
                </c:pt>
                <c:pt idx="916">
                  <c:v>16.956699999999842</c:v>
                </c:pt>
                <c:pt idx="917">
                  <c:v>16.956799999999841</c:v>
                </c:pt>
                <c:pt idx="918">
                  <c:v>16.956899999999841</c:v>
                </c:pt>
                <c:pt idx="919">
                  <c:v>16.956999999999841</c:v>
                </c:pt>
                <c:pt idx="920">
                  <c:v>16.957099999999841</c:v>
                </c:pt>
                <c:pt idx="921">
                  <c:v>16.95719999999984</c:v>
                </c:pt>
                <c:pt idx="922">
                  <c:v>16.95729999999984</c:v>
                </c:pt>
                <c:pt idx="923">
                  <c:v>16.95739999999984</c:v>
                </c:pt>
                <c:pt idx="924">
                  <c:v>16.95749999999984</c:v>
                </c:pt>
                <c:pt idx="925">
                  <c:v>16.957599999999839</c:v>
                </c:pt>
                <c:pt idx="926">
                  <c:v>16.957699999999839</c:v>
                </c:pt>
                <c:pt idx="927">
                  <c:v>16.957799999999839</c:v>
                </c:pt>
                <c:pt idx="928">
                  <c:v>16.957899999999839</c:v>
                </c:pt>
                <c:pt idx="929">
                  <c:v>16.957999999999839</c:v>
                </c:pt>
                <c:pt idx="930">
                  <c:v>16.958099999999838</c:v>
                </c:pt>
                <c:pt idx="931">
                  <c:v>16.958199999999838</c:v>
                </c:pt>
                <c:pt idx="932">
                  <c:v>16.958299999999838</c:v>
                </c:pt>
                <c:pt idx="933">
                  <c:v>16.958399999999838</c:v>
                </c:pt>
                <c:pt idx="934">
                  <c:v>16.958499999999837</c:v>
                </c:pt>
                <c:pt idx="935">
                  <c:v>16.958599999999837</c:v>
                </c:pt>
                <c:pt idx="936">
                  <c:v>16.958699999999837</c:v>
                </c:pt>
                <c:pt idx="937">
                  <c:v>16.958799999999837</c:v>
                </c:pt>
                <c:pt idx="938">
                  <c:v>16.958899999999836</c:v>
                </c:pt>
                <c:pt idx="939">
                  <c:v>16.958999999999836</c:v>
                </c:pt>
                <c:pt idx="940">
                  <c:v>16.959099999999836</c:v>
                </c:pt>
                <c:pt idx="941">
                  <c:v>16.959199999999836</c:v>
                </c:pt>
                <c:pt idx="942">
                  <c:v>16.959299999999836</c:v>
                </c:pt>
                <c:pt idx="943">
                  <c:v>16.959399999999835</c:v>
                </c:pt>
                <c:pt idx="944">
                  <c:v>16.959499999999835</c:v>
                </c:pt>
                <c:pt idx="945">
                  <c:v>16.959599999999835</c:v>
                </c:pt>
                <c:pt idx="946">
                  <c:v>16.959699999999835</c:v>
                </c:pt>
                <c:pt idx="947">
                  <c:v>16.959799999999834</c:v>
                </c:pt>
                <c:pt idx="948">
                  <c:v>16.959899999999834</c:v>
                </c:pt>
                <c:pt idx="949">
                  <c:v>16.959999999999834</c:v>
                </c:pt>
                <c:pt idx="950">
                  <c:v>16.960099999999834</c:v>
                </c:pt>
                <c:pt idx="951">
                  <c:v>16.960199999999833</c:v>
                </c:pt>
                <c:pt idx="952">
                  <c:v>16.960299999999833</c:v>
                </c:pt>
                <c:pt idx="953">
                  <c:v>16.960399999999833</c:v>
                </c:pt>
                <c:pt idx="954">
                  <c:v>16.960499999999833</c:v>
                </c:pt>
                <c:pt idx="955">
                  <c:v>16.960599999999832</c:v>
                </c:pt>
                <c:pt idx="956">
                  <c:v>16.960699999999832</c:v>
                </c:pt>
                <c:pt idx="957">
                  <c:v>16.960799999999832</c:v>
                </c:pt>
                <c:pt idx="958">
                  <c:v>16.960899999999832</c:v>
                </c:pt>
                <c:pt idx="959">
                  <c:v>16.960999999999832</c:v>
                </c:pt>
                <c:pt idx="960">
                  <c:v>16.961099999999831</c:v>
                </c:pt>
                <c:pt idx="961">
                  <c:v>16.961199999999831</c:v>
                </c:pt>
                <c:pt idx="962">
                  <c:v>16.961299999999831</c:v>
                </c:pt>
                <c:pt idx="963">
                  <c:v>16.961399999999831</c:v>
                </c:pt>
                <c:pt idx="964">
                  <c:v>16.96149999999983</c:v>
                </c:pt>
                <c:pt idx="965">
                  <c:v>16.96159999999983</c:v>
                </c:pt>
                <c:pt idx="966">
                  <c:v>16.96169999999983</c:v>
                </c:pt>
                <c:pt idx="967">
                  <c:v>16.96179999999983</c:v>
                </c:pt>
                <c:pt idx="968">
                  <c:v>16.961899999999829</c:v>
                </c:pt>
                <c:pt idx="969">
                  <c:v>16.961999999999829</c:v>
                </c:pt>
                <c:pt idx="970">
                  <c:v>16.962099999999829</c:v>
                </c:pt>
                <c:pt idx="971">
                  <c:v>16.962199999999829</c:v>
                </c:pt>
                <c:pt idx="972">
                  <c:v>16.962299999999829</c:v>
                </c:pt>
                <c:pt idx="973">
                  <c:v>16.962399999999828</c:v>
                </c:pt>
                <c:pt idx="974">
                  <c:v>16.962499999999828</c:v>
                </c:pt>
                <c:pt idx="975">
                  <c:v>16.962599999999828</c:v>
                </c:pt>
                <c:pt idx="976">
                  <c:v>16.962699999999828</c:v>
                </c:pt>
                <c:pt idx="977">
                  <c:v>16.962799999999827</c:v>
                </c:pt>
                <c:pt idx="978">
                  <c:v>16.962899999999827</c:v>
                </c:pt>
                <c:pt idx="979">
                  <c:v>16.962999999999827</c:v>
                </c:pt>
                <c:pt idx="980">
                  <c:v>16.963099999999827</c:v>
                </c:pt>
                <c:pt idx="981">
                  <c:v>16.963199999999826</c:v>
                </c:pt>
                <c:pt idx="982">
                  <c:v>16.963299999999826</c:v>
                </c:pt>
                <c:pt idx="983">
                  <c:v>16.963399999999826</c:v>
                </c:pt>
                <c:pt idx="984">
                  <c:v>16.963499999999826</c:v>
                </c:pt>
                <c:pt idx="985">
                  <c:v>16.963599999999825</c:v>
                </c:pt>
                <c:pt idx="986">
                  <c:v>16.963699999999825</c:v>
                </c:pt>
                <c:pt idx="987">
                  <c:v>16.963799999999825</c:v>
                </c:pt>
                <c:pt idx="988">
                  <c:v>16.963899999999825</c:v>
                </c:pt>
                <c:pt idx="989">
                  <c:v>16.963999999999825</c:v>
                </c:pt>
                <c:pt idx="990">
                  <c:v>16.964099999999824</c:v>
                </c:pt>
                <c:pt idx="991">
                  <c:v>16.964199999999824</c:v>
                </c:pt>
                <c:pt idx="992">
                  <c:v>16.964299999999824</c:v>
                </c:pt>
                <c:pt idx="993">
                  <c:v>16.964399999999824</c:v>
                </c:pt>
                <c:pt idx="994">
                  <c:v>16.964499999999823</c:v>
                </c:pt>
                <c:pt idx="995">
                  <c:v>16.964599999999823</c:v>
                </c:pt>
                <c:pt idx="996">
                  <c:v>16.964699999999823</c:v>
                </c:pt>
                <c:pt idx="997">
                  <c:v>16.964799999999823</c:v>
                </c:pt>
                <c:pt idx="998">
                  <c:v>16.964899999999822</c:v>
                </c:pt>
                <c:pt idx="999">
                  <c:v>16.964999999999822</c:v>
                </c:pt>
                <c:pt idx="1000">
                  <c:v>16.965099999999822</c:v>
                </c:pt>
              </c:numCache>
            </c:numRef>
          </c:xVal>
          <c:yVal>
            <c:numRef>
              <c:f>Calculs!$AG$4:$AG$1004</c:f>
              <c:numCache>
                <c:formatCode>0.00</c:formatCode>
                <c:ptCount val="1001"/>
                <c:pt idx="0">
                  <c:v>0</c:v>
                </c:pt>
                <c:pt idx="1">
                  <c:v>21.788822454477202</c:v>
                </c:pt>
                <c:pt idx="2">
                  <c:v>81.56935759602348</c:v>
                </c:pt>
                <c:pt idx="3">
                  <c:v>124.22242087316687</c:v>
                </c:pt>
                <c:pt idx="4">
                  <c:v>97.964386289064109</c:v>
                </c:pt>
                <c:pt idx="5">
                  <c:v>71.658386894758564</c:v>
                </c:pt>
                <c:pt idx="6">
                  <c:v>55.009177078287031</c:v>
                </c:pt>
                <c:pt idx="7">
                  <c:v>53.522459694735069</c:v>
                </c:pt>
                <c:pt idx="8">
                  <c:v>55.692033022639883</c:v>
                </c:pt>
                <c:pt idx="9">
                  <c:v>57.862160825168154</c:v>
                </c:pt>
                <c:pt idx="10">
                  <c:v>60.032754006894116</c:v>
                </c:pt>
                <c:pt idx="11">
                  <c:v>60.818135267813823</c:v>
                </c:pt>
                <c:pt idx="12">
                  <c:v>61.602502767943001</c:v>
                </c:pt>
                <c:pt idx="13">
                  <c:v>62.38579871997532</c:v>
                </c:pt>
                <c:pt idx="14">
                  <c:v>63.16796449287893</c:v>
                </c:pt>
                <c:pt idx="15">
                  <c:v>63.948940620839956</c:v>
                </c:pt>
                <c:pt idx="16">
                  <c:v>64.728666812651724</c:v>
                </c:pt>
                <c:pt idx="17">
                  <c:v>65.507081961554888</c:v>
                </c:pt>
                <c:pt idx="18">
                  <c:v>66.284124155533675</c:v>
                </c:pt>
                <c:pt idx="19">
                  <c:v>67.059730688073344</c:v>
                </c:pt>
                <c:pt idx="20">
                  <c:v>67.833838069383432</c:v>
                </c:pt>
                <c:pt idx="21">
                  <c:v>68.606382038091297</c:v>
                </c:pt>
                <c:pt idx="22">
                  <c:v>69.211183326971735</c:v>
                </c:pt>
                <c:pt idx="23">
                  <c:v>69.426395996887464</c:v>
                </c:pt>
                <c:pt idx="24">
                  <c:v>69.639487406033467</c:v>
                </c:pt>
                <c:pt idx="25">
                  <c:v>69.850436047449023</c:v>
                </c:pt>
                <c:pt idx="26">
                  <c:v>70.05922060143196</c:v>
                </c:pt>
                <c:pt idx="27">
                  <c:v>70.265819941401759</c:v>
                </c:pt>
                <c:pt idx="28">
                  <c:v>70.470213139746988</c:v>
                </c:pt>
                <c:pt idx="29">
                  <c:v>70.672379473655241</c:v>
                </c:pt>
                <c:pt idx="30">
                  <c:v>70.87377035546254</c:v>
                </c:pt>
                <c:pt idx="31">
                  <c:v>71.07287237535175</c:v>
                </c:pt>
                <c:pt idx="32">
                  <c:v>71.269649057057578</c:v>
                </c:pt>
                <c:pt idx="33">
                  <c:v>71.46408236421064</c:v>
                </c:pt>
                <c:pt idx="34">
                  <c:v>71.656154339190238</c:v>
                </c:pt>
                <c:pt idx="35">
                  <c:v>71.802612006662031</c:v>
                </c:pt>
                <c:pt idx="36">
                  <c:v>71.557358803450896</c:v>
                </c:pt>
                <c:pt idx="37">
                  <c:v>71.309583937956035</c:v>
                </c:pt>
                <c:pt idx="38">
                  <c:v>71.059314653623758</c:v>
                </c:pt>
                <c:pt idx="39">
                  <c:v>70.806578370269378</c:v>
                </c:pt>
                <c:pt idx="40">
                  <c:v>70.551402688722817</c:v>
                </c:pt>
                <c:pt idx="41">
                  <c:v>70.293815393820012</c:v>
                </c:pt>
                <c:pt idx="42">
                  <c:v>70.033844455987932</c:v>
                </c:pt>
                <c:pt idx="43">
                  <c:v>69.771518031629213</c:v>
                </c:pt>
                <c:pt idx="44">
                  <c:v>69.506864462477182</c:v>
                </c:pt>
                <c:pt idx="45">
                  <c:v>69.239912274065219</c:v>
                </c:pt>
                <c:pt idx="46">
                  <c:v>68.970690173430071</c:v>
                </c:pt>
                <c:pt idx="47">
                  <c:v>68.699227046152345</c:v>
                </c:pt>
                <c:pt idx="48">
                  <c:v>68.425551952820314</c:v>
                </c:pt>
                <c:pt idx="49">
                  <c:v>68.149694124991697</c:v>
                </c:pt>
                <c:pt idx="50">
                  <c:v>67.871682960716839</c:v>
                </c:pt>
                <c:pt idx="51">
                  <c:v>67.591548019678953</c:v>
                </c:pt>
                <c:pt idx="52">
                  <c:v>67.309319017998888</c:v>
                </c:pt>
                <c:pt idx="53">
                  <c:v>67.025025822745732</c:v>
                </c:pt>
                <c:pt idx="54">
                  <c:v>66.738698446190639</c:v>
                </c:pt>
                <c:pt idx="55">
                  <c:v>66.450367039835072</c:v>
                </c:pt>
                <c:pt idx="56">
                  <c:v>66.160061888242083</c:v>
                </c:pt>
                <c:pt idx="57">
                  <c:v>65.867813402695901</c:v>
                </c:pt>
                <c:pt idx="58">
                  <c:v>65.57365211471209</c:v>
                </c:pt>
                <c:pt idx="59">
                  <c:v>65.277608669418086</c:v>
                </c:pt>
                <c:pt idx="60">
                  <c:v>64.979713818822489</c:v>
                </c:pt>
                <c:pt idx="61">
                  <c:v>64.679998414989015</c:v>
                </c:pt>
                <c:pt idx="62">
                  <c:v>64.378493403129909</c:v>
                </c:pt>
                <c:pt idx="63">
                  <c:v>64.075229814632038</c:v>
                </c:pt>
                <c:pt idx="64">
                  <c:v>63.770238760028093</c:v>
                </c:pt>
                <c:pt idx="65">
                  <c:v>63.463551421923803</c:v>
                </c:pt>
                <c:pt idx="66">
                  <c:v>63.155199047891216</c:v>
                </c:pt>
                <c:pt idx="67">
                  <c:v>62.845212943338112</c:v>
                </c:pt>
                <c:pt idx="68">
                  <c:v>62.533624464361523</c:v>
                </c:pt>
                <c:pt idx="69">
                  <c:v>62.22046501059377</c:v>
                </c:pt>
                <c:pt idx="70">
                  <c:v>61.905766018048631</c:v>
                </c:pt>
                <c:pt idx="71">
                  <c:v>61.589558951974453</c:v>
                </c:pt>
                <c:pt idx="72">
                  <c:v>61.271875299720605</c:v>
                </c:pt>
                <c:pt idx="73">
                  <c:v>60.952746563623769</c:v>
                </c:pt>
                <c:pt idx="74">
                  <c:v>60.632204253919589</c:v>
                </c:pt>
                <c:pt idx="75">
                  <c:v>60.310279881684799</c:v>
                </c:pt>
                <c:pt idx="76">
                  <c:v>59.987004951815521</c:v>
                </c:pt>
                <c:pt idx="77">
                  <c:v>59.662410956045932</c:v>
                </c:pt>
                <c:pt idx="78">
                  <c:v>59.336529366012257</c:v>
                </c:pt>
                <c:pt idx="79">
                  <c:v>59.009391626365868</c:v>
                </c:pt>
                <c:pt idx="80">
                  <c:v>58.681029147940173</c:v>
                </c:pt>
                <c:pt idx="81">
                  <c:v>58.351473300974533</c:v>
                </c:pt>
                <c:pt idx="82">
                  <c:v>58.020755408399125</c:v>
                </c:pt>
                <c:pt idx="83">
                  <c:v>57.688906739184162</c:v>
                </c:pt>
                <c:pt idx="84">
                  <c:v>57.355958501756781</c:v>
                </c:pt>
                <c:pt idx="85">
                  <c:v>57.02194183748837</c:v>
                </c:pt>
                <c:pt idx="86">
                  <c:v>56.68688781425579</c:v>
                </c:pt>
                <c:pt idx="87">
                  <c:v>56.350827420078943</c:v>
                </c:pt>
                <c:pt idx="88">
                  <c:v>56.013791556837162</c:v>
                </c:pt>
                <c:pt idx="89">
                  <c:v>55.675811034067401</c:v>
                </c:pt>
                <c:pt idx="90">
                  <c:v>55.336916562846213</c:v>
                </c:pt>
                <c:pt idx="91">
                  <c:v>54.99713874975798</c:v>
                </c:pt>
                <c:pt idx="92">
                  <c:v>54.656508090951171</c:v>
                </c:pt>
                <c:pt idx="93">
                  <c:v>54.315054966285096</c:v>
                </c:pt>
                <c:pt idx="94">
                  <c:v>53.972809633568801</c:v>
                </c:pt>
                <c:pt idx="95">
                  <c:v>53.629802222893716</c:v>
                </c:pt>
                <c:pt idx="96">
                  <c:v>53.286062731062081</c:v>
                </c:pt>
                <c:pt idx="97">
                  <c:v>52.941621016112357</c:v>
                </c:pt>
                <c:pt idx="98">
                  <c:v>52.59650679194344</c:v>
                </c:pt>
                <c:pt idx="99">
                  <c:v>52.250749623038679</c:v>
                </c:pt>
                <c:pt idx="100">
                  <c:v>51.904378919291254</c:v>
                </c:pt>
                <c:pt idx="101">
                  <c:v>51.557423930931883</c:v>
                </c:pt>
                <c:pt idx="102">
                  <c:v>51.209913743560122</c:v>
                </c:pt>
                <c:pt idx="103">
                  <c:v>50.861877273280037</c:v>
                </c:pt>
                <c:pt idx="104">
                  <c:v>50.513343261941429</c:v>
                </c:pt>
                <c:pt idx="105">
                  <c:v>50.164340272487067</c:v>
                </c:pt>
                <c:pt idx="106">
                  <c:v>49.814896684407074</c:v>
                </c:pt>
                <c:pt idx="107">
                  <c:v>49.465040689300778</c:v>
                </c:pt>
                <c:pt idx="108">
                  <c:v>49.114800286546789</c:v>
                </c:pt>
                <c:pt idx="109">
                  <c:v>48.764203279081798</c:v>
                </c:pt>
                <c:pt idx="110">
                  <c:v>48.413277269288372</c:v>
                </c:pt>
                <c:pt idx="111">
                  <c:v>48.062049654992322</c:v>
                </c:pt>
                <c:pt idx="112">
                  <c:v>47.710547625569667</c:v>
                </c:pt>
                <c:pt idx="113">
                  <c:v>47.358798158163637</c:v>
                </c:pt>
                <c:pt idx="114">
                  <c:v>47.006828014011681</c:v>
                </c:pt>
                <c:pt idx="115">
                  <c:v>46.654663734882575</c:v>
                </c:pt>
                <c:pt idx="116">
                  <c:v>46.302331639623731</c:v>
                </c:pt>
                <c:pt idx="117">
                  <c:v>45.949857820818558</c:v>
                </c:pt>
                <c:pt idx="118">
                  <c:v>45.597268141553656</c:v>
                </c:pt>
                <c:pt idx="119">
                  <c:v>45.244588232295968</c:v>
                </c:pt>
                <c:pt idx="120">
                  <c:v>44.891843487879278</c:v>
                </c:pt>
                <c:pt idx="121">
                  <c:v>44.539059064599883</c:v>
                </c:pt>
                <c:pt idx="122">
                  <c:v>44.186259877421293</c:v>
                </c:pt>
                <c:pt idx="123">
                  <c:v>43.833470597287196</c:v>
                </c:pt>
                <c:pt idx="124">
                  <c:v>43.4807156485424</c:v>
                </c:pt>
                <c:pt idx="125">
                  <c:v>43.128019206461204</c:v>
                </c:pt>
                <c:pt idx="126">
                  <c:v>42.775405194882751</c:v>
                </c:pt>
                <c:pt idx="127">
                  <c:v>42.422897283952388</c:v>
                </c:pt>
                <c:pt idx="128">
                  <c:v>42.070518887968774</c:v>
                </c:pt>
                <c:pt idx="129">
                  <c:v>41.718293163335808</c:v>
                </c:pt>
                <c:pt idx="130">
                  <c:v>41.366243006618618</c:v>
                </c:pt>
                <c:pt idx="131">
                  <c:v>41.014391052702727</c:v>
                </c:pt>
                <c:pt idx="132">
                  <c:v>40.662759673055973</c:v>
                </c:pt>
                <c:pt idx="133">
                  <c:v>40.311370974091659</c:v>
                </c:pt>
                <c:pt idx="134">
                  <c:v>39.960246795632514</c:v>
                </c:pt>
                <c:pt idx="135">
                  <c:v>39.609408709474323</c:v>
                </c:pt>
                <c:pt idx="136">
                  <c:v>39.258878018048193</c:v>
                </c:pt>
                <c:pt idx="137">
                  <c:v>38.908675753180532</c:v>
                </c:pt>
                <c:pt idx="138">
                  <c:v>38.558822674949482</c:v>
                </c:pt>
                <c:pt idx="139">
                  <c:v>38.209339270637102</c:v>
                </c:pt>
                <c:pt idx="140">
                  <c:v>37.860245753775644</c:v>
                </c:pt>
                <c:pt idx="141">
                  <c:v>37.511562063287229</c:v>
                </c:pt>
                <c:pt idx="142">
                  <c:v>37.163307862715605</c:v>
                </c:pt>
                <c:pt idx="143">
                  <c:v>36.815502539548497</c:v>
                </c:pt>
                <c:pt idx="144">
                  <c:v>36.468165204629862</c:v>
                </c:pt>
                <c:pt idx="145">
                  <c:v>36.121314691660267</c:v>
                </c:pt>
                <c:pt idx="146">
                  <c:v>35.774969556784598</c:v>
                </c:pt>
                <c:pt idx="147">
                  <c:v>35.4291480782652</c:v>
                </c:pt>
                <c:pt idx="148">
                  <c:v>35.08386825623991</c:v>
                </c:pt>
                <c:pt idx="149">
                  <c:v>34.739147812562884</c:v>
                </c:pt>
                <c:pt idx="150">
                  <c:v>34.395004190727363</c:v>
                </c:pt>
                <c:pt idx="151">
                  <c:v>34.051454555868922</c:v>
                </c:pt>
                <c:pt idx="152">
                  <c:v>33.708515794847727</c:v>
                </c:pt>
                <c:pt idx="153">
                  <c:v>33.366204516408331</c:v>
                </c:pt>
                <c:pt idx="154">
                  <c:v>33.024537051415876</c:v>
                </c:pt>
                <c:pt idx="155">
                  <c:v>32.683529453167118</c:v>
                </c:pt>
                <c:pt idx="156">
                  <c:v>32.343197497774831</c:v>
                </c:pt>
                <c:pt idx="157">
                  <c:v>32.003556684624158</c:v>
                </c:pt>
                <c:pt idx="158">
                  <c:v>32.05907097448781</c:v>
                </c:pt>
                <c:pt idx="159">
                  <c:v>32.212589846938585</c:v>
                </c:pt>
                <c:pt idx="160">
                  <c:v>32.365124706088622</c:v>
                </c:pt>
                <c:pt idx="161">
                  <c:v>32.516672671556044</c:v>
                </c:pt>
                <c:pt idx="162">
                  <c:v>32.667230894662325</c:v>
                </c:pt>
                <c:pt idx="163">
                  <c:v>32.816796559278302</c:v>
                </c:pt>
                <c:pt idx="164">
                  <c:v>32.385378883226508</c:v>
                </c:pt>
                <c:pt idx="165">
                  <c:v>31.084732825549864</c:v>
                </c:pt>
                <c:pt idx="166">
                  <c:v>29.788287177654368</c:v>
                </c:pt>
                <c:pt idx="167">
                  <c:v>27.904623154417678</c:v>
                </c:pt>
                <c:pt idx="168">
                  <c:v>23.66082722166307</c:v>
                </c:pt>
                <c:pt idx="169">
                  <c:v>19.432687942416671</c:v>
                </c:pt>
                <c:pt idx="170">
                  <c:v>15.220593674744114</c:v>
                </c:pt>
                <c:pt idx="171">
                  <c:v>11.024901662623401</c:v>
                </c:pt>
                <c:pt idx="172">
                  <c:v>6.8459383929246123</c:v>
                </c:pt>
                <c:pt idx="173">
                  <c:v>2.6839999736105487</c:v>
                </c:pt>
                <c:pt idx="174">
                  <c:v>-1.4606474686081121</c:v>
                </c:pt>
                <c:pt idx="175">
                  <c:v>-5.5877673729023662</c:v>
                </c:pt>
                <c:pt idx="176">
                  <c:v>-9.6971523129469048</c:v>
                </c:pt>
                <c:pt idx="177">
                  <c:v>-13.788623551208287</c:v>
                </c:pt>
                <c:pt idx="178">
                  <c:v>-17.862030580536036</c:v>
                </c:pt>
                <c:pt idx="179">
                  <c:v>-21.917250654653991</c:v>
                </c:pt>
                <c:pt idx="180">
                  <c:v>-23.795645600516607</c:v>
                </c:pt>
                <c:pt idx="181">
                  <c:v>-25.665728706099479</c:v>
                </c:pt>
                <c:pt idx="182">
                  <c:v>-27.527542197675412</c:v>
                </c:pt>
                <c:pt idx="183">
                  <c:v>-29.381133438293581</c:v>
                </c:pt>
                <c:pt idx="184">
                  <c:v>-29.840506540299383</c:v>
                </c:pt>
                <c:pt idx="185">
                  <c:v>-29.704182186374624</c:v>
                </c:pt>
                <c:pt idx="186">
                  <c:v>-29.568937123954292</c:v>
                </c:pt>
                <c:pt idx="187">
                  <c:v>-29.434760050809384</c:v>
                </c:pt>
                <c:pt idx="188">
                  <c:v>-29.301639812454546</c:v>
                </c:pt>
                <c:pt idx="189">
                  <c:v>-29.169565399825977</c:v>
                </c:pt>
                <c:pt idx="190">
                  <c:v>-29.038525947001638</c:v>
                </c:pt>
                <c:pt idx="191">
                  <c:v>-28.90851072896303</c:v>
                </c:pt>
                <c:pt idx="192">
                  <c:v>-28.779509159397783</c:v>
                </c:pt>
                <c:pt idx="193">
                  <c:v>-28.651510788541835</c:v>
                </c:pt>
                <c:pt idx="194">
                  <c:v>-28.524505301060827</c:v>
                </c:pt>
                <c:pt idx="195">
                  <c:v>-28.398482513969626</c:v>
                </c:pt>
                <c:pt idx="196">
                  <c:v>-28.273432374589177</c:v>
                </c:pt>
                <c:pt idx="197">
                  <c:v>-28.149344958540198</c:v>
                </c:pt>
                <c:pt idx="198">
                  <c:v>-28.026210467772533</c:v>
                </c:pt>
                <c:pt idx="199">
                  <c:v>-27.904019228629856</c:v>
                </c:pt>
                <c:pt idx="200">
                  <c:v>-27.7827616899487</c:v>
                </c:pt>
                <c:pt idx="201">
                  <c:v>-27.662428421191301</c:v>
                </c:pt>
                <c:pt idx="202">
                  <c:v>-26.48635846652067</c:v>
                </c:pt>
                <c:pt idx="203">
                  <c:v>-25.396945130288362</c:v>
                </c:pt>
                <c:pt idx="204">
                  <c:v>-24.385887660648276</c:v>
                </c:pt>
                <c:pt idx="205">
                  <c:v>-23.445858032516732</c:v>
                </c:pt>
                <c:pt idx="206">
                  <c:v>-22.570365758921838</c:v>
                </c:pt>
                <c:pt idx="207">
                  <c:v>-21.753644071485674</c:v>
                </c:pt>
                <c:pt idx="208">
                  <c:v>-20.990553664811777</c:v>
                </c:pt>
                <c:pt idx="209">
                  <c:v>-20.276500944076297</c:v>
                </c:pt>
                <c:pt idx="210">
                  <c:v>-19.607368300377356</c:v>
                </c:pt>
                <c:pt idx="211">
                  <c:v>-18.979454401045583</c:v>
                </c:pt>
                <c:pt idx="212">
                  <c:v>-18.38942284976989</c:v>
                </c:pt>
                <c:pt idx="213">
                  <c:v>-17.834257864974191</c:v>
                </c:pt>
                <c:pt idx="214">
                  <c:v>-17.311225860356721</c:v>
                </c:pt>
                <c:pt idx="215">
                  <c:v>-16.817842001116368</c:v>
                </c:pt>
                <c:pt idx="216">
                  <c:v>-16.351840962579946</c:v>
                </c:pt>
                <c:pt idx="217">
                  <c:v>-15.91115124202005</c:v>
                </c:pt>
                <c:pt idx="218">
                  <c:v>-15.493872475097293</c:v>
                </c:pt>
                <c:pt idx="219">
                  <c:v>-15.098255290001374</c:v>
                </c:pt>
                <c:pt idx="220">
                  <c:v>-14.722683298455689</c:v>
                </c:pt>
                <c:pt idx="221">
                  <c:v>-14.365656875981983</c:v>
                </c:pt>
                <c:pt idx="222">
                  <c:v>-14.02577842628093</c:v>
                </c:pt>
                <c:pt idx="223">
                  <c:v>-13.701738857875489</c:v>
                </c:pt>
                <c:pt idx="224">
                  <c:v>-13.392305026496448</c:v>
                </c:pt>
                <c:pt idx="225">
                  <c:v>-13.096307914950524</c:v>
                </c:pt>
                <c:pt idx="226">
                  <c:v>-12.812631334017073</c:v>
                </c:pt>
                <c:pt idx="227">
                  <c:v>-12.540200933658028</c:v>
                </c:pt>
                <c:pt idx="228">
                  <c:v>-12.277973313694865</c:v>
                </c:pt>
                <c:pt idx="229">
                  <c:v>-12.024925017150942</c:v>
                </c:pt>
                <c:pt idx="230">
                  <c:v>-11.780041177616461</c:v>
                </c:pt>
                <c:pt idx="231">
                  <c:v>-11.542303574166988</c:v>
                </c:pt>
                <c:pt idx="232">
                  <c:v>-11.310677823522047</c:v>
                </c:pt>
                <c:pt idx="233">
                  <c:v>-11.084099409473497</c:v>
                </c:pt>
                <c:pt idx="234">
                  <c:v>-10.86145821486663</c:v>
                </c:pt>
                <c:pt idx="235">
                  <c:v>-10.641581183270439</c:v>
                </c:pt>
                <c:pt idx="236">
                  <c:v>-10.423212699309058</c:v>
                </c:pt>
                <c:pt idx="237">
                  <c:v>-10.204992244656198</c:v>
                </c:pt>
                <c:pt idx="238">
                  <c:v>-9.985428871738117</c:v>
                </c:pt>
                <c:pt idx="239">
                  <c:v>-9.7628720573832606</c:v>
                </c:pt>
                <c:pt idx="240">
                  <c:v>-9.5354785834932976</c:v>
                </c:pt>
                <c:pt idx="241">
                  <c:v>-9.3011752879909952</c:v>
                </c:pt>
                <c:pt idx="242">
                  <c:v>-9.057617908803854</c:v>
                </c:pt>
                <c:pt idx="243">
                  <c:v>-8.802146914086066</c:v>
                </c:pt>
                <c:pt idx="244">
                  <c:v>-8.5317423281121467</c:v>
                </c:pt>
                <c:pt idx="245">
                  <c:v>-8.2429813354928854</c:v>
                </c:pt>
                <c:pt idx="246">
                  <c:v>-7.9320051415368207</c:v>
                </c:pt>
                <c:pt idx="247">
                  <c:v>-7.594505468687208</c:v>
                </c:pt>
                <c:pt idx="248">
                  <c:v>-7.2257463820135479</c:v>
                </c:pt>
                <c:pt idx="249">
                  <c:v>-6.820643758259533</c:v>
                </c:pt>
                <c:pt idx="250">
                  <c:v>-6.3739318129970552</c:v>
                </c:pt>
                <c:pt idx="251">
                  <c:v>-5.8804514654426638</c:v>
                </c:pt>
                <c:pt idx="252">
                  <c:v>-5.3355945779834029</c:v>
                </c:pt>
                <c:pt idx="253">
                  <c:v>-4.735924338856135</c:v>
                </c:pt>
                <c:pt idx="254">
                  <c:v>-4.0799569603586736</c:v>
                </c:pt>
                <c:pt idx="255">
                  <c:v>-3.3690281705327223</c:v>
                </c:pt>
                <c:pt idx="256">
                  <c:v>-2.6080859894022534</c:v>
                </c:pt>
                <c:pt idx="257">
                  <c:v>-1.8061764603260804</c:v>
                </c:pt>
                <c:pt idx="258">
                  <c:v>-0.97637052958531889</c:v>
                </c:pt>
                <c:pt idx="259">
                  <c:v>-0.13496757708564128</c:v>
                </c:pt>
                <c:pt idx="260">
                  <c:v>0.69998899937990977</c:v>
                </c:pt>
                <c:pt idx="261">
                  <c:v>1.5106054664939366</c:v>
                </c:pt>
                <c:pt idx="262">
                  <c:v>2.2809987660302116</c:v>
                </c:pt>
                <c:pt idx="263">
                  <c:v>2.9986954997799242</c:v>
                </c:pt>
                <c:pt idx="264">
                  <c:v>3.6553206237434974</c:v>
                </c:pt>
                <c:pt idx="265">
                  <c:v>4.2465725274731847</c:v>
                </c:pt>
                <c:pt idx="266">
                  <c:v>4.7716693398578913</c:v>
                </c:pt>
                <c:pt idx="267">
                  <c:v>5.2325230992795593</c:v>
                </c:pt>
                <c:pt idx="268">
                  <c:v>5.632868751540566</c:v>
                </c:pt>
                <c:pt idx="269">
                  <c:v>5.9774957717738761</c:v>
                </c:pt>
                <c:pt idx="270">
                  <c:v>6.271649010297554</c:v>
                </c:pt>
                <c:pt idx="271">
                  <c:v>6.5206066980569863</c:v>
                </c:pt>
                <c:pt idx="272">
                  <c:v>6.7294115948105899</c:v>
                </c:pt>
                <c:pt idx="273">
                  <c:v>6.9027198110796633</c:v>
                </c:pt>
                <c:pt idx="274">
                  <c:v>7.0447324567200775</c:v>
                </c:pt>
                <c:pt idx="275">
                  <c:v>7.1591812709898797</c:v>
                </c:pt>
                <c:pt idx="276">
                  <c:v>7.2493466801809516</c:v>
                </c:pt>
                <c:pt idx="277">
                  <c:v>7.3180933148091691</c:v>
                </c:pt>
                <c:pt idx="278">
                  <c:v>7.3679132060134274</c:v>
                </c:pt>
                <c:pt idx="279">
                  <c:v>7.4009706403866931</c:v>
                </c:pt>
                <c:pt idx="280">
                  <c:v>7.419145220133152</c:v>
                </c:pt>
                <c:pt idx="281">
                  <c:v>7.4240713463883186</c:v>
                </c:pt>
                <c:pt idx="282">
                  <c:v>7.4171733825871824</c:v>
                </c:pt>
                <c:pt idx="283">
                  <c:v>7.3996963690471853</c:v>
                </c:pt>
                <c:pt idx="284">
                  <c:v>7.3727324994026766</c:v>
                </c:pt>
                <c:pt idx="285">
                  <c:v>7.3372437373830612</c:v>
                </c:pt>
                <c:pt idx="286">
                  <c:v>7.2940810170986126</c:v>
                </c:pt>
                <c:pt idx="287">
                  <c:v>7.2440004755064091</c:v>
                </c:pt>
                <c:pt idx="288">
                  <c:v>7.187677139613573</c:v>
                </c:pt>
                <c:pt idx="289">
                  <c:v>7.1257164499685839</c:v>
                </c:pt>
                <c:pt idx="290">
                  <c:v>7.0586639559073294</c:v>
                </c:pt>
                <c:pt idx="291">
                  <c:v>6.9870134723409443</c:v>
                </c:pt>
                <c:pt idx="292">
                  <c:v>6.911213945428667</c:v>
                </c:pt>
                <c:pt idx="293">
                  <c:v>6.8316752365233988</c:v>
                </c:pt>
                <c:pt idx="294">
                  <c:v>6.7487730006562359</c:v>
                </c:pt>
                <c:pt idx="295">
                  <c:v>6.6628528073906379</c:v>
                </c:pt>
                <c:pt idx="296">
                  <c:v>6.574233627733614</c:v>
                </c:pt>
                <c:pt idx="297">
                  <c:v>6.483210790447699</c:v>
                </c:pt>
                <c:pt idx="298">
                  <c:v>6.3900584940533989</c:v>
                </c:pt>
                <c:pt idx="299">
                  <c:v>6.2950319465633457</c:v>
                </c:pt>
                <c:pt idx="300">
                  <c:v>6.198369193109742</c:v>
                </c:pt>
                <c:pt idx="301">
                  <c:v>6.1002926817325065</c:v>
                </c:pt>
                <c:pt idx="302">
                  <c:v>6.0010106093581239</c:v>
                </c:pt>
                <c:pt idx="303">
                  <c:v>5.900718083139604</c:v>
                </c:pt>
                <c:pt idx="304">
                  <c:v>5.7995981266121337</c:v>
                </c:pt>
                <c:pt idx="305">
                  <c:v>5.697822555351987</c:v>
                </c:pt>
                <c:pt idx="306">
                  <c:v>5.5955527428458467</c:v>
                </c:pt>
                <c:pt idx="307">
                  <c:v>5.4929402939498244</c:v>
                </c:pt>
                <c:pt idx="308">
                  <c:v>5.3901276405315359</c:v>
                </c:pt>
                <c:pt idx="309">
                  <c:v>5.287248571552861</c:v>
                </c:pt>
                <c:pt idx="310">
                  <c:v>5.1844287078901203</c:v>
                </c:pt>
                <c:pt idx="311">
                  <c:v>5.0817859305402155</c:v>
                </c:pt>
                <c:pt idx="312">
                  <c:v>4.9794307694739599</c:v>
                </c:pt>
                <c:pt idx="313">
                  <c:v>4.8774667592289802</c:v>
                </c:pt>
                <c:pt idx="314">
                  <c:v>4.7759907663490271</c:v>
                </c:pt>
                <c:pt idx="315">
                  <c:v>4.6750932929446458</c:v>
                </c:pt>
                <c:pt idx="316">
                  <c:v>4.5748587599480111</c:v>
                </c:pt>
                <c:pt idx="317">
                  <c:v>4.4753657730415766</c:v>
                </c:pt>
                <c:pt idx="318">
                  <c:v>4.376687373739589</c:v>
                </c:pt>
                <c:pt idx="319">
                  <c:v>4.2788912776787642</c:v>
                </c:pt>
                <c:pt idx="320">
                  <c:v>4.1820401018179894</c:v>
                </c:pt>
                <c:pt idx="321">
                  <c:v>4.0861915819466494</c:v>
                </c:pt>
                <c:pt idx="322">
                  <c:v>3.9913987816486447</c:v>
                </c:pt>
                <c:pt idx="323">
                  <c:v>3.8977102936571395</c:v>
                </c:pt>
                <c:pt idx="324">
                  <c:v>3.805170434357823</c:v>
                </c:pt>
                <c:pt idx="325">
                  <c:v>3.713819432050288</c:v>
                </c:pt>
                <c:pt idx="326">
                  <c:v>3.6236936094544321</c:v>
                </c:pt>
                <c:pt idx="327">
                  <c:v>3.5348255608468673</c:v>
                </c:pt>
                <c:pt idx="328">
                  <c:v>3.447244324129155</c:v>
                </c:pt>
                <c:pt idx="329">
                  <c:v>3.3609755480612993</c:v>
                </c:pt>
                <c:pt idx="330">
                  <c:v>3.2760416548390952</c:v>
                </c:pt>
                <c:pt idx="331">
                  <c:v>3.1924619981499021</c:v>
                </c:pt>
                <c:pt idx="332">
                  <c:v>3.1102530168067677</c:v>
                </c:pt>
                <c:pt idx="333">
                  <c:v>3.029428384034115</c:v>
                </c:pt>
                <c:pt idx="334">
                  <c:v>2.9499991524579423</c:v>
                </c:pt>
                <c:pt idx="335">
                  <c:v>2.8719738948389217</c:v>
                </c:pt>
                <c:pt idx="336">
                  <c:v>2.7953588405764522</c:v>
                </c:pt>
                <c:pt idx="337">
                  <c:v>2.7201580080055399</c:v>
                </c:pt>
                <c:pt idx="338">
                  <c:v>2.646373332504794</c:v>
                </c:pt>
                <c:pt idx="339">
                  <c:v>2.5740047904330918</c:v>
                </c:pt>
                <c:pt idx="340">
                  <c:v>2.5030505189134145</c:v>
                </c:pt>
                <c:pt idx="341">
                  <c:v>2.4335069314849358</c:v>
                </c:pt>
                <c:pt idx="342">
                  <c:v>2.3653688296481201</c:v>
                </c:pt>
                <c:pt idx="343">
                  <c:v>2.2986295103321579</c:v>
                </c:pt>
                <c:pt idx="344">
                  <c:v>2.2332808693190564</c:v>
                </c:pt>
                <c:pt idx="345">
                  <c:v>2.1693135006643756</c:v>
                </c:pt>
                <c:pt idx="346">
                  <c:v>2.106716792159955</c:v>
                </c:pt>
                <c:pt idx="347">
                  <c:v>2.0454790168898045</c:v>
                </c:pt>
                <c:pt idx="348">
                  <c:v>1.9855874209359303</c:v>
                </c:pt>
                <c:pt idx="349">
                  <c:v>1.9270283072959744</c:v>
                </c:pt>
                <c:pt idx="350">
                  <c:v>1.8697871160799577</c:v>
                </c:pt>
                <c:pt idx="351">
                  <c:v>1.8697313398308886</c:v>
                </c:pt>
                <c:pt idx="352">
                  <c:v>1.8696755648498495</c:v>
                </c:pt>
                <c:pt idx="353">
                  <c:v>1.8696197911368078</c:v>
                </c:pt>
                <c:pt idx="354">
                  <c:v>1.8695640186917641</c:v>
                </c:pt>
                <c:pt idx="355">
                  <c:v>1.8695082475146947</c:v>
                </c:pt>
                <c:pt idx="356">
                  <c:v>1.8694524776055896</c:v>
                </c:pt>
                <c:pt idx="357">
                  <c:v>1.8693967089644286</c:v>
                </c:pt>
                <c:pt idx="358">
                  <c:v>1.8693409415911972</c:v>
                </c:pt>
                <c:pt idx="359">
                  <c:v>1.8692851754858824</c:v>
                </c:pt>
                <c:pt idx="360">
                  <c:v>1.8692294106484697</c:v>
                </c:pt>
                <c:pt idx="361">
                  <c:v>1.8691736470789424</c:v>
                </c:pt>
                <c:pt idx="362">
                  <c:v>1.8691178847772782</c:v>
                </c:pt>
                <c:pt idx="363">
                  <c:v>1.8690621237434746</c:v>
                </c:pt>
                <c:pt idx="364">
                  <c:v>1.8690063639775083</c:v>
                </c:pt>
                <c:pt idx="365">
                  <c:v>1.8689506054793679</c:v>
                </c:pt>
                <c:pt idx="366">
                  <c:v>1.8688948482490355</c:v>
                </c:pt>
                <c:pt idx="367">
                  <c:v>1.8688390922864944</c:v>
                </c:pt>
                <c:pt idx="368">
                  <c:v>1.8687833375917311</c:v>
                </c:pt>
                <c:pt idx="369">
                  <c:v>1.8687275841647315</c:v>
                </c:pt>
                <c:pt idx="370">
                  <c:v>1.8686718320054787</c:v>
                </c:pt>
                <c:pt idx="371">
                  <c:v>1.8686160811139576</c:v>
                </c:pt>
                <c:pt idx="372">
                  <c:v>1.8685603314901558</c:v>
                </c:pt>
                <c:pt idx="373">
                  <c:v>1.868504583134051</c:v>
                </c:pt>
                <c:pt idx="374">
                  <c:v>1.8684488360456388</c:v>
                </c:pt>
                <c:pt idx="375">
                  <c:v>1.8683930902248953</c:v>
                </c:pt>
                <c:pt idx="376">
                  <c:v>1.8683373456718062</c:v>
                </c:pt>
                <c:pt idx="377">
                  <c:v>1.8682816023863564</c:v>
                </c:pt>
                <c:pt idx="378">
                  <c:v>1.8682258603685327</c:v>
                </c:pt>
                <c:pt idx="379">
                  <c:v>1.8681701196183207</c:v>
                </c:pt>
                <c:pt idx="380">
                  <c:v>1.8681143801357027</c:v>
                </c:pt>
                <c:pt idx="381">
                  <c:v>1.8680586419206628</c:v>
                </c:pt>
                <c:pt idx="382">
                  <c:v>1.8680029049731885</c:v>
                </c:pt>
                <c:pt idx="383">
                  <c:v>1.8679471692932568</c:v>
                </c:pt>
                <c:pt idx="384">
                  <c:v>1.8678914348808666</c:v>
                </c:pt>
                <c:pt idx="385">
                  <c:v>1.8678357017359906</c:v>
                </c:pt>
                <c:pt idx="386">
                  <c:v>1.8677799698586188</c:v>
                </c:pt>
                <c:pt idx="387">
                  <c:v>1.8677242392487337</c:v>
                </c:pt>
                <c:pt idx="388">
                  <c:v>1.8676685099063182</c:v>
                </c:pt>
                <c:pt idx="389">
                  <c:v>1.8676127818313617</c:v>
                </c:pt>
                <c:pt idx="390">
                  <c:v>1.8675570550238492</c:v>
                </c:pt>
                <c:pt idx="391">
                  <c:v>1.867501329483761</c:v>
                </c:pt>
                <c:pt idx="392">
                  <c:v>1.8674456052110795</c:v>
                </c:pt>
                <c:pt idx="393">
                  <c:v>1.8673898822057993</c:v>
                </c:pt>
                <c:pt idx="394">
                  <c:v>1.8673341604678955</c:v>
                </c:pt>
                <c:pt idx="395">
                  <c:v>1.867278439997361</c:v>
                </c:pt>
                <c:pt idx="396">
                  <c:v>1.8672227207941718</c:v>
                </c:pt>
                <c:pt idx="397">
                  <c:v>1.8671670028583183</c:v>
                </c:pt>
                <c:pt idx="398">
                  <c:v>1.8671112861897852</c:v>
                </c:pt>
                <c:pt idx="399">
                  <c:v>1.8670555707885539</c:v>
                </c:pt>
                <c:pt idx="400">
                  <c:v>1.8669998566546147</c:v>
                </c:pt>
                <c:pt idx="401">
                  <c:v>1.866944143787947</c:v>
                </c:pt>
                <c:pt idx="402">
                  <c:v>1.8668884321885351</c:v>
                </c:pt>
                <c:pt idx="403">
                  <c:v>1.8668327218563689</c:v>
                </c:pt>
                <c:pt idx="404">
                  <c:v>1.8667770127914265</c:v>
                </c:pt>
                <c:pt idx="405">
                  <c:v>1.8667213049937006</c:v>
                </c:pt>
                <c:pt idx="406">
                  <c:v>1.8666655984631628</c:v>
                </c:pt>
                <c:pt idx="407">
                  <c:v>1.8666098931998123</c:v>
                </c:pt>
                <c:pt idx="408">
                  <c:v>1.8665541892036295</c:v>
                </c:pt>
                <c:pt idx="409">
                  <c:v>1.8664984864745966</c:v>
                </c:pt>
                <c:pt idx="410">
                  <c:v>1.8664427850126923</c:v>
                </c:pt>
                <c:pt idx="411">
                  <c:v>1.8663870848179167</c:v>
                </c:pt>
                <c:pt idx="412">
                  <c:v>1.8663313858902395</c:v>
                </c:pt>
                <c:pt idx="413">
                  <c:v>1.8662756882296581</c:v>
                </c:pt>
                <c:pt idx="414">
                  <c:v>1.8662199918361448</c:v>
                </c:pt>
                <c:pt idx="415">
                  <c:v>1.8661642967096901</c:v>
                </c:pt>
                <c:pt idx="416">
                  <c:v>1.8661086028502796</c:v>
                </c:pt>
                <c:pt idx="417">
                  <c:v>1.8660529102579044</c:v>
                </c:pt>
                <c:pt idx="418">
                  <c:v>1.8659972189325353</c:v>
                </c:pt>
                <c:pt idx="419">
                  <c:v>1.8659415288741634</c:v>
                </c:pt>
                <c:pt idx="420">
                  <c:v>1.8658858400827745</c:v>
                </c:pt>
                <c:pt idx="421">
                  <c:v>1.8658301525583534</c:v>
                </c:pt>
                <c:pt idx="422">
                  <c:v>1.8657744663008824</c:v>
                </c:pt>
                <c:pt idx="423">
                  <c:v>1.8657187813103491</c:v>
                </c:pt>
                <c:pt idx="424">
                  <c:v>1.8656630975867374</c:v>
                </c:pt>
                <c:pt idx="425">
                  <c:v>1.8656074151300315</c:v>
                </c:pt>
                <c:pt idx="426">
                  <c:v>1.8655517339402081</c:v>
                </c:pt>
                <c:pt idx="427">
                  <c:v>1.8654960540172727</c:v>
                </c:pt>
                <c:pt idx="428">
                  <c:v>1.8654403753611843</c:v>
                </c:pt>
                <c:pt idx="429">
                  <c:v>1.8653846979719511</c:v>
                </c:pt>
                <c:pt idx="430">
                  <c:v>1.8653290218495382</c:v>
                </c:pt>
                <c:pt idx="431">
                  <c:v>1.8652733469939378</c:v>
                </c:pt>
                <c:pt idx="432">
                  <c:v>1.865217673405148</c:v>
                </c:pt>
                <c:pt idx="433">
                  <c:v>1.8651620010831316</c:v>
                </c:pt>
                <c:pt idx="434">
                  <c:v>1.8651063300278814</c:v>
                </c:pt>
                <c:pt idx="435">
                  <c:v>1.8650506602393868</c:v>
                </c:pt>
                <c:pt idx="436">
                  <c:v>1.8649949917176309</c:v>
                </c:pt>
                <c:pt idx="437">
                  <c:v>1.8649393244625951</c:v>
                </c:pt>
                <c:pt idx="438">
                  <c:v>1.8648836584742616</c:v>
                </c:pt>
                <c:pt idx="439">
                  <c:v>1.864827993752626</c:v>
                </c:pt>
                <c:pt idx="440">
                  <c:v>1.8647723302976615</c:v>
                </c:pt>
                <c:pt idx="441">
                  <c:v>1.864716668109355</c:v>
                </c:pt>
                <c:pt idx="442">
                  <c:v>1.8646610071876939</c:v>
                </c:pt>
                <c:pt idx="443">
                  <c:v>1.8646053475326712</c:v>
                </c:pt>
                <c:pt idx="444">
                  <c:v>1.8645496891442548</c:v>
                </c:pt>
                <c:pt idx="445">
                  <c:v>1.8644940320224386</c:v>
                </c:pt>
                <c:pt idx="446">
                  <c:v>1.8644383761672065</c:v>
                </c:pt>
                <c:pt idx="447">
                  <c:v>1.86438272157854</c:v>
                </c:pt>
                <c:pt idx="448">
                  <c:v>1.8643270682564292</c:v>
                </c:pt>
                <c:pt idx="449">
                  <c:v>1.8642714162008547</c:v>
                </c:pt>
                <c:pt idx="450">
                  <c:v>1.8642157654118048</c:v>
                </c:pt>
                <c:pt idx="451">
                  <c:v>1.8641601158892591</c:v>
                </c:pt>
                <c:pt idx="452">
                  <c:v>1.8641044676332044</c:v>
                </c:pt>
                <c:pt idx="453">
                  <c:v>1.8640488206436272</c:v>
                </c:pt>
                <c:pt idx="454">
                  <c:v>1.8639931749205099</c:v>
                </c:pt>
                <c:pt idx="455">
                  <c:v>1.8639375304638417</c:v>
                </c:pt>
                <c:pt idx="456">
                  <c:v>1.863881887273596</c:v>
                </c:pt>
                <c:pt idx="457">
                  <c:v>1.8638262453497738</c:v>
                </c:pt>
                <c:pt idx="458">
                  <c:v>1.8637706046923483</c:v>
                </c:pt>
                <c:pt idx="459">
                  <c:v>1.8637149653013081</c:v>
                </c:pt>
                <c:pt idx="460">
                  <c:v>1.8636593271766317</c:v>
                </c:pt>
                <c:pt idx="461">
                  <c:v>1.8636036903183069</c:v>
                </c:pt>
                <c:pt idx="462">
                  <c:v>1.8635480547263237</c:v>
                </c:pt>
                <c:pt idx="463">
                  <c:v>1.8634924204006662</c:v>
                </c:pt>
                <c:pt idx="464">
                  <c:v>1.8634367873413167</c:v>
                </c:pt>
                <c:pt idx="465">
                  <c:v>1.8633811555482538</c:v>
                </c:pt>
                <c:pt idx="466">
                  <c:v>1.8633255250214713</c:v>
                </c:pt>
                <c:pt idx="467">
                  <c:v>1.8632698957609506</c:v>
                </c:pt>
                <c:pt idx="468">
                  <c:v>1.8632142677666748</c:v>
                </c:pt>
                <c:pt idx="469">
                  <c:v>1.8631586410386269</c:v>
                </c:pt>
                <c:pt idx="470">
                  <c:v>1.8631030155767974</c:v>
                </c:pt>
                <c:pt idx="471">
                  <c:v>1.8630473913811691</c:v>
                </c:pt>
                <c:pt idx="472">
                  <c:v>1.8629917684517219</c:v>
                </c:pt>
                <c:pt idx="473">
                  <c:v>1.8629361467884413</c:v>
                </c:pt>
                <c:pt idx="474">
                  <c:v>1.8628805263913195</c:v>
                </c:pt>
                <c:pt idx="475">
                  <c:v>1.8628249072603307</c:v>
                </c:pt>
                <c:pt idx="476">
                  <c:v>1.8627692893954704</c:v>
                </c:pt>
                <c:pt idx="477">
                  <c:v>1.8627136727967155</c:v>
                </c:pt>
                <c:pt idx="478">
                  <c:v>1.8626580574640554</c:v>
                </c:pt>
                <c:pt idx="479">
                  <c:v>1.8626024433974733</c:v>
                </c:pt>
                <c:pt idx="480">
                  <c:v>1.8625468305969468</c:v>
                </c:pt>
                <c:pt idx="481">
                  <c:v>1.8624912190624672</c:v>
                </c:pt>
                <c:pt idx="482">
                  <c:v>1.8624356087940264</c:v>
                </c:pt>
                <c:pt idx="483">
                  <c:v>1.8623799997915933</c:v>
                </c:pt>
                <c:pt idx="484">
                  <c:v>1.8623243920551618</c:v>
                </c:pt>
                <c:pt idx="485">
                  <c:v>1.8622687855847166</c:v>
                </c:pt>
                <c:pt idx="486">
                  <c:v>1.8622131803802446</c:v>
                </c:pt>
                <c:pt idx="487">
                  <c:v>1.8621575764417218</c:v>
                </c:pt>
                <c:pt idx="488">
                  <c:v>1.8621019737691364</c:v>
                </c:pt>
                <c:pt idx="489">
                  <c:v>1.8620463723624745</c:v>
                </c:pt>
                <c:pt idx="490">
                  <c:v>1.8619907722217253</c:v>
                </c:pt>
                <c:pt idx="491">
                  <c:v>1.8619351733468665</c:v>
                </c:pt>
                <c:pt idx="492">
                  <c:v>1.8618795757378841</c:v>
                </c:pt>
                <c:pt idx="493">
                  <c:v>1.8618239793947629</c:v>
                </c:pt>
                <c:pt idx="494">
                  <c:v>1.8617683843174859</c:v>
                </c:pt>
                <c:pt idx="495">
                  <c:v>1.8617127905060435</c:v>
                </c:pt>
                <c:pt idx="496">
                  <c:v>1.8616571979604188</c:v>
                </c:pt>
                <c:pt idx="497">
                  <c:v>1.861601606680594</c:v>
                </c:pt>
                <c:pt idx="498">
                  <c:v>1.8615460166665478</c:v>
                </c:pt>
                <c:pt idx="499">
                  <c:v>1.8614904279182785</c:v>
                </c:pt>
                <c:pt idx="500">
                  <c:v>1.861434840435761</c:v>
                </c:pt>
                <c:pt idx="501">
                  <c:v>1.8613792542189822</c:v>
                </c:pt>
                <c:pt idx="502">
                  <c:v>1.861323669267926</c:v>
                </c:pt>
                <c:pt idx="503">
                  <c:v>1.8612680855825792</c:v>
                </c:pt>
                <c:pt idx="504">
                  <c:v>1.8612125031629256</c:v>
                </c:pt>
                <c:pt idx="505">
                  <c:v>1.8611569220089477</c:v>
                </c:pt>
                <c:pt idx="506">
                  <c:v>1.8611013421206311</c:v>
                </c:pt>
                <c:pt idx="507">
                  <c:v>1.8610457634979642</c:v>
                </c:pt>
                <c:pt idx="508">
                  <c:v>1.8609901861409259</c:v>
                </c:pt>
                <c:pt idx="509">
                  <c:v>1.8609346100495063</c:v>
                </c:pt>
                <c:pt idx="510">
                  <c:v>1.8608790352236886</c:v>
                </c:pt>
                <c:pt idx="511">
                  <c:v>1.8608234616634505</c:v>
                </c:pt>
                <c:pt idx="512">
                  <c:v>1.8607678893687858</c:v>
                </c:pt>
                <c:pt idx="513">
                  <c:v>1.860712318339675</c:v>
                </c:pt>
                <c:pt idx="514">
                  <c:v>1.860656748576103</c:v>
                </c:pt>
                <c:pt idx="515">
                  <c:v>1.8606011800780475</c:v>
                </c:pt>
                <c:pt idx="516">
                  <c:v>1.860545612845514</c:v>
                </c:pt>
                <c:pt idx="517">
                  <c:v>1.8604900468784642</c:v>
                </c:pt>
                <c:pt idx="518">
                  <c:v>1.8604344821768963</c:v>
                </c:pt>
                <c:pt idx="519">
                  <c:v>1.8603789187407838</c:v>
                </c:pt>
                <c:pt idx="520">
                  <c:v>1.860323356570122</c:v>
                </c:pt>
                <c:pt idx="521">
                  <c:v>1.8602677956648925</c:v>
                </c:pt>
                <c:pt idx="522">
                  <c:v>1.8602122360250792</c:v>
                </c:pt>
                <c:pt idx="523">
                  <c:v>1.8601566776506626</c:v>
                </c:pt>
                <c:pt idx="524">
                  <c:v>1.8601011205416356</c:v>
                </c:pt>
                <c:pt idx="525">
                  <c:v>1.8600455646979759</c:v>
                </c:pt>
                <c:pt idx="526">
                  <c:v>1.8599900101196694</c:v>
                </c:pt>
                <c:pt idx="527">
                  <c:v>1.8599344568067044</c:v>
                </c:pt>
                <c:pt idx="528">
                  <c:v>1.8598789047590625</c:v>
                </c:pt>
                <c:pt idx="529">
                  <c:v>1.8598233539767266</c:v>
                </c:pt>
                <c:pt idx="530">
                  <c:v>1.859767804459687</c:v>
                </c:pt>
                <c:pt idx="531">
                  <c:v>1.8597122562079198</c:v>
                </c:pt>
                <c:pt idx="532">
                  <c:v>1.8596567092214178</c:v>
                </c:pt>
                <c:pt idx="533">
                  <c:v>1.8596011635001641</c:v>
                </c:pt>
                <c:pt idx="534">
                  <c:v>1.8595456190441366</c:v>
                </c:pt>
                <c:pt idx="535">
                  <c:v>1.8594900758533317</c:v>
                </c:pt>
                <c:pt idx="536">
                  <c:v>1.8594345339277227</c:v>
                </c:pt>
                <c:pt idx="537">
                  <c:v>1.8593789932672991</c:v>
                </c:pt>
                <c:pt idx="538">
                  <c:v>1.8593234538720464</c:v>
                </c:pt>
                <c:pt idx="539">
                  <c:v>1.8592679157419436</c:v>
                </c:pt>
                <c:pt idx="540">
                  <c:v>1.8592123788769834</c:v>
                </c:pt>
                <c:pt idx="541">
                  <c:v>1.8591568432771464</c:v>
                </c:pt>
                <c:pt idx="542">
                  <c:v>1.8591013089424147</c:v>
                </c:pt>
                <c:pt idx="543">
                  <c:v>1.8590457758727803</c:v>
                </c:pt>
                <c:pt idx="544">
                  <c:v>1.8589902440682211</c:v>
                </c:pt>
                <c:pt idx="545">
                  <c:v>1.858934713528722</c:v>
                </c:pt>
                <c:pt idx="546">
                  <c:v>1.8588791842542678</c:v>
                </c:pt>
                <c:pt idx="547">
                  <c:v>1.8588236562448479</c:v>
                </c:pt>
                <c:pt idx="548">
                  <c:v>1.8587681295004366</c:v>
                </c:pt>
                <c:pt idx="549">
                  <c:v>1.858712604021032</c:v>
                </c:pt>
                <c:pt idx="550">
                  <c:v>1.8586570798066164</c:v>
                </c:pt>
                <c:pt idx="551">
                  <c:v>1.8586015568571632</c:v>
                </c:pt>
                <c:pt idx="552">
                  <c:v>1.8585460351726679</c:v>
                </c:pt>
                <c:pt idx="553">
                  <c:v>1.8584905147531057</c:v>
                </c:pt>
                <c:pt idx="554">
                  <c:v>1.8584349955984676</c:v>
                </c:pt>
                <c:pt idx="555">
                  <c:v>1.8583794777087403</c:v>
                </c:pt>
                <c:pt idx="556">
                  <c:v>1.8583239610839035</c:v>
                </c:pt>
                <c:pt idx="557">
                  <c:v>1.8582684457239456</c:v>
                </c:pt>
                <c:pt idx="558">
                  <c:v>1.8582129316288478</c:v>
                </c:pt>
                <c:pt idx="559">
                  <c:v>1.8581574187985934</c:v>
                </c:pt>
                <c:pt idx="560">
                  <c:v>1.8581019072331735</c:v>
                </c:pt>
                <c:pt idx="561">
                  <c:v>1.858046396932564</c:v>
                </c:pt>
                <c:pt idx="562">
                  <c:v>1.8579908878967606</c:v>
                </c:pt>
                <c:pt idx="563">
                  <c:v>1.8579353801257366</c:v>
                </c:pt>
                <c:pt idx="564">
                  <c:v>1.8578798736194884</c:v>
                </c:pt>
                <c:pt idx="565">
                  <c:v>1.8578243683779858</c:v>
                </c:pt>
                <c:pt idx="566">
                  <c:v>1.857768864401228</c:v>
                </c:pt>
                <c:pt idx="567">
                  <c:v>1.8577133616891865</c:v>
                </c:pt>
                <c:pt idx="568">
                  <c:v>1.8576578602418534</c:v>
                </c:pt>
                <c:pt idx="569">
                  <c:v>1.8576023600592144</c:v>
                </c:pt>
                <c:pt idx="570">
                  <c:v>1.8575468611412509</c:v>
                </c:pt>
                <c:pt idx="571">
                  <c:v>1.8574913634879504</c:v>
                </c:pt>
                <c:pt idx="572">
                  <c:v>1.8574358670992934</c:v>
                </c:pt>
                <c:pt idx="573">
                  <c:v>1.8573803719752684</c:v>
                </c:pt>
                <c:pt idx="574">
                  <c:v>1.8573248781158576</c:v>
                </c:pt>
                <c:pt idx="575">
                  <c:v>1.857269385521044</c:v>
                </c:pt>
                <c:pt idx="576">
                  <c:v>1.8572138941908145</c:v>
                </c:pt>
                <c:pt idx="577">
                  <c:v>1.8571584041251565</c:v>
                </c:pt>
                <c:pt idx="578">
                  <c:v>1.8571029153240461</c:v>
                </c:pt>
                <c:pt idx="579">
                  <c:v>1.8570474277874816</c:v>
                </c:pt>
                <c:pt idx="580">
                  <c:v>1.8569919415154326</c:v>
                </c:pt>
                <c:pt idx="581">
                  <c:v>1.8569364565078921</c:v>
                </c:pt>
                <c:pt idx="582">
                  <c:v>1.8568809727648432</c:v>
                </c:pt>
                <c:pt idx="583">
                  <c:v>1.8568254902862726</c:v>
                </c:pt>
                <c:pt idx="584">
                  <c:v>1.8567700090721573</c:v>
                </c:pt>
                <c:pt idx="585">
                  <c:v>1.8567145291224909</c:v>
                </c:pt>
                <c:pt idx="586">
                  <c:v>1.8566590504372549</c:v>
                </c:pt>
                <c:pt idx="587">
                  <c:v>1.8566035730164341</c:v>
                </c:pt>
                <c:pt idx="588">
                  <c:v>1.8565480968600108</c:v>
                </c:pt>
                <c:pt idx="589">
                  <c:v>1.856492621967968</c:v>
                </c:pt>
                <c:pt idx="590">
                  <c:v>1.8564371483402962</c:v>
                </c:pt>
                <c:pt idx="591">
                  <c:v>1.8563816759769729</c:v>
                </c:pt>
                <c:pt idx="592">
                  <c:v>1.8563262048779903</c:v>
                </c:pt>
                <c:pt idx="593">
                  <c:v>1.8562707350433243</c:v>
                </c:pt>
                <c:pt idx="594">
                  <c:v>1.8562152664729679</c:v>
                </c:pt>
                <c:pt idx="595">
                  <c:v>1.856159799166905</c:v>
                </c:pt>
                <c:pt idx="596">
                  <c:v>1.8561043331251152</c:v>
                </c:pt>
                <c:pt idx="597">
                  <c:v>1.8560488683475844</c:v>
                </c:pt>
                <c:pt idx="598">
                  <c:v>1.8559934048342983</c:v>
                </c:pt>
                <c:pt idx="599">
                  <c:v>1.85593794258524</c:v>
                </c:pt>
                <c:pt idx="600">
                  <c:v>1.8558824816004007</c:v>
                </c:pt>
                <c:pt idx="601">
                  <c:v>1.8558270218797555</c:v>
                </c:pt>
                <c:pt idx="602">
                  <c:v>1.8557715634232936</c:v>
                </c:pt>
                <c:pt idx="603">
                  <c:v>1.8557161062309984</c:v>
                </c:pt>
                <c:pt idx="604">
                  <c:v>1.8556606503028528</c:v>
                </c:pt>
                <c:pt idx="605">
                  <c:v>1.8556051956388462</c:v>
                </c:pt>
                <c:pt idx="606">
                  <c:v>1.8555497422389591</c:v>
                </c:pt>
                <c:pt idx="607">
                  <c:v>1.8554942901031772</c:v>
                </c:pt>
                <c:pt idx="608">
                  <c:v>1.8554388392314909</c:v>
                </c:pt>
                <c:pt idx="609">
                  <c:v>1.8553833896238761</c:v>
                </c:pt>
                <c:pt idx="610">
                  <c:v>1.8553279412803194</c:v>
                </c:pt>
                <c:pt idx="611">
                  <c:v>1.8552724942008041</c:v>
                </c:pt>
                <c:pt idx="612">
                  <c:v>1.8552170483853159</c:v>
                </c:pt>
                <c:pt idx="613">
                  <c:v>1.855161603833845</c:v>
                </c:pt>
                <c:pt idx="614">
                  <c:v>1.8551061605463746</c:v>
                </c:pt>
                <c:pt idx="615">
                  <c:v>1.8550507185228753</c:v>
                </c:pt>
                <c:pt idx="616">
                  <c:v>1.854995277763348</c:v>
                </c:pt>
                <c:pt idx="617">
                  <c:v>1.8549398382677769</c:v>
                </c:pt>
                <c:pt idx="618">
                  <c:v>1.854884400036136</c:v>
                </c:pt>
                <c:pt idx="619">
                  <c:v>1.8548289630684165</c:v>
                </c:pt>
                <c:pt idx="620">
                  <c:v>1.8547735273646015</c:v>
                </c:pt>
                <c:pt idx="621">
                  <c:v>1.8547180929246716</c:v>
                </c:pt>
                <c:pt idx="622">
                  <c:v>1.8546626597486187</c:v>
                </c:pt>
                <c:pt idx="623">
                  <c:v>1.8546072278364267</c:v>
                </c:pt>
                <c:pt idx="624">
                  <c:v>1.8545517971880745</c:v>
                </c:pt>
                <c:pt idx="625">
                  <c:v>1.8544963678035478</c:v>
                </c:pt>
                <c:pt idx="626">
                  <c:v>1.8544409396828341</c:v>
                </c:pt>
                <c:pt idx="627">
                  <c:v>1.8543855128259201</c:v>
                </c:pt>
                <c:pt idx="628">
                  <c:v>1.8543300872327864</c:v>
                </c:pt>
                <c:pt idx="629">
                  <c:v>1.8542746629034141</c:v>
                </c:pt>
                <c:pt idx="630">
                  <c:v>1.8542192398377972</c:v>
                </c:pt>
                <c:pt idx="631">
                  <c:v>1.854163818035909</c:v>
                </c:pt>
                <c:pt idx="632">
                  <c:v>1.8541083974977441</c:v>
                </c:pt>
                <c:pt idx="633">
                  <c:v>1.8540529782232786</c:v>
                </c:pt>
                <c:pt idx="634">
                  <c:v>1.8539975602125081</c:v>
                </c:pt>
                <c:pt idx="635">
                  <c:v>1.8539421434654066</c:v>
                </c:pt>
                <c:pt idx="636">
                  <c:v>1.8538867279819629</c:v>
                </c:pt>
                <c:pt idx="637">
                  <c:v>1.8538313137621607</c:v>
                </c:pt>
                <c:pt idx="638">
                  <c:v>1.8537759008059815</c:v>
                </c:pt>
                <c:pt idx="639">
                  <c:v>1.8537204891134218</c:v>
                </c:pt>
                <c:pt idx="640">
                  <c:v>1.8536650786844477</c:v>
                </c:pt>
                <c:pt idx="641">
                  <c:v>1.853609669519062</c:v>
                </c:pt>
                <c:pt idx="642">
                  <c:v>1.8535542616172362</c:v>
                </c:pt>
                <c:pt idx="643">
                  <c:v>1.8534988549789624</c:v>
                </c:pt>
                <c:pt idx="644">
                  <c:v>1.8534434496042209</c:v>
                </c:pt>
                <c:pt idx="645">
                  <c:v>1.8533880454929959</c:v>
                </c:pt>
                <c:pt idx="646">
                  <c:v>1.8533326426452756</c:v>
                </c:pt>
                <c:pt idx="647">
                  <c:v>1.8532772410610399</c:v>
                </c:pt>
                <c:pt idx="648">
                  <c:v>1.8532218407402761</c:v>
                </c:pt>
                <c:pt idx="649">
                  <c:v>1.8531664416829727</c:v>
                </c:pt>
                <c:pt idx="650">
                  <c:v>1.853111043889105</c:v>
                </c:pt>
                <c:pt idx="651">
                  <c:v>1.8530556473586648</c:v>
                </c:pt>
                <c:pt idx="652">
                  <c:v>1.8530002520916362</c:v>
                </c:pt>
                <c:pt idx="653">
                  <c:v>1.8529448580879997</c:v>
                </c:pt>
                <c:pt idx="654">
                  <c:v>1.8528894653477446</c:v>
                </c:pt>
                <c:pt idx="655">
                  <c:v>1.8528340738708469</c:v>
                </c:pt>
                <c:pt idx="656">
                  <c:v>1.8527786836573013</c:v>
                </c:pt>
                <c:pt idx="657">
                  <c:v>1.8527232947070855</c:v>
                </c:pt>
                <c:pt idx="658">
                  <c:v>1.8526679070201935</c:v>
                </c:pt>
                <c:pt idx="659">
                  <c:v>1.852612520596594</c:v>
                </c:pt>
                <c:pt idx="660">
                  <c:v>1.8525571354362862</c:v>
                </c:pt>
                <c:pt idx="661">
                  <c:v>1.8525017515392479</c:v>
                </c:pt>
                <c:pt idx="662">
                  <c:v>1.852446368905464</c:v>
                </c:pt>
                <c:pt idx="663">
                  <c:v>1.8523909875349185</c:v>
                </c:pt>
                <c:pt idx="664">
                  <c:v>1.8523356074276034</c:v>
                </c:pt>
                <c:pt idx="665">
                  <c:v>1.8522802285834912</c:v>
                </c:pt>
                <c:pt idx="666">
                  <c:v>1.8522248510025703</c:v>
                </c:pt>
                <c:pt idx="667">
                  <c:v>1.8521694746848301</c:v>
                </c:pt>
                <c:pt idx="668">
                  <c:v>1.8521140996302528</c:v>
                </c:pt>
                <c:pt idx="669">
                  <c:v>1.8520587258388188</c:v>
                </c:pt>
                <c:pt idx="670">
                  <c:v>1.8520033533105211</c:v>
                </c:pt>
                <c:pt idx="671">
                  <c:v>1.8519479820453393</c:v>
                </c:pt>
                <c:pt idx="672">
                  <c:v>1.8518926120432484</c:v>
                </c:pt>
                <c:pt idx="673">
                  <c:v>1.8518372433042511</c:v>
                </c:pt>
                <c:pt idx="674">
                  <c:v>1.85178187582832</c:v>
                </c:pt>
                <c:pt idx="675">
                  <c:v>1.8517265096154425</c:v>
                </c:pt>
                <c:pt idx="676">
                  <c:v>1.8516711446656036</c:v>
                </c:pt>
                <c:pt idx="677">
                  <c:v>1.8516157809787872</c:v>
                </c:pt>
                <c:pt idx="678">
                  <c:v>1.8515604185549757</c:v>
                </c:pt>
                <c:pt idx="679">
                  <c:v>1.8515050573941627</c:v>
                </c:pt>
                <c:pt idx="680">
                  <c:v>1.8514496974963182</c:v>
                </c:pt>
                <c:pt idx="681">
                  <c:v>1.8513943388614411</c:v>
                </c:pt>
                <c:pt idx="682">
                  <c:v>1.8513389814895014</c:v>
                </c:pt>
                <c:pt idx="683">
                  <c:v>1.8512836253804981</c:v>
                </c:pt>
                <c:pt idx="684">
                  <c:v>1.8512282705344125</c:v>
                </c:pt>
                <c:pt idx="685">
                  <c:v>1.8511729169512199</c:v>
                </c:pt>
                <c:pt idx="686">
                  <c:v>1.8511175646309139</c:v>
                </c:pt>
                <c:pt idx="687">
                  <c:v>1.8510622135734716</c:v>
                </c:pt>
                <c:pt idx="688">
                  <c:v>1.851006863778883</c:v>
                </c:pt>
                <c:pt idx="689">
                  <c:v>1.8509515152471332</c:v>
                </c:pt>
                <c:pt idx="690">
                  <c:v>1.8508961679782043</c:v>
                </c:pt>
                <c:pt idx="691">
                  <c:v>1.8508408219720778</c:v>
                </c:pt>
                <c:pt idx="692">
                  <c:v>1.8507854772287411</c:v>
                </c:pt>
                <c:pt idx="693">
                  <c:v>1.8507301337481881</c:v>
                </c:pt>
                <c:pt idx="694">
                  <c:v>1.8506747915303885</c:v>
                </c:pt>
                <c:pt idx="695">
                  <c:v>1.8506194505753335</c:v>
                </c:pt>
                <c:pt idx="696">
                  <c:v>1.8505641108830071</c:v>
                </c:pt>
                <c:pt idx="697">
                  <c:v>1.8505087724533871</c:v>
                </c:pt>
                <c:pt idx="698">
                  <c:v>1.8504534352864708</c:v>
                </c:pt>
                <c:pt idx="699">
                  <c:v>1.8503980993822404</c:v>
                </c:pt>
                <c:pt idx="700">
                  <c:v>1.8503427647406685</c:v>
                </c:pt>
                <c:pt idx="701">
                  <c:v>1.8502874313617506</c:v>
                </c:pt>
                <c:pt idx="702">
                  <c:v>1.8502320992454679</c:v>
                </c:pt>
                <c:pt idx="703">
                  <c:v>1.8501767683918082</c:v>
                </c:pt>
                <c:pt idx="704">
                  <c:v>1.8501214388007536</c:v>
                </c:pt>
                <c:pt idx="705">
                  <c:v>1.8500661104722802</c:v>
                </c:pt>
                <c:pt idx="706">
                  <c:v>1.850010783406387</c:v>
                </c:pt>
                <c:pt idx="707">
                  <c:v>1.8499554576030466</c:v>
                </c:pt>
                <c:pt idx="708">
                  <c:v>1.84990013306225</c:v>
                </c:pt>
                <c:pt idx="709">
                  <c:v>1.8498448097839848</c:v>
                </c:pt>
                <c:pt idx="710">
                  <c:v>1.8497894877682244</c:v>
                </c:pt>
                <c:pt idx="711">
                  <c:v>1.8497341670149625</c:v>
                </c:pt>
                <c:pt idx="712">
                  <c:v>1.8496788475241805</c:v>
                </c:pt>
                <c:pt idx="713">
                  <c:v>1.8496235292958589</c:v>
                </c:pt>
                <c:pt idx="714">
                  <c:v>1.849568212329995</c:v>
                </c:pt>
                <c:pt idx="715">
                  <c:v>1.8495128966265568</c:v>
                </c:pt>
                <c:pt idx="716">
                  <c:v>1.8494575821855461</c:v>
                </c:pt>
                <c:pt idx="717">
                  <c:v>1.8494022690069318</c:v>
                </c:pt>
                <c:pt idx="718">
                  <c:v>1.8493469570907006</c:v>
                </c:pt>
                <c:pt idx="719">
                  <c:v>1.849291646436849</c:v>
                </c:pt>
                <c:pt idx="720">
                  <c:v>1.8492363370453511</c:v>
                </c:pt>
                <c:pt idx="721">
                  <c:v>1.849181028916191</c:v>
                </c:pt>
                <c:pt idx="722">
                  <c:v>1.8491257220493633</c:v>
                </c:pt>
                <c:pt idx="723">
                  <c:v>1.8490704164448379</c:v>
                </c:pt>
                <c:pt idx="724">
                  <c:v>1.8490151121026077</c:v>
                </c:pt>
                <c:pt idx="725">
                  <c:v>1.8489598090226576</c:v>
                </c:pt>
                <c:pt idx="726">
                  <c:v>1.8489045072049715</c:v>
                </c:pt>
                <c:pt idx="727">
                  <c:v>1.8488492066495299</c:v>
                </c:pt>
                <c:pt idx="728">
                  <c:v>1.8487939073563231</c:v>
                </c:pt>
                <c:pt idx="729">
                  <c:v>1.8487386093253324</c:v>
                </c:pt>
                <c:pt idx="730">
                  <c:v>1.8486833125565383</c:v>
                </c:pt>
                <c:pt idx="731">
                  <c:v>1.8486280170499345</c:v>
                </c:pt>
                <c:pt idx="732">
                  <c:v>1.8485727228054971</c:v>
                </c:pt>
                <c:pt idx="733">
                  <c:v>1.8485174298232172</c:v>
                </c:pt>
                <c:pt idx="734">
                  <c:v>1.8484621381030761</c:v>
                </c:pt>
                <c:pt idx="735">
                  <c:v>1.8484068476450597</c:v>
                </c:pt>
                <c:pt idx="736">
                  <c:v>1.8483515584491466</c:v>
                </c:pt>
                <c:pt idx="737">
                  <c:v>1.8482962705153296</c:v>
                </c:pt>
                <c:pt idx="738">
                  <c:v>1.8482409838435867</c:v>
                </c:pt>
                <c:pt idx="739">
                  <c:v>1.8481856984339053</c:v>
                </c:pt>
                <c:pt idx="740">
                  <c:v>1.8481304142862722</c:v>
                </c:pt>
                <c:pt idx="741">
                  <c:v>1.8480751314006678</c:v>
                </c:pt>
                <c:pt idx="742">
                  <c:v>1.8480198497770779</c:v>
                </c:pt>
                <c:pt idx="743">
                  <c:v>1.847964569415482</c:v>
                </c:pt>
                <c:pt idx="744">
                  <c:v>1.8479092903158758</c:v>
                </c:pt>
                <c:pt idx="745">
                  <c:v>1.8478540124782388</c:v>
                </c:pt>
                <c:pt idx="746">
                  <c:v>1.8477987359025523</c:v>
                </c:pt>
                <c:pt idx="747">
                  <c:v>1.8477434605887995</c:v>
                </c:pt>
                <c:pt idx="748">
                  <c:v>1.8476881865369714</c:v>
                </c:pt>
                <c:pt idx="749">
                  <c:v>1.847632913747046</c:v>
                </c:pt>
                <c:pt idx="750">
                  <c:v>1.8475776422190142</c:v>
                </c:pt>
                <c:pt idx="751">
                  <c:v>1.8475223719528584</c:v>
                </c:pt>
                <c:pt idx="752">
                  <c:v>1.8474671029485581</c:v>
                </c:pt>
                <c:pt idx="753">
                  <c:v>1.8474118352061017</c:v>
                </c:pt>
                <c:pt idx="754">
                  <c:v>1.8473565687254752</c:v>
                </c:pt>
                <c:pt idx="755">
                  <c:v>1.8473013035066623</c:v>
                </c:pt>
                <c:pt idx="756">
                  <c:v>1.8472460395496446</c:v>
                </c:pt>
                <c:pt idx="757">
                  <c:v>1.8471907768544087</c:v>
                </c:pt>
                <c:pt idx="758">
                  <c:v>1.8471355154209386</c:v>
                </c:pt>
                <c:pt idx="759">
                  <c:v>1.8470802552492209</c:v>
                </c:pt>
                <c:pt idx="760">
                  <c:v>1.8470249963392371</c:v>
                </c:pt>
                <c:pt idx="761">
                  <c:v>1.846969738690972</c:v>
                </c:pt>
                <c:pt idx="762">
                  <c:v>1.8469144823044132</c:v>
                </c:pt>
                <c:pt idx="763">
                  <c:v>1.8468592271795359</c:v>
                </c:pt>
                <c:pt idx="764">
                  <c:v>1.8468039733163435</c:v>
                </c:pt>
                <c:pt idx="765">
                  <c:v>1.8467487207147988</c:v>
                </c:pt>
                <c:pt idx="766">
                  <c:v>1.8466934693748991</c:v>
                </c:pt>
                <c:pt idx="767">
                  <c:v>1.8466382192966249</c:v>
                </c:pt>
                <c:pt idx="768">
                  <c:v>1.8465829704799628</c:v>
                </c:pt>
                <c:pt idx="769">
                  <c:v>1.8465277229248906</c:v>
                </c:pt>
                <c:pt idx="770">
                  <c:v>1.8464724766314049</c:v>
                </c:pt>
                <c:pt idx="771">
                  <c:v>1.8464172315994771</c:v>
                </c:pt>
                <c:pt idx="772">
                  <c:v>1.8463619878290993</c:v>
                </c:pt>
                <c:pt idx="773">
                  <c:v>1.8463067453202582</c:v>
                </c:pt>
                <c:pt idx="774">
                  <c:v>1.8462515040729297</c:v>
                </c:pt>
                <c:pt idx="775">
                  <c:v>1.8461962640871059</c:v>
                </c:pt>
                <c:pt idx="776">
                  <c:v>1.8461410253627681</c:v>
                </c:pt>
                <c:pt idx="777">
                  <c:v>1.8460857878998969</c:v>
                </c:pt>
                <c:pt idx="778">
                  <c:v>1.8460305516984858</c:v>
                </c:pt>
                <c:pt idx="779">
                  <c:v>1.8459753167585093</c:v>
                </c:pt>
                <c:pt idx="780">
                  <c:v>1.8459200830799611</c:v>
                </c:pt>
                <c:pt idx="781">
                  <c:v>1.8458648506628226</c:v>
                </c:pt>
                <c:pt idx="782">
                  <c:v>1.8458096195070741</c:v>
                </c:pt>
                <c:pt idx="783">
                  <c:v>1.8457543896126998</c:v>
                </c:pt>
                <c:pt idx="784">
                  <c:v>1.8456991609796907</c:v>
                </c:pt>
                <c:pt idx="785">
                  <c:v>1.8456439336080308</c:v>
                </c:pt>
                <c:pt idx="786">
                  <c:v>1.8455887074976962</c:v>
                </c:pt>
                <c:pt idx="787">
                  <c:v>1.8455334826486771</c:v>
                </c:pt>
                <c:pt idx="788">
                  <c:v>1.8454782590609575</c:v>
                </c:pt>
                <c:pt idx="789">
                  <c:v>1.8454230367345223</c:v>
                </c:pt>
                <c:pt idx="790">
                  <c:v>1.84536781566936</c:v>
                </c:pt>
                <c:pt idx="791">
                  <c:v>1.8453125958654493</c:v>
                </c:pt>
                <c:pt idx="792">
                  <c:v>1.8452573773227678</c:v>
                </c:pt>
                <c:pt idx="793">
                  <c:v>1.845202160041314</c:v>
                </c:pt>
                <c:pt idx="794">
                  <c:v>1.8451469440210682</c:v>
                </c:pt>
                <c:pt idx="795">
                  <c:v>1.8450917292620099</c:v>
                </c:pt>
                <c:pt idx="796">
                  <c:v>1.8450365157641295</c:v>
                </c:pt>
                <c:pt idx="797">
                  <c:v>1.844981303527403</c:v>
                </c:pt>
                <c:pt idx="798">
                  <c:v>1.8449260925518285</c:v>
                </c:pt>
                <c:pt idx="799">
                  <c:v>1.8448708828373777</c:v>
                </c:pt>
                <c:pt idx="800">
                  <c:v>1.844815674384038</c:v>
                </c:pt>
                <c:pt idx="801">
                  <c:v>1.8447604671917981</c:v>
                </c:pt>
                <c:pt idx="802">
                  <c:v>1.8447052612606427</c:v>
                </c:pt>
                <c:pt idx="803">
                  <c:v>1.8446500565905461</c:v>
                </c:pt>
                <c:pt idx="804">
                  <c:v>1.8445948531815057</c:v>
                </c:pt>
                <c:pt idx="805">
                  <c:v>1.8445396510334993</c:v>
                </c:pt>
                <c:pt idx="806">
                  <c:v>1.8444844501465125</c:v>
                </c:pt>
                <c:pt idx="807">
                  <c:v>1.8444292505205295</c:v>
                </c:pt>
                <c:pt idx="808">
                  <c:v>1.8443740521555316</c:v>
                </c:pt>
                <c:pt idx="809">
                  <c:v>1.8443188550515073</c:v>
                </c:pt>
                <c:pt idx="810">
                  <c:v>1.8442636592084414</c:v>
                </c:pt>
                <c:pt idx="811">
                  <c:v>1.8442084646263179</c:v>
                </c:pt>
                <c:pt idx="812">
                  <c:v>1.8441532713051183</c:v>
                </c:pt>
                <c:pt idx="813">
                  <c:v>1.8440980792448318</c:v>
                </c:pt>
                <c:pt idx="814">
                  <c:v>1.8440428884454363</c:v>
                </c:pt>
                <c:pt idx="815">
                  <c:v>1.8439876989069219</c:v>
                </c:pt>
                <c:pt idx="816">
                  <c:v>1.8439325106292719</c:v>
                </c:pt>
                <c:pt idx="817">
                  <c:v>1.8438773236124657</c:v>
                </c:pt>
                <c:pt idx="818">
                  <c:v>1.843822137856499</c:v>
                </c:pt>
                <c:pt idx="819">
                  <c:v>1.8437669533613441</c:v>
                </c:pt>
                <c:pt idx="820">
                  <c:v>1.8437117701269923</c:v>
                </c:pt>
                <c:pt idx="821">
                  <c:v>1.843656588153423</c:v>
                </c:pt>
                <c:pt idx="822">
                  <c:v>1.8436014074406257</c:v>
                </c:pt>
                <c:pt idx="823">
                  <c:v>1.8435462279885844</c:v>
                </c:pt>
                <c:pt idx="824">
                  <c:v>1.8434910497972812</c:v>
                </c:pt>
                <c:pt idx="825">
                  <c:v>1.8434358728666993</c:v>
                </c:pt>
                <c:pt idx="826">
                  <c:v>1.8433806971968281</c:v>
                </c:pt>
                <c:pt idx="827">
                  <c:v>1.8433255227876453</c:v>
                </c:pt>
                <c:pt idx="828">
                  <c:v>1.843270349639142</c:v>
                </c:pt>
                <c:pt idx="829">
                  <c:v>1.8432151777513033</c:v>
                </c:pt>
                <c:pt idx="830">
                  <c:v>1.8431600071241059</c:v>
                </c:pt>
                <c:pt idx="831">
                  <c:v>1.8431048377575374</c:v>
                </c:pt>
                <c:pt idx="832">
                  <c:v>1.8430496696515863</c:v>
                </c:pt>
                <c:pt idx="833">
                  <c:v>1.8429945028062287</c:v>
                </c:pt>
                <c:pt idx="834">
                  <c:v>1.8429393372214617</c:v>
                </c:pt>
                <c:pt idx="835">
                  <c:v>1.8428841728972589</c:v>
                </c:pt>
                <c:pt idx="836">
                  <c:v>1.8428290098336042</c:v>
                </c:pt>
                <c:pt idx="837">
                  <c:v>1.8427738480304887</c:v>
                </c:pt>
                <c:pt idx="838">
                  <c:v>1.8427186874878956</c:v>
                </c:pt>
                <c:pt idx="839">
                  <c:v>1.8426635282058079</c:v>
                </c:pt>
                <c:pt idx="840">
                  <c:v>1.8426083701842018</c:v>
                </c:pt>
                <c:pt idx="841">
                  <c:v>1.8425532134230762</c:v>
                </c:pt>
                <c:pt idx="842">
                  <c:v>1.8424980579224108</c:v>
                </c:pt>
                <c:pt idx="843">
                  <c:v>1.8424429036821852</c:v>
                </c:pt>
                <c:pt idx="844">
                  <c:v>1.8423877507023851</c:v>
                </c:pt>
                <c:pt idx="845">
                  <c:v>1.8423325989830017</c:v>
                </c:pt>
                <c:pt idx="846">
                  <c:v>1.842277448524011</c:v>
                </c:pt>
                <c:pt idx="847">
                  <c:v>1.8422222993254032</c:v>
                </c:pt>
                <c:pt idx="848">
                  <c:v>1.842167151387156</c:v>
                </c:pt>
                <c:pt idx="849">
                  <c:v>1.8421120047092581</c:v>
                </c:pt>
                <c:pt idx="850">
                  <c:v>1.8420568592917004</c:v>
                </c:pt>
                <c:pt idx="851">
                  <c:v>1.8420017151344554</c:v>
                </c:pt>
                <c:pt idx="852">
                  <c:v>1.8419465722375152</c:v>
                </c:pt>
                <c:pt idx="853">
                  <c:v>1.8418914306008558</c:v>
                </c:pt>
                <c:pt idx="854">
                  <c:v>1.8418362902244754</c:v>
                </c:pt>
                <c:pt idx="855">
                  <c:v>1.8417811511083428</c:v>
                </c:pt>
                <c:pt idx="856">
                  <c:v>1.8417260132524591</c:v>
                </c:pt>
                <c:pt idx="857">
                  <c:v>1.841670876656794</c:v>
                </c:pt>
                <c:pt idx="858">
                  <c:v>1.8416157413213377</c:v>
                </c:pt>
                <c:pt idx="859">
                  <c:v>1.8415606072460742</c:v>
                </c:pt>
                <c:pt idx="860">
                  <c:v>1.841505474430992</c:v>
                </c:pt>
                <c:pt idx="861">
                  <c:v>1.8414503428760689</c:v>
                </c:pt>
                <c:pt idx="862">
                  <c:v>1.8413952125812934</c:v>
                </c:pt>
                <c:pt idx="863">
                  <c:v>1.8413400835466502</c:v>
                </c:pt>
                <c:pt idx="864">
                  <c:v>1.8412849557721209</c:v>
                </c:pt>
                <c:pt idx="865">
                  <c:v>1.8412298292576859</c:v>
                </c:pt>
                <c:pt idx="866">
                  <c:v>1.8411747040033388</c:v>
                </c:pt>
                <c:pt idx="867">
                  <c:v>1.8411195800090603</c:v>
                </c:pt>
                <c:pt idx="868">
                  <c:v>1.8410644572748325</c:v>
                </c:pt>
                <c:pt idx="869">
                  <c:v>1.841009335800643</c:v>
                </c:pt>
                <c:pt idx="870">
                  <c:v>1.8409542155864766</c:v>
                </c:pt>
                <c:pt idx="871">
                  <c:v>1.8408990966323158</c:v>
                </c:pt>
                <c:pt idx="872">
                  <c:v>1.8408439789381426</c:v>
                </c:pt>
                <c:pt idx="873">
                  <c:v>1.8407888625039437</c:v>
                </c:pt>
                <c:pt idx="874">
                  <c:v>1.8407337473297112</c:v>
                </c:pt>
                <c:pt idx="875">
                  <c:v>1.8406786334154104</c:v>
                </c:pt>
                <c:pt idx="876">
                  <c:v>1.840623520761044</c:v>
                </c:pt>
                <c:pt idx="877">
                  <c:v>1.8405684093665924</c:v>
                </c:pt>
                <c:pt idx="878">
                  <c:v>1.8405132992320317</c:v>
                </c:pt>
                <c:pt idx="879">
                  <c:v>1.8404581903573529</c:v>
                </c:pt>
                <c:pt idx="880">
                  <c:v>1.8404030827425419</c:v>
                </c:pt>
                <c:pt idx="881">
                  <c:v>1.8403479763875792</c:v>
                </c:pt>
                <c:pt idx="882">
                  <c:v>1.8402928712924549</c:v>
                </c:pt>
                <c:pt idx="883">
                  <c:v>1.840237767457146</c:v>
                </c:pt>
                <c:pt idx="884">
                  <c:v>1.8401826648816382</c:v>
                </c:pt>
                <c:pt idx="885">
                  <c:v>1.8401275635659173</c:v>
                </c:pt>
                <c:pt idx="886">
                  <c:v>1.840072463509971</c:v>
                </c:pt>
                <c:pt idx="887">
                  <c:v>1.8400173647137734</c:v>
                </c:pt>
                <c:pt idx="888">
                  <c:v>1.8399622671773246</c:v>
                </c:pt>
                <c:pt idx="889">
                  <c:v>1.8399071709005925</c:v>
                </c:pt>
                <c:pt idx="890">
                  <c:v>1.8398520758835755</c:v>
                </c:pt>
                <c:pt idx="891">
                  <c:v>1.8397969821262512</c:v>
                </c:pt>
                <c:pt idx="892">
                  <c:v>1.839741889628602</c:v>
                </c:pt>
                <c:pt idx="893">
                  <c:v>1.8396867983906215</c:v>
                </c:pt>
                <c:pt idx="894">
                  <c:v>1.8396317084122806</c:v>
                </c:pt>
                <c:pt idx="895">
                  <c:v>1.8395766196935757</c:v>
                </c:pt>
                <c:pt idx="896">
                  <c:v>1.8395215322344818</c:v>
                </c:pt>
                <c:pt idx="897">
                  <c:v>1.8394664460349928</c:v>
                </c:pt>
                <c:pt idx="898">
                  <c:v>1.8394113610950846</c:v>
                </c:pt>
                <c:pt idx="899">
                  <c:v>1.8393562774147494</c:v>
                </c:pt>
                <c:pt idx="900">
                  <c:v>1.8393011949939586</c:v>
                </c:pt>
                <c:pt idx="901">
                  <c:v>1.8392461138327096</c:v>
                </c:pt>
                <c:pt idx="902">
                  <c:v>1.8391910339309812</c:v>
                </c:pt>
                <c:pt idx="903">
                  <c:v>1.8391359552887572</c:v>
                </c:pt>
                <c:pt idx="904">
                  <c:v>1.8390808779060297</c:v>
                </c:pt>
                <c:pt idx="905">
                  <c:v>1.8390258017827676</c:v>
                </c:pt>
                <c:pt idx="906">
                  <c:v>1.8389707269189728</c:v>
                </c:pt>
                <c:pt idx="907">
                  <c:v>1.8389156533146194</c:v>
                </c:pt>
                <c:pt idx="908">
                  <c:v>1.8388605809696905</c:v>
                </c:pt>
                <c:pt idx="909">
                  <c:v>1.8388055098841765</c:v>
                </c:pt>
                <c:pt idx="910">
                  <c:v>1.838750440058055</c:v>
                </c:pt>
                <c:pt idx="911">
                  <c:v>1.8386953714913181</c:v>
                </c:pt>
                <c:pt idx="912">
                  <c:v>1.8386403041839454</c:v>
                </c:pt>
                <c:pt idx="913">
                  <c:v>1.8385852381359236</c:v>
                </c:pt>
                <c:pt idx="914">
                  <c:v>1.838530173347233</c:v>
                </c:pt>
                <c:pt idx="915">
                  <c:v>1.8384751098178649</c:v>
                </c:pt>
                <c:pt idx="916">
                  <c:v>1.8384200475477979</c:v>
                </c:pt>
                <c:pt idx="917">
                  <c:v>1.8383649865370142</c:v>
                </c:pt>
                <c:pt idx="918">
                  <c:v>1.8383099267855014</c:v>
                </c:pt>
                <c:pt idx="919">
                  <c:v>1.8382548682932498</c:v>
                </c:pt>
                <c:pt idx="920">
                  <c:v>1.838199811060238</c:v>
                </c:pt>
                <c:pt idx="921">
                  <c:v>1.8381447550864447</c:v>
                </c:pt>
                <c:pt idx="922">
                  <c:v>1.8380897003718655</c:v>
                </c:pt>
                <c:pt idx="923">
                  <c:v>1.8380346469164799</c:v>
                </c:pt>
                <c:pt idx="924">
                  <c:v>1.8379795947202675</c:v>
                </c:pt>
                <c:pt idx="925">
                  <c:v>1.8379245437832195</c:v>
                </c:pt>
                <c:pt idx="926">
                  <c:v>1.8378694941053144</c:v>
                </c:pt>
                <c:pt idx="927">
                  <c:v>1.8378144456865488</c:v>
                </c:pt>
                <c:pt idx="928">
                  <c:v>1.8377593985268952</c:v>
                </c:pt>
                <c:pt idx="929">
                  <c:v>1.8377043526263313</c:v>
                </c:pt>
                <c:pt idx="930">
                  <c:v>1.8376493079848597</c:v>
                </c:pt>
                <c:pt idx="931">
                  <c:v>1.8375942646024566</c:v>
                </c:pt>
                <c:pt idx="932">
                  <c:v>1.8375392224791005</c:v>
                </c:pt>
                <c:pt idx="933">
                  <c:v>1.8374841816147827</c:v>
                </c:pt>
                <c:pt idx="934">
                  <c:v>1.8374291420094906</c:v>
                </c:pt>
                <c:pt idx="935">
                  <c:v>1.8373741036631985</c:v>
                </c:pt>
                <c:pt idx="936">
                  <c:v>1.8373190665758976</c:v>
                </c:pt>
                <c:pt idx="937">
                  <c:v>1.8372640307475763</c:v>
                </c:pt>
                <c:pt idx="938">
                  <c:v>1.8372089961782034</c:v>
                </c:pt>
                <c:pt idx="939">
                  <c:v>1.8371539628677782</c:v>
                </c:pt>
                <c:pt idx="940">
                  <c:v>1.8370989308162784</c:v>
                </c:pt>
                <c:pt idx="941">
                  <c:v>1.8370439000236933</c:v>
                </c:pt>
                <c:pt idx="942">
                  <c:v>1.8369888704900008</c:v>
                </c:pt>
                <c:pt idx="943">
                  <c:v>1.8369338422151884</c:v>
                </c:pt>
                <c:pt idx="944">
                  <c:v>1.836878815199241</c:v>
                </c:pt>
                <c:pt idx="945">
                  <c:v>1.8368237894421471</c:v>
                </c:pt>
                <c:pt idx="946">
                  <c:v>1.8367687649438809</c:v>
                </c:pt>
                <c:pt idx="947">
                  <c:v>1.8367137417044335</c:v>
                </c:pt>
                <c:pt idx="948">
                  <c:v>1.836658719723788</c:v>
                </c:pt>
                <c:pt idx="949">
                  <c:v>1.8366036990019303</c:v>
                </c:pt>
                <c:pt idx="950">
                  <c:v>1.8365486795388426</c:v>
                </c:pt>
                <c:pt idx="951">
                  <c:v>1.8364936613345062</c:v>
                </c:pt>
                <c:pt idx="952">
                  <c:v>1.8364386443889149</c:v>
                </c:pt>
                <c:pt idx="953">
                  <c:v>1.8363836287020403</c:v>
                </c:pt>
                <c:pt idx="954">
                  <c:v>1.8363286142738771</c:v>
                </c:pt>
                <c:pt idx="955">
                  <c:v>1.8362736011044056</c:v>
                </c:pt>
                <c:pt idx="956">
                  <c:v>1.8362185891936109</c:v>
                </c:pt>
                <c:pt idx="957">
                  <c:v>1.836163578541476</c:v>
                </c:pt>
                <c:pt idx="958">
                  <c:v>1.836108569147985</c:v>
                </c:pt>
                <c:pt idx="959">
                  <c:v>1.836053561013129</c:v>
                </c:pt>
                <c:pt idx="960">
                  <c:v>1.835998554136884</c:v>
                </c:pt>
                <c:pt idx="961">
                  <c:v>1.8359435485192357</c:v>
                </c:pt>
                <c:pt idx="962">
                  <c:v>1.8358885441601718</c:v>
                </c:pt>
                <c:pt idx="963">
                  <c:v>1.83583354105967</c:v>
                </c:pt>
                <c:pt idx="964">
                  <c:v>1.835778539217725</c:v>
                </c:pt>
                <c:pt idx="965">
                  <c:v>1.8357235386343156</c:v>
                </c:pt>
                <c:pt idx="966">
                  <c:v>1.8356685393094248</c:v>
                </c:pt>
                <c:pt idx="967">
                  <c:v>1.8356135412430366</c:v>
                </c:pt>
                <c:pt idx="968">
                  <c:v>1.8355585444351394</c:v>
                </c:pt>
                <c:pt idx="969">
                  <c:v>1.8355035488857139</c:v>
                </c:pt>
                <c:pt idx="970">
                  <c:v>1.8354485545947474</c:v>
                </c:pt>
                <c:pt idx="971">
                  <c:v>1.8353935615622188</c:v>
                </c:pt>
                <c:pt idx="972">
                  <c:v>1.8353385697881182</c:v>
                </c:pt>
                <c:pt idx="973">
                  <c:v>1.835283579272426</c:v>
                </c:pt>
                <c:pt idx="974">
                  <c:v>1.8352285900151291</c:v>
                </c:pt>
                <c:pt idx="975">
                  <c:v>1.8351736020162086</c:v>
                </c:pt>
                <c:pt idx="976">
                  <c:v>1.8351186152756576</c:v>
                </c:pt>
                <c:pt idx="977">
                  <c:v>1.8350636297934484</c:v>
                </c:pt>
                <c:pt idx="978">
                  <c:v>1.8350086455695713</c:v>
                </c:pt>
                <c:pt idx="979">
                  <c:v>1.834953662604013</c:v>
                </c:pt>
                <c:pt idx="980">
                  <c:v>1.834898680896754</c:v>
                </c:pt>
                <c:pt idx="981">
                  <c:v>1.83484370044778</c:v>
                </c:pt>
                <c:pt idx="982">
                  <c:v>1.8347887212570742</c:v>
                </c:pt>
                <c:pt idx="983">
                  <c:v>1.8347337433246196</c:v>
                </c:pt>
                <c:pt idx="984">
                  <c:v>1.8346787666504047</c:v>
                </c:pt>
                <c:pt idx="985">
                  <c:v>1.8346237912344119</c:v>
                </c:pt>
                <c:pt idx="986">
                  <c:v>1.8345688170766241</c:v>
                </c:pt>
                <c:pt idx="987">
                  <c:v>1.8345138441770272</c:v>
                </c:pt>
                <c:pt idx="988">
                  <c:v>1.8344588725356035</c:v>
                </c:pt>
                <c:pt idx="989">
                  <c:v>1.8344039021523413</c:v>
                </c:pt>
                <c:pt idx="990">
                  <c:v>1.834348933027222</c:v>
                </c:pt>
                <c:pt idx="991">
                  <c:v>1.834293965160235</c:v>
                </c:pt>
                <c:pt idx="992">
                  <c:v>1.8342389985513528</c:v>
                </c:pt>
                <c:pt idx="993">
                  <c:v>1.8341840332005708</c:v>
                </c:pt>
                <c:pt idx="994">
                  <c:v>1.8341290691078722</c:v>
                </c:pt>
                <c:pt idx="995">
                  <c:v>1.8340741062732313</c:v>
                </c:pt>
                <c:pt idx="996">
                  <c:v>1.8340191446966463</c:v>
                </c:pt>
                <c:pt idx="997">
                  <c:v>1.8339641843780914</c:v>
                </c:pt>
                <c:pt idx="998">
                  <c:v>1.8339092253175551</c:v>
                </c:pt>
                <c:pt idx="999">
                  <c:v>1.8338542675150213</c:v>
                </c:pt>
                <c:pt idx="1000">
                  <c:v>1.8337993109704724</c:v>
                </c:pt>
              </c:numCache>
            </c:numRef>
          </c:yVal>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16.900099999999973</c:v>
                </c:pt>
                <c:pt idx="351">
                  <c:v>16.900199999999973</c:v>
                </c:pt>
                <c:pt idx="352">
                  <c:v>16.900299999999973</c:v>
                </c:pt>
                <c:pt idx="353">
                  <c:v>16.900399999999973</c:v>
                </c:pt>
                <c:pt idx="354">
                  <c:v>16.900499999999973</c:v>
                </c:pt>
                <c:pt idx="355">
                  <c:v>16.900599999999972</c:v>
                </c:pt>
                <c:pt idx="356">
                  <c:v>16.900699999999972</c:v>
                </c:pt>
                <c:pt idx="357">
                  <c:v>16.900799999999972</c:v>
                </c:pt>
                <c:pt idx="358">
                  <c:v>16.900899999999972</c:v>
                </c:pt>
                <c:pt idx="359">
                  <c:v>16.900999999999971</c:v>
                </c:pt>
                <c:pt idx="360">
                  <c:v>16.901099999999971</c:v>
                </c:pt>
                <c:pt idx="361">
                  <c:v>16.901199999999971</c:v>
                </c:pt>
                <c:pt idx="362">
                  <c:v>16.901299999999971</c:v>
                </c:pt>
                <c:pt idx="363">
                  <c:v>16.90139999999997</c:v>
                </c:pt>
                <c:pt idx="364">
                  <c:v>16.90149999999997</c:v>
                </c:pt>
                <c:pt idx="365">
                  <c:v>16.90159999999997</c:v>
                </c:pt>
                <c:pt idx="366">
                  <c:v>16.90169999999997</c:v>
                </c:pt>
                <c:pt idx="367">
                  <c:v>16.90179999999997</c:v>
                </c:pt>
                <c:pt idx="368">
                  <c:v>16.901899999999969</c:v>
                </c:pt>
                <c:pt idx="369">
                  <c:v>16.901999999999969</c:v>
                </c:pt>
                <c:pt idx="370">
                  <c:v>16.902099999999969</c:v>
                </c:pt>
                <c:pt idx="371">
                  <c:v>16.902199999999969</c:v>
                </c:pt>
                <c:pt idx="372">
                  <c:v>16.902299999999968</c:v>
                </c:pt>
                <c:pt idx="373">
                  <c:v>16.902399999999968</c:v>
                </c:pt>
                <c:pt idx="374">
                  <c:v>16.902499999999968</c:v>
                </c:pt>
                <c:pt idx="375">
                  <c:v>16.902599999999968</c:v>
                </c:pt>
                <c:pt idx="376">
                  <c:v>16.902699999999967</c:v>
                </c:pt>
                <c:pt idx="377">
                  <c:v>16.902799999999967</c:v>
                </c:pt>
                <c:pt idx="378">
                  <c:v>16.902899999999967</c:v>
                </c:pt>
                <c:pt idx="379">
                  <c:v>16.902999999999967</c:v>
                </c:pt>
                <c:pt idx="380">
                  <c:v>16.903099999999966</c:v>
                </c:pt>
                <c:pt idx="381">
                  <c:v>16.903199999999966</c:v>
                </c:pt>
                <c:pt idx="382">
                  <c:v>16.903299999999966</c:v>
                </c:pt>
                <c:pt idx="383">
                  <c:v>16.903399999999966</c:v>
                </c:pt>
                <c:pt idx="384">
                  <c:v>16.903499999999966</c:v>
                </c:pt>
                <c:pt idx="385">
                  <c:v>16.903599999999965</c:v>
                </c:pt>
                <c:pt idx="386">
                  <c:v>16.903699999999965</c:v>
                </c:pt>
                <c:pt idx="387">
                  <c:v>16.903799999999965</c:v>
                </c:pt>
                <c:pt idx="388">
                  <c:v>16.903899999999965</c:v>
                </c:pt>
                <c:pt idx="389">
                  <c:v>16.903999999999964</c:v>
                </c:pt>
                <c:pt idx="390">
                  <c:v>16.904099999999964</c:v>
                </c:pt>
                <c:pt idx="391">
                  <c:v>16.904199999999964</c:v>
                </c:pt>
                <c:pt idx="392">
                  <c:v>16.904299999999964</c:v>
                </c:pt>
                <c:pt idx="393">
                  <c:v>16.904399999999963</c:v>
                </c:pt>
                <c:pt idx="394">
                  <c:v>16.904499999999963</c:v>
                </c:pt>
                <c:pt idx="395">
                  <c:v>16.904599999999963</c:v>
                </c:pt>
                <c:pt idx="396">
                  <c:v>16.904699999999963</c:v>
                </c:pt>
                <c:pt idx="397">
                  <c:v>16.904799999999963</c:v>
                </c:pt>
                <c:pt idx="398">
                  <c:v>16.904899999999962</c:v>
                </c:pt>
                <c:pt idx="399">
                  <c:v>16.904999999999962</c:v>
                </c:pt>
                <c:pt idx="400">
                  <c:v>16.905099999999962</c:v>
                </c:pt>
                <c:pt idx="401">
                  <c:v>16.905199999999962</c:v>
                </c:pt>
                <c:pt idx="402">
                  <c:v>16.905299999999961</c:v>
                </c:pt>
                <c:pt idx="403">
                  <c:v>16.905399999999961</c:v>
                </c:pt>
                <c:pt idx="404">
                  <c:v>16.905499999999961</c:v>
                </c:pt>
                <c:pt idx="405">
                  <c:v>16.905599999999961</c:v>
                </c:pt>
                <c:pt idx="406">
                  <c:v>16.90569999999996</c:v>
                </c:pt>
                <c:pt idx="407">
                  <c:v>16.90579999999996</c:v>
                </c:pt>
                <c:pt idx="408">
                  <c:v>16.90589999999996</c:v>
                </c:pt>
                <c:pt idx="409">
                  <c:v>16.90599999999996</c:v>
                </c:pt>
                <c:pt idx="410">
                  <c:v>16.906099999999959</c:v>
                </c:pt>
                <c:pt idx="411">
                  <c:v>16.906199999999959</c:v>
                </c:pt>
                <c:pt idx="412">
                  <c:v>16.906299999999959</c:v>
                </c:pt>
                <c:pt idx="413">
                  <c:v>16.906399999999959</c:v>
                </c:pt>
                <c:pt idx="414">
                  <c:v>16.906499999999959</c:v>
                </c:pt>
                <c:pt idx="415">
                  <c:v>16.906599999999958</c:v>
                </c:pt>
                <c:pt idx="416">
                  <c:v>16.906699999999958</c:v>
                </c:pt>
                <c:pt idx="417">
                  <c:v>16.906799999999958</c:v>
                </c:pt>
                <c:pt idx="418">
                  <c:v>16.906899999999958</c:v>
                </c:pt>
                <c:pt idx="419">
                  <c:v>16.906999999999957</c:v>
                </c:pt>
                <c:pt idx="420">
                  <c:v>16.907099999999957</c:v>
                </c:pt>
                <c:pt idx="421">
                  <c:v>16.907199999999957</c:v>
                </c:pt>
                <c:pt idx="422">
                  <c:v>16.907299999999957</c:v>
                </c:pt>
                <c:pt idx="423">
                  <c:v>16.907399999999956</c:v>
                </c:pt>
                <c:pt idx="424">
                  <c:v>16.907499999999956</c:v>
                </c:pt>
                <c:pt idx="425">
                  <c:v>16.907599999999956</c:v>
                </c:pt>
                <c:pt idx="426">
                  <c:v>16.907699999999956</c:v>
                </c:pt>
                <c:pt idx="427">
                  <c:v>16.907799999999956</c:v>
                </c:pt>
                <c:pt idx="428">
                  <c:v>16.907899999999955</c:v>
                </c:pt>
                <c:pt idx="429">
                  <c:v>16.907999999999955</c:v>
                </c:pt>
                <c:pt idx="430">
                  <c:v>16.908099999999955</c:v>
                </c:pt>
                <c:pt idx="431">
                  <c:v>16.908199999999955</c:v>
                </c:pt>
                <c:pt idx="432">
                  <c:v>16.908299999999954</c:v>
                </c:pt>
                <c:pt idx="433">
                  <c:v>16.908399999999954</c:v>
                </c:pt>
                <c:pt idx="434">
                  <c:v>16.908499999999954</c:v>
                </c:pt>
                <c:pt idx="435">
                  <c:v>16.908599999999954</c:v>
                </c:pt>
                <c:pt idx="436">
                  <c:v>16.908699999999953</c:v>
                </c:pt>
                <c:pt idx="437">
                  <c:v>16.908799999999953</c:v>
                </c:pt>
                <c:pt idx="438">
                  <c:v>16.908899999999953</c:v>
                </c:pt>
                <c:pt idx="439">
                  <c:v>16.908999999999953</c:v>
                </c:pt>
                <c:pt idx="440">
                  <c:v>16.909099999999953</c:v>
                </c:pt>
                <c:pt idx="441">
                  <c:v>16.909199999999952</c:v>
                </c:pt>
                <c:pt idx="442">
                  <c:v>16.909299999999952</c:v>
                </c:pt>
                <c:pt idx="443">
                  <c:v>16.909399999999952</c:v>
                </c:pt>
                <c:pt idx="444">
                  <c:v>16.909499999999952</c:v>
                </c:pt>
                <c:pt idx="445">
                  <c:v>16.909599999999951</c:v>
                </c:pt>
                <c:pt idx="446">
                  <c:v>16.909699999999951</c:v>
                </c:pt>
                <c:pt idx="447">
                  <c:v>16.909799999999951</c:v>
                </c:pt>
                <c:pt idx="448">
                  <c:v>16.909899999999951</c:v>
                </c:pt>
                <c:pt idx="449">
                  <c:v>16.90999999999995</c:v>
                </c:pt>
                <c:pt idx="450">
                  <c:v>16.91009999999995</c:v>
                </c:pt>
                <c:pt idx="451">
                  <c:v>16.91019999999995</c:v>
                </c:pt>
                <c:pt idx="452">
                  <c:v>16.91029999999995</c:v>
                </c:pt>
                <c:pt idx="453">
                  <c:v>16.910399999999949</c:v>
                </c:pt>
                <c:pt idx="454">
                  <c:v>16.910499999999949</c:v>
                </c:pt>
                <c:pt idx="455">
                  <c:v>16.910599999999949</c:v>
                </c:pt>
                <c:pt idx="456">
                  <c:v>16.910699999999949</c:v>
                </c:pt>
                <c:pt idx="457">
                  <c:v>16.910799999999949</c:v>
                </c:pt>
                <c:pt idx="458">
                  <c:v>16.910899999999948</c:v>
                </c:pt>
                <c:pt idx="459">
                  <c:v>16.910999999999948</c:v>
                </c:pt>
                <c:pt idx="460">
                  <c:v>16.911099999999948</c:v>
                </c:pt>
                <c:pt idx="461">
                  <c:v>16.911199999999948</c:v>
                </c:pt>
                <c:pt idx="462">
                  <c:v>16.911299999999947</c:v>
                </c:pt>
                <c:pt idx="463">
                  <c:v>16.911399999999947</c:v>
                </c:pt>
                <c:pt idx="464">
                  <c:v>16.911499999999947</c:v>
                </c:pt>
                <c:pt idx="465">
                  <c:v>16.911599999999947</c:v>
                </c:pt>
                <c:pt idx="466">
                  <c:v>16.911699999999946</c:v>
                </c:pt>
                <c:pt idx="467">
                  <c:v>16.911799999999946</c:v>
                </c:pt>
                <c:pt idx="468">
                  <c:v>16.911899999999946</c:v>
                </c:pt>
                <c:pt idx="469">
                  <c:v>16.911999999999946</c:v>
                </c:pt>
                <c:pt idx="470">
                  <c:v>16.912099999999946</c:v>
                </c:pt>
                <c:pt idx="471">
                  <c:v>16.912199999999945</c:v>
                </c:pt>
                <c:pt idx="472">
                  <c:v>16.912299999999945</c:v>
                </c:pt>
                <c:pt idx="473">
                  <c:v>16.912399999999945</c:v>
                </c:pt>
                <c:pt idx="474">
                  <c:v>16.912499999999945</c:v>
                </c:pt>
                <c:pt idx="475">
                  <c:v>16.912599999999944</c:v>
                </c:pt>
                <c:pt idx="476">
                  <c:v>16.912699999999944</c:v>
                </c:pt>
                <c:pt idx="477">
                  <c:v>16.912799999999944</c:v>
                </c:pt>
                <c:pt idx="478">
                  <c:v>16.912899999999944</c:v>
                </c:pt>
                <c:pt idx="479">
                  <c:v>16.912999999999943</c:v>
                </c:pt>
                <c:pt idx="480">
                  <c:v>16.913099999999943</c:v>
                </c:pt>
                <c:pt idx="481">
                  <c:v>16.913199999999943</c:v>
                </c:pt>
                <c:pt idx="482">
                  <c:v>16.913299999999943</c:v>
                </c:pt>
                <c:pt idx="483">
                  <c:v>16.913399999999942</c:v>
                </c:pt>
                <c:pt idx="484">
                  <c:v>16.913499999999942</c:v>
                </c:pt>
                <c:pt idx="485">
                  <c:v>16.913599999999942</c:v>
                </c:pt>
                <c:pt idx="486">
                  <c:v>16.913699999999942</c:v>
                </c:pt>
                <c:pt idx="487">
                  <c:v>16.913799999999942</c:v>
                </c:pt>
                <c:pt idx="488">
                  <c:v>16.913899999999941</c:v>
                </c:pt>
                <c:pt idx="489">
                  <c:v>16.913999999999941</c:v>
                </c:pt>
                <c:pt idx="490">
                  <c:v>16.914099999999941</c:v>
                </c:pt>
                <c:pt idx="491">
                  <c:v>16.914199999999941</c:v>
                </c:pt>
                <c:pt idx="492">
                  <c:v>16.91429999999994</c:v>
                </c:pt>
                <c:pt idx="493">
                  <c:v>16.91439999999994</c:v>
                </c:pt>
                <c:pt idx="494">
                  <c:v>16.91449999999994</c:v>
                </c:pt>
                <c:pt idx="495">
                  <c:v>16.91459999999994</c:v>
                </c:pt>
                <c:pt idx="496">
                  <c:v>16.914699999999939</c:v>
                </c:pt>
                <c:pt idx="497">
                  <c:v>16.914799999999939</c:v>
                </c:pt>
                <c:pt idx="498">
                  <c:v>16.914899999999939</c:v>
                </c:pt>
                <c:pt idx="499">
                  <c:v>16.914999999999939</c:v>
                </c:pt>
                <c:pt idx="500">
                  <c:v>16.915099999999939</c:v>
                </c:pt>
                <c:pt idx="501">
                  <c:v>16.915199999999938</c:v>
                </c:pt>
                <c:pt idx="502">
                  <c:v>16.915299999999938</c:v>
                </c:pt>
                <c:pt idx="503">
                  <c:v>16.915399999999938</c:v>
                </c:pt>
                <c:pt idx="504">
                  <c:v>16.915499999999938</c:v>
                </c:pt>
                <c:pt idx="505">
                  <c:v>16.915599999999937</c:v>
                </c:pt>
                <c:pt idx="506">
                  <c:v>16.915699999999937</c:v>
                </c:pt>
                <c:pt idx="507">
                  <c:v>16.915799999999937</c:v>
                </c:pt>
                <c:pt idx="508">
                  <c:v>16.915899999999937</c:v>
                </c:pt>
                <c:pt idx="509">
                  <c:v>16.915999999999936</c:v>
                </c:pt>
                <c:pt idx="510">
                  <c:v>16.916099999999936</c:v>
                </c:pt>
                <c:pt idx="511">
                  <c:v>16.916199999999936</c:v>
                </c:pt>
                <c:pt idx="512">
                  <c:v>16.916299999999936</c:v>
                </c:pt>
                <c:pt idx="513">
                  <c:v>16.916399999999935</c:v>
                </c:pt>
                <c:pt idx="514">
                  <c:v>16.916499999999935</c:v>
                </c:pt>
                <c:pt idx="515">
                  <c:v>16.916599999999935</c:v>
                </c:pt>
                <c:pt idx="516">
                  <c:v>16.916699999999935</c:v>
                </c:pt>
                <c:pt idx="517">
                  <c:v>16.916799999999935</c:v>
                </c:pt>
                <c:pt idx="518">
                  <c:v>16.916899999999934</c:v>
                </c:pt>
                <c:pt idx="519">
                  <c:v>16.916999999999934</c:v>
                </c:pt>
                <c:pt idx="520">
                  <c:v>16.917099999999934</c:v>
                </c:pt>
                <c:pt idx="521">
                  <c:v>16.917199999999934</c:v>
                </c:pt>
                <c:pt idx="522">
                  <c:v>16.917299999999933</c:v>
                </c:pt>
                <c:pt idx="523">
                  <c:v>16.917399999999933</c:v>
                </c:pt>
                <c:pt idx="524">
                  <c:v>16.917499999999933</c:v>
                </c:pt>
                <c:pt idx="525">
                  <c:v>16.917599999999933</c:v>
                </c:pt>
                <c:pt idx="526">
                  <c:v>16.917699999999932</c:v>
                </c:pt>
                <c:pt idx="527">
                  <c:v>16.917799999999932</c:v>
                </c:pt>
                <c:pt idx="528">
                  <c:v>16.917899999999932</c:v>
                </c:pt>
                <c:pt idx="529">
                  <c:v>16.917999999999932</c:v>
                </c:pt>
                <c:pt idx="530">
                  <c:v>16.918099999999932</c:v>
                </c:pt>
                <c:pt idx="531">
                  <c:v>16.918199999999931</c:v>
                </c:pt>
                <c:pt idx="532">
                  <c:v>16.918299999999931</c:v>
                </c:pt>
                <c:pt idx="533">
                  <c:v>16.918399999999931</c:v>
                </c:pt>
                <c:pt idx="534">
                  <c:v>16.918499999999931</c:v>
                </c:pt>
                <c:pt idx="535">
                  <c:v>16.91859999999993</c:v>
                </c:pt>
                <c:pt idx="536">
                  <c:v>16.91869999999993</c:v>
                </c:pt>
                <c:pt idx="537">
                  <c:v>16.91879999999993</c:v>
                </c:pt>
                <c:pt idx="538">
                  <c:v>16.91889999999993</c:v>
                </c:pt>
                <c:pt idx="539">
                  <c:v>16.918999999999929</c:v>
                </c:pt>
                <c:pt idx="540">
                  <c:v>16.919099999999929</c:v>
                </c:pt>
                <c:pt idx="541">
                  <c:v>16.919199999999929</c:v>
                </c:pt>
                <c:pt idx="542">
                  <c:v>16.919299999999929</c:v>
                </c:pt>
                <c:pt idx="543">
                  <c:v>16.919399999999928</c:v>
                </c:pt>
                <c:pt idx="544">
                  <c:v>16.919499999999928</c:v>
                </c:pt>
                <c:pt idx="545">
                  <c:v>16.919599999999928</c:v>
                </c:pt>
                <c:pt idx="546">
                  <c:v>16.919699999999928</c:v>
                </c:pt>
                <c:pt idx="547">
                  <c:v>16.919799999999928</c:v>
                </c:pt>
                <c:pt idx="548">
                  <c:v>16.919899999999927</c:v>
                </c:pt>
                <c:pt idx="549">
                  <c:v>16.919999999999927</c:v>
                </c:pt>
                <c:pt idx="550">
                  <c:v>16.920099999999927</c:v>
                </c:pt>
                <c:pt idx="551">
                  <c:v>16.920199999999927</c:v>
                </c:pt>
                <c:pt idx="552">
                  <c:v>16.920299999999926</c:v>
                </c:pt>
                <c:pt idx="553">
                  <c:v>16.920399999999926</c:v>
                </c:pt>
                <c:pt idx="554">
                  <c:v>16.920499999999926</c:v>
                </c:pt>
                <c:pt idx="555">
                  <c:v>16.920599999999926</c:v>
                </c:pt>
                <c:pt idx="556">
                  <c:v>16.920699999999925</c:v>
                </c:pt>
                <c:pt idx="557">
                  <c:v>16.920799999999925</c:v>
                </c:pt>
                <c:pt idx="558">
                  <c:v>16.920899999999925</c:v>
                </c:pt>
                <c:pt idx="559">
                  <c:v>16.920999999999925</c:v>
                </c:pt>
                <c:pt idx="560">
                  <c:v>16.921099999999925</c:v>
                </c:pt>
                <c:pt idx="561">
                  <c:v>16.921199999999924</c:v>
                </c:pt>
                <c:pt idx="562">
                  <c:v>16.921299999999924</c:v>
                </c:pt>
                <c:pt idx="563">
                  <c:v>16.921399999999924</c:v>
                </c:pt>
                <c:pt idx="564">
                  <c:v>16.921499999999924</c:v>
                </c:pt>
                <c:pt idx="565">
                  <c:v>16.921599999999923</c:v>
                </c:pt>
                <c:pt idx="566">
                  <c:v>16.921699999999923</c:v>
                </c:pt>
                <c:pt idx="567">
                  <c:v>16.921799999999923</c:v>
                </c:pt>
                <c:pt idx="568">
                  <c:v>16.921899999999923</c:v>
                </c:pt>
                <c:pt idx="569">
                  <c:v>16.921999999999922</c:v>
                </c:pt>
                <c:pt idx="570">
                  <c:v>16.922099999999922</c:v>
                </c:pt>
                <c:pt idx="571">
                  <c:v>16.922199999999922</c:v>
                </c:pt>
                <c:pt idx="572">
                  <c:v>16.922299999999922</c:v>
                </c:pt>
                <c:pt idx="573">
                  <c:v>16.922399999999922</c:v>
                </c:pt>
                <c:pt idx="574">
                  <c:v>16.922499999999921</c:v>
                </c:pt>
                <c:pt idx="575">
                  <c:v>16.922599999999921</c:v>
                </c:pt>
                <c:pt idx="576">
                  <c:v>16.922699999999921</c:v>
                </c:pt>
                <c:pt idx="577">
                  <c:v>16.922799999999921</c:v>
                </c:pt>
                <c:pt idx="578">
                  <c:v>16.92289999999992</c:v>
                </c:pt>
                <c:pt idx="579">
                  <c:v>16.92299999999992</c:v>
                </c:pt>
                <c:pt idx="580">
                  <c:v>16.92309999999992</c:v>
                </c:pt>
                <c:pt idx="581">
                  <c:v>16.92319999999992</c:v>
                </c:pt>
                <c:pt idx="582">
                  <c:v>16.923299999999919</c:v>
                </c:pt>
                <c:pt idx="583">
                  <c:v>16.923399999999919</c:v>
                </c:pt>
                <c:pt idx="584">
                  <c:v>16.923499999999919</c:v>
                </c:pt>
                <c:pt idx="585">
                  <c:v>16.923599999999919</c:v>
                </c:pt>
                <c:pt idx="586">
                  <c:v>16.923699999999918</c:v>
                </c:pt>
                <c:pt idx="587">
                  <c:v>16.923799999999918</c:v>
                </c:pt>
                <c:pt idx="588">
                  <c:v>16.923899999999918</c:v>
                </c:pt>
                <c:pt idx="589">
                  <c:v>16.923999999999918</c:v>
                </c:pt>
                <c:pt idx="590">
                  <c:v>16.924099999999918</c:v>
                </c:pt>
                <c:pt idx="591">
                  <c:v>16.924199999999917</c:v>
                </c:pt>
                <c:pt idx="592">
                  <c:v>16.924299999999917</c:v>
                </c:pt>
                <c:pt idx="593">
                  <c:v>16.924399999999917</c:v>
                </c:pt>
                <c:pt idx="594">
                  <c:v>16.924499999999917</c:v>
                </c:pt>
                <c:pt idx="595">
                  <c:v>16.924599999999916</c:v>
                </c:pt>
                <c:pt idx="596">
                  <c:v>16.924699999999916</c:v>
                </c:pt>
                <c:pt idx="597">
                  <c:v>16.924799999999916</c:v>
                </c:pt>
                <c:pt idx="598">
                  <c:v>16.924899999999916</c:v>
                </c:pt>
                <c:pt idx="599">
                  <c:v>16.924999999999915</c:v>
                </c:pt>
                <c:pt idx="600">
                  <c:v>16.925099999999915</c:v>
                </c:pt>
                <c:pt idx="601">
                  <c:v>16.925199999999915</c:v>
                </c:pt>
                <c:pt idx="602">
                  <c:v>16.925299999999915</c:v>
                </c:pt>
                <c:pt idx="603">
                  <c:v>16.925399999999915</c:v>
                </c:pt>
                <c:pt idx="604">
                  <c:v>16.925499999999914</c:v>
                </c:pt>
                <c:pt idx="605">
                  <c:v>16.925599999999914</c:v>
                </c:pt>
                <c:pt idx="606">
                  <c:v>16.925699999999914</c:v>
                </c:pt>
                <c:pt idx="607">
                  <c:v>16.925799999999914</c:v>
                </c:pt>
                <c:pt idx="608">
                  <c:v>16.925899999999913</c:v>
                </c:pt>
                <c:pt idx="609">
                  <c:v>16.925999999999913</c:v>
                </c:pt>
                <c:pt idx="610">
                  <c:v>16.926099999999913</c:v>
                </c:pt>
                <c:pt idx="611">
                  <c:v>16.926199999999913</c:v>
                </c:pt>
                <c:pt idx="612">
                  <c:v>16.926299999999912</c:v>
                </c:pt>
                <c:pt idx="613">
                  <c:v>16.926399999999912</c:v>
                </c:pt>
                <c:pt idx="614">
                  <c:v>16.926499999999912</c:v>
                </c:pt>
                <c:pt idx="615">
                  <c:v>16.926599999999912</c:v>
                </c:pt>
                <c:pt idx="616">
                  <c:v>16.926699999999911</c:v>
                </c:pt>
                <c:pt idx="617">
                  <c:v>16.926799999999911</c:v>
                </c:pt>
                <c:pt idx="618">
                  <c:v>16.926899999999911</c:v>
                </c:pt>
                <c:pt idx="619">
                  <c:v>16.926999999999911</c:v>
                </c:pt>
                <c:pt idx="620">
                  <c:v>16.927099999999911</c:v>
                </c:pt>
                <c:pt idx="621">
                  <c:v>16.92719999999991</c:v>
                </c:pt>
                <c:pt idx="622">
                  <c:v>16.92729999999991</c:v>
                </c:pt>
                <c:pt idx="623">
                  <c:v>16.92739999999991</c:v>
                </c:pt>
                <c:pt idx="624">
                  <c:v>16.92749999999991</c:v>
                </c:pt>
                <c:pt idx="625">
                  <c:v>16.927599999999909</c:v>
                </c:pt>
                <c:pt idx="626">
                  <c:v>16.927699999999909</c:v>
                </c:pt>
                <c:pt idx="627">
                  <c:v>16.927799999999909</c:v>
                </c:pt>
                <c:pt idx="628">
                  <c:v>16.927899999999909</c:v>
                </c:pt>
                <c:pt idx="629">
                  <c:v>16.927999999999908</c:v>
                </c:pt>
                <c:pt idx="630">
                  <c:v>16.928099999999908</c:v>
                </c:pt>
                <c:pt idx="631">
                  <c:v>16.928199999999908</c:v>
                </c:pt>
                <c:pt idx="632">
                  <c:v>16.928299999999908</c:v>
                </c:pt>
                <c:pt idx="633">
                  <c:v>16.928399999999908</c:v>
                </c:pt>
                <c:pt idx="634">
                  <c:v>16.928499999999907</c:v>
                </c:pt>
                <c:pt idx="635">
                  <c:v>16.928599999999907</c:v>
                </c:pt>
                <c:pt idx="636">
                  <c:v>16.928699999999907</c:v>
                </c:pt>
                <c:pt idx="637">
                  <c:v>16.928799999999907</c:v>
                </c:pt>
                <c:pt idx="638">
                  <c:v>16.928899999999906</c:v>
                </c:pt>
                <c:pt idx="639">
                  <c:v>16.928999999999906</c:v>
                </c:pt>
                <c:pt idx="640">
                  <c:v>16.929099999999906</c:v>
                </c:pt>
                <c:pt idx="641">
                  <c:v>16.929199999999906</c:v>
                </c:pt>
                <c:pt idx="642">
                  <c:v>16.929299999999905</c:v>
                </c:pt>
                <c:pt idx="643">
                  <c:v>16.929399999999905</c:v>
                </c:pt>
                <c:pt idx="644">
                  <c:v>16.929499999999905</c:v>
                </c:pt>
                <c:pt idx="645">
                  <c:v>16.929599999999905</c:v>
                </c:pt>
                <c:pt idx="646">
                  <c:v>16.929699999999904</c:v>
                </c:pt>
                <c:pt idx="647">
                  <c:v>16.929799999999904</c:v>
                </c:pt>
                <c:pt idx="648">
                  <c:v>16.929899999999904</c:v>
                </c:pt>
                <c:pt idx="649">
                  <c:v>16.929999999999904</c:v>
                </c:pt>
                <c:pt idx="650">
                  <c:v>16.930099999999904</c:v>
                </c:pt>
                <c:pt idx="651">
                  <c:v>16.930199999999903</c:v>
                </c:pt>
                <c:pt idx="652">
                  <c:v>16.930299999999903</c:v>
                </c:pt>
                <c:pt idx="653">
                  <c:v>16.930399999999903</c:v>
                </c:pt>
                <c:pt idx="654">
                  <c:v>16.930499999999903</c:v>
                </c:pt>
                <c:pt idx="655">
                  <c:v>16.930599999999902</c:v>
                </c:pt>
                <c:pt idx="656">
                  <c:v>16.930699999999902</c:v>
                </c:pt>
                <c:pt idx="657">
                  <c:v>16.930799999999902</c:v>
                </c:pt>
                <c:pt idx="658">
                  <c:v>16.930899999999902</c:v>
                </c:pt>
                <c:pt idx="659">
                  <c:v>16.930999999999901</c:v>
                </c:pt>
                <c:pt idx="660">
                  <c:v>16.931099999999901</c:v>
                </c:pt>
                <c:pt idx="661">
                  <c:v>16.931199999999901</c:v>
                </c:pt>
                <c:pt idx="662">
                  <c:v>16.931299999999901</c:v>
                </c:pt>
                <c:pt idx="663">
                  <c:v>16.931399999999901</c:v>
                </c:pt>
                <c:pt idx="664">
                  <c:v>16.9314999999999</c:v>
                </c:pt>
                <c:pt idx="665">
                  <c:v>16.9315999999999</c:v>
                </c:pt>
                <c:pt idx="666">
                  <c:v>16.9316999999999</c:v>
                </c:pt>
                <c:pt idx="667">
                  <c:v>16.9317999999999</c:v>
                </c:pt>
                <c:pt idx="668">
                  <c:v>16.931899999999899</c:v>
                </c:pt>
                <c:pt idx="669">
                  <c:v>16.931999999999899</c:v>
                </c:pt>
                <c:pt idx="670">
                  <c:v>16.932099999999899</c:v>
                </c:pt>
                <c:pt idx="671">
                  <c:v>16.932199999999899</c:v>
                </c:pt>
                <c:pt idx="672">
                  <c:v>16.932299999999898</c:v>
                </c:pt>
                <c:pt idx="673">
                  <c:v>16.932399999999898</c:v>
                </c:pt>
                <c:pt idx="674">
                  <c:v>16.932499999999898</c:v>
                </c:pt>
                <c:pt idx="675">
                  <c:v>16.932599999999898</c:v>
                </c:pt>
                <c:pt idx="676">
                  <c:v>16.932699999999897</c:v>
                </c:pt>
                <c:pt idx="677">
                  <c:v>16.932799999999897</c:v>
                </c:pt>
                <c:pt idx="678">
                  <c:v>16.932899999999897</c:v>
                </c:pt>
                <c:pt idx="679">
                  <c:v>16.932999999999897</c:v>
                </c:pt>
                <c:pt idx="680">
                  <c:v>16.933099999999897</c:v>
                </c:pt>
                <c:pt idx="681">
                  <c:v>16.933199999999896</c:v>
                </c:pt>
                <c:pt idx="682">
                  <c:v>16.933299999999896</c:v>
                </c:pt>
                <c:pt idx="683">
                  <c:v>16.933399999999896</c:v>
                </c:pt>
                <c:pt idx="684">
                  <c:v>16.933499999999896</c:v>
                </c:pt>
                <c:pt idx="685">
                  <c:v>16.933599999999895</c:v>
                </c:pt>
                <c:pt idx="686">
                  <c:v>16.933699999999895</c:v>
                </c:pt>
                <c:pt idx="687">
                  <c:v>16.933799999999895</c:v>
                </c:pt>
                <c:pt idx="688">
                  <c:v>16.933899999999895</c:v>
                </c:pt>
                <c:pt idx="689">
                  <c:v>16.933999999999894</c:v>
                </c:pt>
                <c:pt idx="690">
                  <c:v>16.934099999999894</c:v>
                </c:pt>
                <c:pt idx="691">
                  <c:v>16.934199999999894</c:v>
                </c:pt>
                <c:pt idx="692">
                  <c:v>16.934299999999894</c:v>
                </c:pt>
                <c:pt idx="693">
                  <c:v>16.934399999999894</c:v>
                </c:pt>
                <c:pt idx="694">
                  <c:v>16.934499999999893</c:v>
                </c:pt>
                <c:pt idx="695">
                  <c:v>16.934599999999893</c:v>
                </c:pt>
                <c:pt idx="696">
                  <c:v>16.934699999999893</c:v>
                </c:pt>
                <c:pt idx="697">
                  <c:v>16.934799999999893</c:v>
                </c:pt>
                <c:pt idx="698">
                  <c:v>16.934899999999892</c:v>
                </c:pt>
                <c:pt idx="699">
                  <c:v>16.934999999999892</c:v>
                </c:pt>
                <c:pt idx="700">
                  <c:v>16.935099999999892</c:v>
                </c:pt>
                <c:pt idx="701">
                  <c:v>16.935199999999892</c:v>
                </c:pt>
                <c:pt idx="702">
                  <c:v>16.935299999999891</c:v>
                </c:pt>
                <c:pt idx="703">
                  <c:v>16.935399999999891</c:v>
                </c:pt>
                <c:pt idx="704">
                  <c:v>16.935499999999891</c:v>
                </c:pt>
                <c:pt idx="705">
                  <c:v>16.935599999999891</c:v>
                </c:pt>
                <c:pt idx="706">
                  <c:v>16.935699999999891</c:v>
                </c:pt>
                <c:pt idx="707">
                  <c:v>16.93579999999989</c:v>
                </c:pt>
                <c:pt idx="708">
                  <c:v>16.93589999999989</c:v>
                </c:pt>
                <c:pt idx="709">
                  <c:v>16.93599999999989</c:v>
                </c:pt>
                <c:pt idx="710">
                  <c:v>16.93609999999989</c:v>
                </c:pt>
                <c:pt idx="711">
                  <c:v>16.936199999999889</c:v>
                </c:pt>
                <c:pt idx="712">
                  <c:v>16.936299999999889</c:v>
                </c:pt>
                <c:pt idx="713">
                  <c:v>16.936399999999889</c:v>
                </c:pt>
                <c:pt idx="714">
                  <c:v>16.936499999999889</c:v>
                </c:pt>
                <c:pt idx="715">
                  <c:v>16.936599999999888</c:v>
                </c:pt>
                <c:pt idx="716">
                  <c:v>16.936699999999888</c:v>
                </c:pt>
                <c:pt idx="717">
                  <c:v>16.936799999999888</c:v>
                </c:pt>
                <c:pt idx="718">
                  <c:v>16.936899999999888</c:v>
                </c:pt>
                <c:pt idx="719">
                  <c:v>16.936999999999887</c:v>
                </c:pt>
                <c:pt idx="720">
                  <c:v>16.937099999999887</c:v>
                </c:pt>
                <c:pt idx="721">
                  <c:v>16.937199999999887</c:v>
                </c:pt>
                <c:pt idx="722">
                  <c:v>16.937299999999887</c:v>
                </c:pt>
                <c:pt idx="723">
                  <c:v>16.937399999999887</c:v>
                </c:pt>
                <c:pt idx="724">
                  <c:v>16.937499999999886</c:v>
                </c:pt>
                <c:pt idx="725">
                  <c:v>16.937599999999886</c:v>
                </c:pt>
                <c:pt idx="726">
                  <c:v>16.937699999999886</c:v>
                </c:pt>
                <c:pt idx="727">
                  <c:v>16.937799999999886</c:v>
                </c:pt>
                <c:pt idx="728">
                  <c:v>16.937899999999885</c:v>
                </c:pt>
                <c:pt idx="729">
                  <c:v>16.937999999999885</c:v>
                </c:pt>
                <c:pt idx="730">
                  <c:v>16.938099999999885</c:v>
                </c:pt>
                <c:pt idx="731">
                  <c:v>16.938199999999885</c:v>
                </c:pt>
                <c:pt idx="732">
                  <c:v>16.938299999999884</c:v>
                </c:pt>
                <c:pt idx="733">
                  <c:v>16.938399999999884</c:v>
                </c:pt>
                <c:pt idx="734">
                  <c:v>16.938499999999884</c:v>
                </c:pt>
                <c:pt idx="735">
                  <c:v>16.938599999999884</c:v>
                </c:pt>
                <c:pt idx="736">
                  <c:v>16.938699999999884</c:v>
                </c:pt>
                <c:pt idx="737">
                  <c:v>16.938799999999883</c:v>
                </c:pt>
                <c:pt idx="738">
                  <c:v>16.938899999999883</c:v>
                </c:pt>
                <c:pt idx="739">
                  <c:v>16.938999999999883</c:v>
                </c:pt>
                <c:pt idx="740">
                  <c:v>16.939099999999883</c:v>
                </c:pt>
                <c:pt idx="741">
                  <c:v>16.939199999999882</c:v>
                </c:pt>
                <c:pt idx="742">
                  <c:v>16.939299999999882</c:v>
                </c:pt>
                <c:pt idx="743">
                  <c:v>16.939399999999882</c:v>
                </c:pt>
                <c:pt idx="744">
                  <c:v>16.939499999999882</c:v>
                </c:pt>
                <c:pt idx="745">
                  <c:v>16.939599999999881</c:v>
                </c:pt>
                <c:pt idx="746">
                  <c:v>16.939699999999881</c:v>
                </c:pt>
                <c:pt idx="747">
                  <c:v>16.939799999999881</c:v>
                </c:pt>
                <c:pt idx="748">
                  <c:v>16.939899999999881</c:v>
                </c:pt>
                <c:pt idx="749">
                  <c:v>16.93999999999988</c:v>
                </c:pt>
                <c:pt idx="750">
                  <c:v>16.94009999999988</c:v>
                </c:pt>
                <c:pt idx="751">
                  <c:v>16.94019999999988</c:v>
                </c:pt>
                <c:pt idx="752">
                  <c:v>16.94029999999988</c:v>
                </c:pt>
                <c:pt idx="753">
                  <c:v>16.94039999999988</c:v>
                </c:pt>
                <c:pt idx="754">
                  <c:v>16.940499999999879</c:v>
                </c:pt>
                <c:pt idx="755">
                  <c:v>16.940599999999879</c:v>
                </c:pt>
                <c:pt idx="756">
                  <c:v>16.940699999999879</c:v>
                </c:pt>
                <c:pt idx="757">
                  <c:v>16.940799999999879</c:v>
                </c:pt>
                <c:pt idx="758">
                  <c:v>16.940899999999878</c:v>
                </c:pt>
                <c:pt idx="759">
                  <c:v>16.940999999999878</c:v>
                </c:pt>
                <c:pt idx="760">
                  <c:v>16.941099999999878</c:v>
                </c:pt>
                <c:pt idx="761">
                  <c:v>16.941199999999878</c:v>
                </c:pt>
                <c:pt idx="762">
                  <c:v>16.941299999999877</c:v>
                </c:pt>
                <c:pt idx="763">
                  <c:v>16.941399999999877</c:v>
                </c:pt>
                <c:pt idx="764">
                  <c:v>16.941499999999877</c:v>
                </c:pt>
                <c:pt idx="765">
                  <c:v>16.941599999999877</c:v>
                </c:pt>
                <c:pt idx="766">
                  <c:v>16.941699999999877</c:v>
                </c:pt>
                <c:pt idx="767">
                  <c:v>16.941799999999876</c:v>
                </c:pt>
                <c:pt idx="768">
                  <c:v>16.941899999999876</c:v>
                </c:pt>
                <c:pt idx="769">
                  <c:v>16.941999999999876</c:v>
                </c:pt>
                <c:pt idx="770">
                  <c:v>16.942099999999876</c:v>
                </c:pt>
                <c:pt idx="771">
                  <c:v>16.942199999999875</c:v>
                </c:pt>
                <c:pt idx="772">
                  <c:v>16.942299999999875</c:v>
                </c:pt>
                <c:pt idx="773">
                  <c:v>16.942399999999875</c:v>
                </c:pt>
                <c:pt idx="774">
                  <c:v>16.942499999999875</c:v>
                </c:pt>
                <c:pt idx="775">
                  <c:v>16.942599999999874</c:v>
                </c:pt>
                <c:pt idx="776">
                  <c:v>16.942699999999874</c:v>
                </c:pt>
                <c:pt idx="777">
                  <c:v>16.942799999999874</c:v>
                </c:pt>
                <c:pt idx="778">
                  <c:v>16.942899999999874</c:v>
                </c:pt>
                <c:pt idx="779">
                  <c:v>16.942999999999873</c:v>
                </c:pt>
                <c:pt idx="780">
                  <c:v>16.943099999999873</c:v>
                </c:pt>
                <c:pt idx="781">
                  <c:v>16.943199999999873</c:v>
                </c:pt>
                <c:pt idx="782">
                  <c:v>16.943299999999873</c:v>
                </c:pt>
                <c:pt idx="783">
                  <c:v>16.943399999999873</c:v>
                </c:pt>
                <c:pt idx="784">
                  <c:v>16.943499999999872</c:v>
                </c:pt>
                <c:pt idx="785">
                  <c:v>16.943599999999872</c:v>
                </c:pt>
                <c:pt idx="786">
                  <c:v>16.943699999999872</c:v>
                </c:pt>
                <c:pt idx="787">
                  <c:v>16.943799999999872</c:v>
                </c:pt>
                <c:pt idx="788">
                  <c:v>16.943899999999871</c:v>
                </c:pt>
                <c:pt idx="789">
                  <c:v>16.943999999999871</c:v>
                </c:pt>
                <c:pt idx="790">
                  <c:v>16.944099999999871</c:v>
                </c:pt>
                <c:pt idx="791">
                  <c:v>16.944199999999871</c:v>
                </c:pt>
                <c:pt idx="792">
                  <c:v>16.94429999999987</c:v>
                </c:pt>
                <c:pt idx="793">
                  <c:v>16.94439999999987</c:v>
                </c:pt>
                <c:pt idx="794">
                  <c:v>16.94449999999987</c:v>
                </c:pt>
                <c:pt idx="795">
                  <c:v>16.94459999999987</c:v>
                </c:pt>
                <c:pt idx="796">
                  <c:v>16.94469999999987</c:v>
                </c:pt>
                <c:pt idx="797">
                  <c:v>16.944799999999869</c:v>
                </c:pt>
                <c:pt idx="798">
                  <c:v>16.944899999999869</c:v>
                </c:pt>
                <c:pt idx="799">
                  <c:v>16.944999999999869</c:v>
                </c:pt>
                <c:pt idx="800">
                  <c:v>16.945099999999869</c:v>
                </c:pt>
                <c:pt idx="801">
                  <c:v>16.945199999999868</c:v>
                </c:pt>
                <c:pt idx="802">
                  <c:v>16.945299999999868</c:v>
                </c:pt>
                <c:pt idx="803">
                  <c:v>16.945399999999868</c:v>
                </c:pt>
                <c:pt idx="804">
                  <c:v>16.945499999999868</c:v>
                </c:pt>
                <c:pt idx="805">
                  <c:v>16.945599999999867</c:v>
                </c:pt>
                <c:pt idx="806">
                  <c:v>16.945699999999867</c:v>
                </c:pt>
                <c:pt idx="807">
                  <c:v>16.945799999999867</c:v>
                </c:pt>
                <c:pt idx="808">
                  <c:v>16.945899999999867</c:v>
                </c:pt>
                <c:pt idx="809">
                  <c:v>16.945999999999867</c:v>
                </c:pt>
                <c:pt idx="810">
                  <c:v>16.946099999999866</c:v>
                </c:pt>
                <c:pt idx="811">
                  <c:v>16.946199999999866</c:v>
                </c:pt>
                <c:pt idx="812">
                  <c:v>16.946299999999866</c:v>
                </c:pt>
                <c:pt idx="813">
                  <c:v>16.946399999999866</c:v>
                </c:pt>
                <c:pt idx="814">
                  <c:v>16.946499999999865</c:v>
                </c:pt>
                <c:pt idx="815">
                  <c:v>16.946599999999865</c:v>
                </c:pt>
                <c:pt idx="816">
                  <c:v>16.946699999999865</c:v>
                </c:pt>
                <c:pt idx="817">
                  <c:v>16.946799999999865</c:v>
                </c:pt>
                <c:pt idx="818">
                  <c:v>16.946899999999864</c:v>
                </c:pt>
                <c:pt idx="819">
                  <c:v>16.946999999999864</c:v>
                </c:pt>
                <c:pt idx="820">
                  <c:v>16.947099999999864</c:v>
                </c:pt>
                <c:pt idx="821">
                  <c:v>16.947199999999864</c:v>
                </c:pt>
                <c:pt idx="822">
                  <c:v>16.947299999999863</c:v>
                </c:pt>
                <c:pt idx="823">
                  <c:v>16.947399999999863</c:v>
                </c:pt>
                <c:pt idx="824">
                  <c:v>16.947499999999863</c:v>
                </c:pt>
                <c:pt idx="825">
                  <c:v>16.947599999999863</c:v>
                </c:pt>
                <c:pt idx="826">
                  <c:v>16.947699999999863</c:v>
                </c:pt>
                <c:pt idx="827">
                  <c:v>16.947799999999862</c:v>
                </c:pt>
                <c:pt idx="828">
                  <c:v>16.947899999999862</c:v>
                </c:pt>
                <c:pt idx="829">
                  <c:v>16.947999999999862</c:v>
                </c:pt>
                <c:pt idx="830">
                  <c:v>16.948099999999862</c:v>
                </c:pt>
                <c:pt idx="831">
                  <c:v>16.948199999999861</c:v>
                </c:pt>
                <c:pt idx="832">
                  <c:v>16.948299999999861</c:v>
                </c:pt>
                <c:pt idx="833">
                  <c:v>16.948399999999861</c:v>
                </c:pt>
                <c:pt idx="834">
                  <c:v>16.948499999999861</c:v>
                </c:pt>
                <c:pt idx="835">
                  <c:v>16.94859999999986</c:v>
                </c:pt>
                <c:pt idx="836">
                  <c:v>16.94869999999986</c:v>
                </c:pt>
                <c:pt idx="837">
                  <c:v>16.94879999999986</c:v>
                </c:pt>
                <c:pt idx="838">
                  <c:v>16.94889999999986</c:v>
                </c:pt>
                <c:pt idx="839">
                  <c:v>16.94899999999986</c:v>
                </c:pt>
                <c:pt idx="840">
                  <c:v>16.949099999999859</c:v>
                </c:pt>
                <c:pt idx="841">
                  <c:v>16.949199999999859</c:v>
                </c:pt>
                <c:pt idx="842">
                  <c:v>16.949299999999859</c:v>
                </c:pt>
                <c:pt idx="843">
                  <c:v>16.949399999999859</c:v>
                </c:pt>
                <c:pt idx="844">
                  <c:v>16.949499999999858</c:v>
                </c:pt>
                <c:pt idx="845">
                  <c:v>16.949599999999858</c:v>
                </c:pt>
                <c:pt idx="846">
                  <c:v>16.949699999999858</c:v>
                </c:pt>
                <c:pt idx="847">
                  <c:v>16.949799999999858</c:v>
                </c:pt>
                <c:pt idx="848">
                  <c:v>16.949899999999857</c:v>
                </c:pt>
                <c:pt idx="849">
                  <c:v>16.949999999999857</c:v>
                </c:pt>
                <c:pt idx="850">
                  <c:v>16.950099999999857</c:v>
                </c:pt>
                <c:pt idx="851">
                  <c:v>16.950199999999857</c:v>
                </c:pt>
                <c:pt idx="852">
                  <c:v>16.950299999999856</c:v>
                </c:pt>
                <c:pt idx="853">
                  <c:v>16.950399999999856</c:v>
                </c:pt>
                <c:pt idx="854">
                  <c:v>16.950499999999856</c:v>
                </c:pt>
                <c:pt idx="855">
                  <c:v>16.950599999999856</c:v>
                </c:pt>
                <c:pt idx="856">
                  <c:v>16.950699999999856</c:v>
                </c:pt>
                <c:pt idx="857">
                  <c:v>16.950799999999855</c:v>
                </c:pt>
                <c:pt idx="858">
                  <c:v>16.950899999999855</c:v>
                </c:pt>
                <c:pt idx="859">
                  <c:v>16.950999999999855</c:v>
                </c:pt>
                <c:pt idx="860">
                  <c:v>16.951099999999855</c:v>
                </c:pt>
                <c:pt idx="861">
                  <c:v>16.951199999999854</c:v>
                </c:pt>
                <c:pt idx="862">
                  <c:v>16.951299999999854</c:v>
                </c:pt>
                <c:pt idx="863">
                  <c:v>16.951399999999854</c:v>
                </c:pt>
                <c:pt idx="864">
                  <c:v>16.951499999999854</c:v>
                </c:pt>
                <c:pt idx="865">
                  <c:v>16.951599999999853</c:v>
                </c:pt>
                <c:pt idx="866">
                  <c:v>16.951699999999853</c:v>
                </c:pt>
                <c:pt idx="867">
                  <c:v>16.951799999999853</c:v>
                </c:pt>
                <c:pt idx="868">
                  <c:v>16.951899999999853</c:v>
                </c:pt>
                <c:pt idx="869">
                  <c:v>16.951999999999853</c:v>
                </c:pt>
                <c:pt idx="870">
                  <c:v>16.952099999999852</c:v>
                </c:pt>
                <c:pt idx="871">
                  <c:v>16.952199999999852</c:v>
                </c:pt>
                <c:pt idx="872">
                  <c:v>16.952299999999852</c:v>
                </c:pt>
                <c:pt idx="873">
                  <c:v>16.952399999999852</c:v>
                </c:pt>
                <c:pt idx="874">
                  <c:v>16.952499999999851</c:v>
                </c:pt>
                <c:pt idx="875">
                  <c:v>16.952599999999851</c:v>
                </c:pt>
                <c:pt idx="876">
                  <c:v>16.952699999999851</c:v>
                </c:pt>
                <c:pt idx="877">
                  <c:v>16.952799999999851</c:v>
                </c:pt>
                <c:pt idx="878">
                  <c:v>16.95289999999985</c:v>
                </c:pt>
                <c:pt idx="879">
                  <c:v>16.95299999999985</c:v>
                </c:pt>
                <c:pt idx="880">
                  <c:v>16.95309999999985</c:v>
                </c:pt>
                <c:pt idx="881">
                  <c:v>16.95319999999985</c:v>
                </c:pt>
                <c:pt idx="882">
                  <c:v>16.953299999999849</c:v>
                </c:pt>
                <c:pt idx="883">
                  <c:v>16.953399999999849</c:v>
                </c:pt>
                <c:pt idx="884">
                  <c:v>16.953499999999849</c:v>
                </c:pt>
                <c:pt idx="885">
                  <c:v>16.953599999999849</c:v>
                </c:pt>
                <c:pt idx="886">
                  <c:v>16.953699999999849</c:v>
                </c:pt>
                <c:pt idx="887">
                  <c:v>16.953799999999848</c:v>
                </c:pt>
                <c:pt idx="888">
                  <c:v>16.953899999999848</c:v>
                </c:pt>
                <c:pt idx="889">
                  <c:v>16.953999999999848</c:v>
                </c:pt>
                <c:pt idx="890">
                  <c:v>16.954099999999848</c:v>
                </c:pt>
                <c:pt idx="891">
                  <c:v>16.954199999999847</c:v>
                </c:pt>
                <c:pt idx="892">
                  <c:v>16.954299999999847</c:v>
                </c:pt>
                <c:pt idx="893">
                  <c:v>16.954399999999847</c:v>
                </c:pt>
                <c:pt idx="894">
                  <c:v>16.954499999999847</c:v>
                </c:pt>
                <c:pt idx="895">
                  <c:v>16.954599999999846</c:v>
                </c:pt>
                <c:pt idx="896">
                  <c:v>16.954699999999846</c:v>
                </c:pt>
                <c:pt idx="897">
                  <c:v>16.954799999999846</c:v>
                </c:pt>
                <c:pt idx="898">
                  <c:v>16.954899999999846</c:v>
                </c:pt>
                <c:pt idx="899">
                  <c:v>16.954999999999846</c:v>
                </c:pt>
                <c:pt idx="900">
                  <c:v>16.955099999999845</c:v>
                </c:pt>
                <c:pt idx="901">
                  <c:v>16.955199999999845</c:v>
                </c:pt>
                <c:pt idx="902">
                  <c:v>16.955299999999845</c:v>
                </c:pt>
                <c:pt idx="903">
                  <c:v>16.955399999999845</c:v>
                </c:pt>
                <c:pt idx="904">
                  <c:v>16.955499999999844</c:v>
                </c:pt>
                <c:pt idx="905">
                  <c:v>16.955599999999844</c:v>
                </c:pt>
                <c:pt idx="906">
                  <c:v>16.955699999999844</c:v>
                </c:pt>
                <c:pt idx="907">
                  <c:v>16.955799999999844</c:v>
                </c:pt>
                <c:pt idx="908">
                  <c:v>16.955899999999843</c:v>
                </c:pt>
                <c:pt idx="909">
                  <c:v>16.955999999999843</c:v>
                </c:pt>
                <c:pt idx="910">
                  <c:v>16.956099999999843</c:v>
                </c:pt>
                <c:pt idx="911">
                  <c:v>16.956199999999843</c:v>
                </c:pt>
                <c:pt idx="912">
                  <c:v>16.956299999999842</c:v>
                </c:pt>
                <c:pt idx="913">
                  <c:v>16.956399999999842</c:v>
                </c:pt>
                <c:pt idx="914">
                  <c:v>16.956499999999842</c:v>
                </c:pt>
                <c:pt idx="915">
                  <c:v>16.956599999999842</c:v>
                </c:pt>
                <c:pt idx="916">
                  <c:v>16.956699999999842</c:v>
                </c:pt>
                <c:pt idx="917">
                  <c:v>16.956799999999841</c:v>
                </c:pt>
                <c:pt idx="918">
                  <c:v>16.956899999999841</c:v>
                </c:pt>
                <c:pt idx="919">
                  <c:v>16.956999999999841</c:v>
                </c:pt>
                <c:pt idx="920">
                  <c:v>16.957099999999841</c:v>
                </c:pt>
                <c:pt idx="921">
                  <c:v>16.95719999999984</c:v>
                </c:pt>
                <c:pt idx="922">
                  <c:v>16.95729999999984</c:v>
                </c:pt>
                <c:pt idx="923">
                  <c:v>16.95739999999984</c:v>
                </c:pt>
                <c:pt idx="924">
                  <c:v>16.95749999999984</c:v>
                </c:pt>
                <c:pt idx="925">
                  <c:v>16.957599999999839</c:v>
                </c:pt>
                <c:pt idx="926">
                  <c:v>16.957699999999839</c:v>
                </c:pt>
                <c:pt idx="927">
                  <c:v>16.957799999999839</c:v>
                </c:pt>
                <c:pt idx="928">
                  <c:v>16.957899999999839</c:v>
                </c:pt>
                <c:pt idx="929">
                  <c:v>16.957999999999839</c:v>
                </c:pt>
                <c:pt idx="930">
                  <c:v>16.958099999999838</c:v>
                </c:pt>
                <c:pt idx="931">
                  <c:v>16.958199999999838</c:v>
                </c:pt>
                <c:pt idx="932">
                  <c:v>16.958299999999838</c:v>
                </c:pt>
                <c:pt idx="933">
                  <c:v>16.958399999999838</c:v>
                </c:pt>
                <c:pt idx="934">
                  <c:v>16.958499999999837</c:v>
                </c:pt>
                <c:pt idx="935">
                  <c:v>16.958599999999837</c:v>
                </c:pt>
                <c:pt idx="936">
                  <c:v>16.958699999999837</c:v>
                </c:pt>
                <c:pt idx="937">
                  <c:v>16.958799999999837</c:v>
                </c:pt>
                <c:pt idx="938">
                  <c:v>16.958899999999836</c:v>
                </c:pt>
                <c:pt idx="939">
                  <c:v>16.958999999999836</c:v>
                </c:pt>
                <c:pt idx="940">
                  <c:v>16.959099999999836</c:v>
                </c:pt>
                <c:pt idx="941">
                  <c:v>16.959199999999836</c:v>
                </c:pt>
                <c:pt idx="942">
                  <c:v>16.959299999999836</c:v>
                </c:pt>
                <c:pt idx="943">
                  <c:v>16.959399999999835</c:v>
                </c:pt>
                <c:pt idx="944">
                  <c:v>16.959499999999835</c:v>
                </c:pt>
                <c:pt idx="945">
                  <c:v>16.959599999999835</c:v>
                </c:pt>
                <c:pt idx="946">
                  <c:v>16.959699999999835</c:v>
                </c:pt>
                <c:pt idx="947">
                  <c:v>16.959799999999834</c:v>
                </c:pt>
                <c:pt idx="948">
                  <c:v>16.959899999999834</c:v>
                </c:pt>
                <c:pt idx="949">
                  <c:v>16.959999999999834</c:v>
                </c:pt>
                <c:pt idx="950">
                  <c:v>16.960099999999834</c:v>
                </c:pt>
                <c:pt idx="951">
                  <c:v>16.960199999999833</c:v>
                </c:pt>
                <c:pt idx="952">
                  <c:v>16.960299999999833</c:v>
                </c:pt>
                <c:pt idx="953">
                  <c:v>16.960399999999833</c:v>
                </c:pt>
                <c:pt idx="954">
                  <c:v>16.960499999999833</c:v>
                </c:pt>
                <c:pt idx="955">
                  <c:v>16.960599999999832</c:v>
                </c:pt>
                <c:pt idx="956">
                  <c:v>16.960699999999832</c:v>
                </c:pt>
                <c:pt idx="957">
                  <c:v>16.960799999999832</c:v>
                </c:pt>
                <c:pt idx="958">
                  <c:v>16.960899999999832</c:v>
                </c:pt>
                <c:pt idx="959">
                  <c:v>16.960999999999832</c:v>
                </c:pt>
                <c:pt idx="960">
                  <c:v>16.961099999999831</c:v>
                </c:pt>
                <c:pt idx="961">
                  <c:v>16.961199999999831</c:v>
                </c:pt>
                <c:pt idx="962">
                  <c:v>16.961299999999831</c:v>
                </c:pt>
                <c:pt idx="963">
                  <c:v>16.961399999999831</c:v>
                </c:pt>
                <c:pt idx="964">
                  <c:v>16.96149999999983</c:v>
                </c:pt>
                <c:pt idx="965">
                  <c:v>16.96159999999983</c:v>
                </c:pt>
                <c:pt idx="966">
                  <c:v>16.96169999999983</c:v>
                </c:pt>
                <c:pt idx="967">
                  <c:v>16.96179999999983</c:v>
                </c:pt>
                <c:pt idx="968">
                  <c:v>16.961899999999829</c:v>
                </c:pt>
                <c:pt idx="969">
                  <c:v>16.961999999999829</c:v>
                </c:pt>
                <c:pt idx="970">
                  <c:v>16.962099999999829</c:v>
                </c:pt>
                <c:pt idx="971">
                  <c:v>16.962199999999829</c:v>
                </c:pt>
                <c:pt idx="972">
                  <c:v>16.962299999999829</c:v>
                </c:pt>
                <c:pt idx="973">
                  <c:v>16.962399999999828</c:v>
                </c:pt>
                <c:pt idx="974">
                  <c:v>16.962499999999828</c:v>
                </c:pt>
                <c:pt idx="975">
                  <c:v>16.962599999999828</c:v>
                </c:pt>
                <c:pt idx="976">
                  <c:v>16.962699999999828</c:v>
                </c:pt>
                <c:pt idx="977">
                  <c:v>16.962799999999827</c:v>
                </c:pt>
                <c:pt idx="978">
                  <c:v>16.962899999999827</c:v>
                </c:pt>
                <c:pt idx="979">
                  <c:v>16.962999999999827</c:v>
                </c:pt>
                <c:pt idx="980">
                  <c:v>16.963099999999827</c:v>
                </c:pt>
                <c:pt idx="981">
                  <c:v>16.963199999999826</c:v>
                </c:pt>
                <c:pt idx="982">
                  <c:v>16.963299999999826</c:v>
                </c:pt>
                <c:pt idx="983">
                  <c:v>16.963399999999826</c:v>
                </c:pt>
                <c:pt idx="984">
                  <c:v>16.963499999999826</c:v>
                </c:pt>
                <c:pt idx="985">
                  <c:v>16.963599999999825</c:v>
                </c:pt>
                <c:pt idx="986">
                  <c:v>16.963699999999825</c:v>
                </c:pt>
                <c:pt idx="987">
                  <c:v>16.963799999999825</c:v>
                </c:pt>
                <c:pt idx="988">
                  <c:v>16.963899999999825</c:v>
                </c:pt>
                <c:pt idx="989">
                  <c:v>16.963999999999825</c:v>
                </c:pt>
                <c:pt idx="990">
                  <c:v>16.964099999999824</c:v>
                </c:pt>
                <c:pt idx="991">
                  <c:v>16.964199999999824</c:v>
                </c:pt>
                <c:pt idx="992">
                  <c:v>16.964299999999824</c:v>
                </c:pt>
                <c:pt idx="993">
                  <c:v>16.964399999999824</c:v>
                </c:pt>
                <c:pt idx="994">
                  <c:v>16.964499999999823</c:v>
                </c:pt>
                <c:pt idx="995">
                  <c:v>16.964599999999823</c:v>
                </c:pt>
                <c:pt idx="996">
                  <c:v>16.964699999999823</c:v>
                </c:pt>
                <c:pt idx="997">
                  <c:v>16.964799999999823</c:v>
                </c:pt>
                <c:pt idx="998">
                  <c:v>16.964899999999822</c:v>
                </c:pt>
                <c:pt idx="999">
                  <c:v>16.964999999999822</c:v>
                </c:pt>
                <c:pt idx="1000">
                  <c:v>16.965099999999822</c:v>
                </c:pt>
              </c:numCache>
            </c:numRef>
          </c:xVal>
          <c:yVal>
            <c:numRef>
              <c:f>Calculs!$AH$4:$AH$1004</c:f>
              <c:numCache>
                <c:formatCode>0.00</c:formatCode>
                <c:ptCount val="1001"/>
                <c:pt idx="0">
                  <c:v>0</c:v>
                </c:pt>
                <c:pt idx="1">
                  <c:v>31.449786511526963</c:v>
                </c:pt>
                <c:pt idx="2">
                  <c:v>91.230321653073247</c:v>
                </c:pt>
                <c:pt idx="3">
                  <c:v>133.88338493021664</c:v>
                </c:pt>
                <c:pt idx="4">
                  <c:v>107.62535034611388</c:v>
                </c:pt>
                <c:pt idx="5">
                  <c:v>81.319350951808318</c:v>
                </c:pt>
                <c:pt idx="6">
                  <c:v>64.670141135336792</c:v>
                </c:pt>
                <c:pt idx="7">
                  <c:v>63.183423751784829</c:v>
                </c:pt>
                <c:pt idx="8">
                  <c:v>65.352997079689644</c:v>
                </c:pt>
                <c:pt idx="9">
                  <c:v>67.523124882217914</c:v>
                </c:pt>
                <c:pt idx="10">
                  <c:v>69.693718063943876</c:v>
                </c:pt>
                <c:pt idx="11">
                  <c:v>70.479099324863583</c:v>
                </c:pt>
                <c:pt idx="12">
                  <c:v>71.263466824992761</c:v>
                </c:pt>
                <c:pt idx="13">
                  <c:v>72.04676277702508</c:v>
                </c:pt>
                <c:pt idx="14">
                  <c:v>72.82892854992869</c:v>
                </c:pt>
                <c:pt idx="15">
                  <c:v>73.609904677889716</c:v>
                </c:pt>
                <c:pt idx="16">
                  <c:v>74.389630869701492</c:v>
                </c:pt>
                <c:pt idx="17">
                  <c:v>75.168046018604642</c:v>
                </c:pt>
                <c:pt idx="18">
                  <c:v>75.945088212583443</c:v>
                </c:pt>
                <c:pt idx="19">
                  <c:v>76.720694745123112</c:v>
                </c:pt>
                <c:pt idx="20">
                  <c:v>77.4948021264332</c:v>
                </c:pt>
                <c:pt idx="21">
                  <c:v>78.267346095141065</c:v>
                </c:pt>
                <c:pt idx="22">
                  <c:v>78.872147384021503</c:v>
                </c:pt>
                <c:pt idx="23">
                  <c:v>79.087360053937232</c:v>
                </c:pt>
                <c:pt idx="24">
                  <c:v>79.300451463083235</c:v>
                </c:pt>
                <c:pt idx="25">
                  <c:v>79.511400104498776</c:v>
                </c:pt>
                <c:pt idx="26">
                  <c:v>79.720184658481728</c:v>
                </c:pt>
                <c:pt idx="27">
                  <c:v>79.926783998451512</c:v>
                </c:pt>
                <c:pt idx="28">
                  <c:v>80.131177196796742</c:v>
                </c:pt>
                <c:pt idx="29">
                  <c:v>80.333343530705008</c:v>
                </c:pt>
                <c:pt idx="30">
                  <c:v>80.533261815083009</c:v>
                </c:pt>
                <c:pt idx="31">
                  <c:v>80.730910961905877</c:v>
                </c:pt>
                <c:pt idx="32">
                  <c:v>80.926270783846249</c:v>
                </c:pt>
                <c:pt idx="33">
                  <c:v>81.11932132362189</c:v>
                </c:pt>
                <c:pt idx="34">
                  <c:v>81.310042859609524</c:v>
                </c:pt>
                <c:pt idx="35">
                  <c:v>81.455180792274703</c:v>
                </c:pt>
                <c:pt idx="36">
                  <c:v>81.208637035740338</c:v>
                </c:pt>
                <c:pt idx="37">
                  <c:v>80.959599190193202</c:v>
                </c:pt>
                <c:pt idx="38">
                  <c:v>80.708093022428386</c:v>
                </c:pt>
                <c:pt idx="39">
                  <c:v>80.454144592904868</c:v>
                </c:pt>
                <c:pt idx="40">
                  <c:v>80.197780248028536</c:v>
                </c:pt>
                <c:pt idx="41">
                  <c:v>79.939026612385732</c:v>
                </c:pt>
                <c:pt idx="42">
                  <c:v>79.677910580929847</c:v>
                </c:pt>
                <c:pt idx="43">
                  <c:v>79.414459311124205</c:v>
                </c:pt>
                <c:pt idx="44">
                  <c:v>79.148700215044315</c:v>
                </c:pt>
                <c:pt idx="45">
                  <c:v>78.880660951443147</c:v>
                </c:pt>
                <c:pt idx="46">
                  <c:v>78.610369417781925</c:v>
                </c:pt>
                <c:pt idx="47">
                  <c:v>78.337853742230664</c:v>
                </c:pt>
                <c:pt idx="48">
                  <c:v>78.063142275641411</c:v>
                </c:pt>
                <c:pt idx="49">
                  <c:v>77.786263583497785</c:v>
                </c:pt>
                <c:pt idx="50">
                  <c:v>77.507246437844117</c:v>
                </c:pt>
                <c:pt idx="51">
                  <c:v>77.226119809198082</c:v>
                </c:pt>
                <c:pt idx="52">
                  <c:v>76.942912858450001</c:v>
                </c:pt>
                <c:pt idx="53">
                  <c:v>76.657654928752294</c:v>
                </c:pt>
                <c:pt idx="54">
                  <c:v>76.370375537402992</c:v>
                </c:pt>
                <c:pt idx="55">
                  <c:v>76.081104367726525</c:v>
                </c:pt>
                <c:pt idx="56">
                  <c:v>75.789871260955167</c:v>
                </c:pt>
                <c:pt idx="57">
                  <c:v>75.496706208115</c:v>
                </c:pt>
                <c:pt idx="58">
                  <c:v>75.201639341919716</c:v>
                </c:pt>
                <c:pt idx="59">
                  <c:v>74.90470092867551</c:v>
                </c:pt>
                <c:pt idx="60">
                  <c:v>74.605921360200739</c:v>
                </c:pt>
                <c:pt idx="61">
                  <c:v>74.305331145763702</c:v>
                </c:pt>
                <c:pt idx="62">
                  <c:v>74.002960904041814</c:v>
                </c:pt>
                <c:pt idx="63">
                  <c:v>73.698841355105429</c:v>
                </c:pt>
                <c:pt idx="64">
                  <c:v>73.393003312429926</c:v>
                </c:pt>
                <c:pt idx="65">
                  <c:v>73.085477674938986</c:v>
                </c:pt>
                <c:pt idx="66">
                  <c:v>72.776295419082174</c:v>
                </c:pt>
                <c:pt idx="67">
                  <c:v>72.465487590950531</c:v>
                </c:pt>
                <c:pt idx="68">
                  <c:v>72.153085298432657</c:v>
                </c:pt>
                <c:pt idx="69">
                  <c:v>71.839119703414582</c:v>
                </c:pt>
                <c:pt idx="70">
                  <c:v>71.523622014026586</c:v>
                </c:pt>
                <c:pt idx="71">
                  <c:v>71.20662347693974</c:v>
                </c:pt>
                <c:pt idx="72">
                  <c:v>70.888155369714937</c:v>
                </c:pt>
                <c:pt idx="73">
                  <c:v>70.568248993207561</c:v>
                </c:pt>
                <c:pt idx="74">
                  <c:v>70.246935664030431</c:v>
                </c:pt>
                <c:pt idx="75">
                  <c:v>69.92424670707743</c:v>
                </c:pt>
                <c:pt idx="76">
                  <c:v>69.600213448111063</c:v>
                </c:pt>
                <c:pt idx="77">
                  <c:v>69.27486720641599</c:v>
                </c:pt>
                <c:pt idx="78">
                  <c:v>68.948239287521403</c:v>
                </c:pt>
                <c:pt idx="79">
                  <c:v>68.620360975994373</c:v>
                </c:pt>
                <c:pt idx="80">
                  <c:v>68.291263528306942</c:v>
                </c:pt>
                <c:pt idx="81">
                  <c:v>67.960978165779011</c:v>
                </c:pt>
                <c:pt idx="82">
                  <c:v>67.629536067599219</c:v>
                </c:pt>
                <c:pt idx="83">
                  <c:v>67.296968363926254</c:v>
                </c:pt>
                <c:pt idx="84">
                  <c:v>66.963306129072578</c:v>
                </c:pt>
                <c:pt idx="85">
                  <c:v>66.628580374772341</c:v>
                </c:pt>
                <c:pt idx="86">
                  <c:v>66.292822043535992</c:v>
                </c:pt>
                <c:pt idx="87">
                  <c:v>65.956062002093077</c:v>
                </c:pt>
                <c:pt idx="88">
                  <c:v>65.61833103492495</c:v>
                </c:pt>
                <c:pt idx="89">
                  <c:v>65.279659837889639</c:v>
                </c:pt>
                <c:pt idx="90">
                  <c:v>64.940079011940028</c:v>
                </c:pt>
                <c:pt idx="91">
                  <c:v>64.599619056937343</c:v>
                </c:pt>
                <c:pt idx="92">
                  <c:v>64.258310365561073</c:v>
                </c:pt>
                <c:pt idx="93">
                  <c:v>63.916183217317148</c:v>
                </c:pt>
                <c:pt idx="94">
                  <c:v>63.5732677726457</c:v>
                </c:pt>
                <c:pt idx="95">
                  <c:v>63.229594067129362</c:v>
                </c:pt>
                <c:pt idx="96">
                  <c:v>62.885192005803894</c:v>
                </c:pt>
                <c:pt idx="97">
                  <c:v>62.540091357571718</c:v>
                </c:pt>
                <c:pt idx="98">
                  <c:v>62.194321749720018</c:v>
                </c:pt>
                <c:pt idx="99">
                  <c:v>61.847912662543948</c:v>
                </c:pt>
                <c:pt idx="100">
                  <c:v>61.500893424076182</c:v>
                </c:pt>
                <c:pt idx="101">
                  <c:v>61.153293204923528</c:v>
                </c:pt>
                <c:pt idx="102">
                  <c:v>60.805141013211575</c:v>
                </c:pt>
                <c:pt idx="103">
                  <c:v>60.456465689637803</c:v>
                </c:pt>
                <c:pt idx="104">
                  <c:v>60.107295902634334</c:v>
                </c:pt>
                <c:pt idx="105">
                  <c:v>59.757660143640202</c:v>
                </c:pt>
                <c:pt idx="106">
                  <c:v>59.407586722484453</c:v>
                </c:pt>
                <c:pt idx="107">
                  <c:v>59.057103762879876</c:v>
                </c:pt>
                <c:pt idx="108">
                  <c:v>58.706239198028157</c:v>
                </c:pt>
                <c:pt idx="109">
                  <c:v>58.355020766336651</c:v>
                </c:pt>
                <c:pt idx="110">
                  <c:v>58.003476007246974</c:v>
                </c:pt>
                <c:pt idx="111">
                  <c:v>57.651632257175748</c:v>
                </c:pt>
                <c:pt idx="112">
                  <c:v>57.299516645567536</c:v>
                </c:pt>
                <c:pt idx="113">
                  <c:v>56.947156091060023</c:v>
                </c:pt>
                <c:pt idx="114">
                  <c:v>56.594577297761596</c:v>
                </c:pt>
                <c:pt idx="115">
                  <c:v>56.241806751641036</c:v>
                </c:pt>
                <c:pt idx="116">
                  <c:v>55.888870717029462</c:v>
                </c:pt>
                <c:pt idx="117">
                  <c:v>55.535795233234261</c:v>
                </c:pt>
                <c:pt idx="118">
                  <c:v>55.18260611126459</c:v>
                </c:pt>
                <c:pt idx="119">
                  <c:v>54.829328930668638</c:v>
                </c:pt>
                <c:pt idx="120">
                  <c:v>54.475989036481799</c:v>
                </c:pt>
                <c:pt idx="121">
                  <c:v>54.122611536285632</c:v>
                </c:pt>
                <c:pt idx="122">
                  <c:v>53.769221297377271</c:v>
                </c:pt>
                <c:pt idx="123">
                  <c:v>53.415842944048556</c:v>
                </c:pt>
                <c:pt idx="124">
                  <c:v>53.062500854974431</c:v>
                </c:pt>
                <c:pt idx="125">
                  <c:v>52.709219160710113</c:v>
                </c:pt>
                <c:pt idx="126">
                  <c:v>52.356021741296352</c:v>
                </c:pt>
                <c:pt idx="127">
                  <c:v>52.002932223971975</c:v>
                </c:pt>
                <c:pt idx="128">
                  <c:v>51.649973980993174</c:v>
                </c:pt>
                <c:pt idx="129">
                  <c:v>51.297170127558758</c:v>
                </c:pt>
                <c:pt idx="130">
                  <c:v>50.94454351984038</c:v>
                </c:pt>
                <c:pt idx="131">
                  <c:v>50.592116753116983</c:v>
                </c:pt>
                <c:pt idx="132">
                  <c:v>50.23991216001285</c:v>
                </c:pt>
                <c:pt idx="133">
                  <c:v>49.887951808837791</c:v>
                </c:pt>
                <c:pt idx="134">
                  <c:v>49.536257502028967</c:v>
                </c:pt>
                <c:pt idx="135">
                  <c:v>49.184850774693182</c:v>
                </c:pt>
                <c:pt idx="136">
                  <c:v>48.833752893248558</c:v>
                </c:pt>
                <c:pt idx="137">
                  <c:v>48.482984854164677</c:v>
                </c:pt>
                <c:pt idx="138">
                  <c:v>48.132567382799884</c:v>
                </c:pt>
                <c:pt idx="139">
                  <c:v>47.782520932334947</c:v>
                </c:pt>
                <c:pt idx="140">
                  <c:v>47.43286568280152</c:v>
                </c:pt>
                <c:pt idx="141">
                  <c:v>47.083621540204575</c:v>
                </c:pt>
                <c:pt idx="142">
                  <c:v>46.734808135737531</c:v>
                </c:pt>
                <c:pt idx="143">
                  <c:v>46.38644482508851</c:v>
                </c:pt>
                <c:pt idx="144">
                  <c:v>46.038550687837052</c:v>
                </c:pt>
                <c:pt idx="145">
                  <c:v>45.691144526939475</c:v>
                </c:pt>
                <c:pt idx="146">
                  <c:v>45.344244868302034</c:v>
                </c:pt>
                <c:pt idx="147">
                  <c:v>44.997869960440056</c:v>
                </c:pt>
                <c:pt idx="148">
                  <c:v>44.652037774222315</c:v>
                </c:pt>
                <c:pt idx="149">
                  <c:v>44.306766002698723</c:v>
                </c:pt>
                <c:pt idx="150">
                  <c:v>43.962072061010375</c:v>
                </c:pt>
                <c:pt idx="151">
                  <c:v>43.617973086380452</c:v>
                </c:pt>
                <c:pt idx="152">
                  <c:v>43.274485938184519</c:v>
                </c:pt>
                <c:pt idx="153">
                  <c:v>42.931627198098752</c:v>
                </c:pt>
                <c:pt idx="154">
                  <c:v>42.589413170324953</c:v>
                </c:pt>
                <c:pt idx="155">
                  <c:v>42.247859881890662</c:v>
                </c:pt>
                <c:pt idx="156">
                  <c:v>41.90698308302305</c:v>
                </c:pt>
                <c:pt idx="157">
                  <c:v>41.566798247595052</c:v>
                </c:pt>
                <c:pt idx="158">
                  <c:v>41.621769311230629</c:v>
                </c:pt>
                <c:pt idx="159">
                  <c:v>41.774745752933669</c:v>
                </c:pt>
                <c:pt idx="160">
                  <c:v>41.926738982225366</c:v>
                </c:pt>
                <c:pt idx="161">
                  <c:v>42.077746123984191</c:v>
                </c:pt>
                <c:pt idx="162">
                  <c:v>42.227764334644739</c:v>
                </c:pt>
                <c:pt idx="163">
                  <c:v>42.376790803045246</c:v>
                </c:pt>
                <c:pt idx="164">
                  <c:v>41.944834751831372</c:v>
                </c:pt>
                <c:pt idx="165">
                  <c:v>40.643651110189637</c:v>
                </c:pt>
                <c:pt idx="166">
                  <c:v>39.346668588526683</c:v>
                </c:pt>
                <c:pt idx="167">
                  <c:v>37.462468321934075</c:v>
                </c:pt>
                <c:pt idx="168">
                  <c:v>33.218136662825358</c:v>
                </c:pt>
                <c:pt idx="169">
                  <c:v>28.989461923702205</c:v>
                </c:pt>
                <c:pt idx="170">
                  <c:v>24.776832214810092</c:v>
                </c:pt>
                <c:pt idx="171">
                  <c:v>20.580604534327971</c:v>
                </c:pt>
                <c:pt idx="172">
                  <c:v>16.401105124682292</c:v>
                </c:pt>
                <c:pt idx="173">
                  <c:v>12.238629850094989</c:v>
                </c:pt>
                <c:pt idx="174">
                  <c:v>8.0934445935944197</c:v>
                </c:pt>
                <c:pt idx="175">
                  <c:v>3.9657856717458611</c:v>
                </c:pt>
                <c:pt idx="176">
                  <c:v>-0.14413973461053861</c:v>
                </c:pt>
                <c:pt idx="177">
                  <c:v>-4.2361531352921649</c:v>
                </c:pt>
                <c:pt idx="178">
                  <c:v>-8.3101042730177088</c:v>
                </c:pt>
                <c:pt idx="179">
                  <c:v>-12.365870654563986</c:v>
                </c:pt>
                <c:pt idx="180">
                  <c:v>-14.244814363804856</c:v>
                </c:pt>
                <c:pt idx="181">
                  <c:v>-16.115448819404985</c:v>
                </c:pt>
                <c:pt idx="182">
                  <c:v>-17.977816380727141</c:v>
                </c:pt>
                <c:pt idx="183">
                  <c:v>-19.831964546500458</c:v>
                </c:pt>
                <c:pt idx="184">
                  <c:v>-20.29189756753707</c:v>
                </c:pt>
                <c:pt idx="185">
                  <c:v>-20.156136181151883</c:v>
                </c:pt>
                <c:pt idx="186">
                  <c:v>-20.021457152902958</c:v>
                </c:pt>
                <c:pt idx="187">
                  <c:v>-19.887849198831141</c:v>
                </c:pt>
                <c:pt idx="188">
                  <c:v>-19.755301182869104</c:v>
                </c:pt>
                <c:pt idx="189">
                  <c:v>-19.623802114520579</c:v>
                </c:pt>
                <c:pt idx="190">
                  <c:v>-19.493341146581955</c:v>
                </c:pt>
                <c:pt idx="191">
                  <c:v>-19.363907572905479</c:v>
                </c:pt>
                <c:pt idx="192">
                  <c:v>-19.235490826203229</c:v>
                </c:pt>
                <c:pt idx="193">
                  <c:v>-19.108080475890755</c:v>
                </c:pt>
                <c:pt idx="194">
                  <c:v>-18.981666225969885</c:v>
                </c:pt>
                <c:pt idx="195">
                  <c:v>-18.856237912949734</c:v>
                </c:pt>
                <c:pt idx="196">
                  <c:v>-18.731785503805035</c:v>
                </c:pt>
                <c:pt idx="197">
                  <c:v>-18.608299093971311</c:v>
                </c:pt>
                <c:pt idx="198">
                  <c:v>-18.485768905375739</c:v>
                </c:pt>
                <c:pt idx="199">
                  <c:v>-18.364185284503407</c:v>
                </c:pt>
                <c:pt idx="200">
                  <c:v>-18.243538700497854</c:v>
                </c:pt>
                <c:pt idx="201">
                  <c:v>-18.123819743295495</c:v>
                </c:pt>
                <c:pt idx="202">
                  <c:v>-16.954146067867224</c:v>
                </c:pt>
                <c:pt idx="203">
                  <c:v>-15.871495730172855</c:v>
                </c:pt>
                <c:pt idx="204">
                  <c:v>-14.867592104837748</c:v>
                </c:pt>
                <c:pt idx="205">
                  <c:v>-13.935133437828915</c:v>
                </c:pt>
                <c:pt idx="206">
                  <c:v>-13.06765788060998</c:v>
                </c:pt>
                <c:pt idx="207">
                  <c:v>-12.25942992095044</c:v>
                </c:pt>
                <c:pt idx="208">
                  <c:v>-11.505344409020758</c:v>
                </c:pt>
                <c:pt idx="209">
                  <c:v>-10.800845122541567</c:v>
                </c:pt>
                <c:pt idx="210">
                  <c:v>-10.1418554007296</c:v>
                </c:pt>
                <c:pt idx="211">
                  <c:v>-9.5247188402760674</c:v>
                </c:pt>
                <c:pt idx="212">
                  <c:v>-8.9461484152408861</c:v>
                </c:pt>
                <c:pt idx="213">
                  <c:v>-8.4031826775051837</c:v>
                </c:pt>
                <c:pt idx="214">
                  <c:v>-7.8931479312946866</c:v>
                </c:pt>
                <c:pt idx="215">
                  <c:v>-7.4136254665533112</c:v>
                </c:pt>
                <c:pt idx="216">
                  <c:v>-6.9624230911018197</c:v>
                </c:pt>
                <c:pt idx="217">
                  <c:v>-6.5375503279329781</c:v>
                </c:pt>
                <c:pt idx="218">
                  <c:v>-6.1371967474316413</c:v>
                </c:pt>
                <c:pt idx="219">
                  <c:v>-5.7597129892853864</c:v>
                </c:pt>
                <c:pt idx="220">
                  <c:v>-5.4035940989347049</c:v>
                </c:pt>
                <c:pt idx="221">
                  <c:v>-5.0674648614282338</c:v>
                </c:pt>
                <c:pt idx="222">
                  <c:v>-4.7500668637474712</c:v>
                </c:pt>
                <c:pt idx="223">
                  <c:v>-4.4502470568473864</c:v>
                </c:pt>
                <c:pt idx="224">
                  <c:v>-4.1669476222683599</c:v>
                </c:pt>
                <c:pt idx="225">
                  <c:v>-3.8991969763764946</c:v>
                </c:pt>
                <c:pt idx="226">
                  <c:v>-3.6461017690261199</c:v>
                </c:pt>
                <c:pt idx="227">
                  <c:v>-3.4068397534762873</c:v>
                </c:pt>
                <c:pt idx="228">
                  <c:v>-3.180653421356495</c:v>
                </c:pt>
                <c:pt idx="229">
                  <c:v>-2.9668443108766898</c:v>
                </c:pt>
                <c:pt idx="230">
                  <c:v>-2.7647679087315478</c:v>
                </c:pt>
                <c:pt idx="231">
                  <c:v>-2.5738290766045382</c:v>
                </c:pt>
                <c:pt idx="232">
                  <c:v>-2.393477942117483</c:v>
                </c:pt>
                <c:pt idx="233">
                  <c:v>-2.2232062017320953</c:v>
                </c:pt>
                <c:pt idx="234">
                  <c:v>-2.0625437896864405</c:v>
                </c:pt>
                <c:pt idx="235">
                  <c:v>-1.9110558727032922</c:v>
                </c:pt>
                <c:pt idx="236">
                  <c:v>-1.7683401350736572</c:v>
                </c:pt>
                <c:pt idx="237">
                  <c:v>-1.6340243229088338</c:v>
                </c:pt>
                <c:pt idx="238">
                  <c:v>-1.5077640199604441</c:v>
                </c:pt>
                <c:pt idx="239">
                  <c:v>-1.3892406305059488</c:v>
                </c:pt>
                <c:pt idx="240">
                  <c:v>-1.2781595474485687</c:v>
                </c:pt>
                <c:pt idx="241">
                  <c:v>-1.1742484860346245</c:v>
                </c:pt>
                <c:pt idx="242">
                  <c:v>-1.0772559654855918</c:v>
                </c:pt>
                <c:pt idx="243">
                  <c:v>-0.98694992240431889</c:v>
                </c:pt>
                <c:pt idx="244">
                  <c:v>-0.90311644106255873</c:v>
                </c:pt>
                <c:pt idx="245">
                  <c:v>-0.82555858661920989</c:v>
                </c:pt>
                <c:pt idx="246">
                  <c:v>-0.75409532795660161</c:v>
                </c:pt>
                <c:pt idx="247">
                  <c:v>-0.68856053715127585</c:v>
                </c:pt>
                <c:pt idx="248">
                  <c:v>-0.62880205260960997</c:v>
                </c:pt>
                <c:pt idx="249">
                  <c:v>-0.57468079259659111</c:v>
                </c:pt>
                <c:pt idx="250">
                  <c:v>-0.52606990528550457</c:v>
                </c:pt>
                <c:pt idx="251">
                  <c:v>-0.48285394061336923</c:v>
                </c:pt>
                <c:pt idx="252">
                  <c:v>-0.44492802826651334</c:v>
                </c:pt>
                <c:pt idx="253">
                  <c:v>-0.41219704527515988</c:v>
                </c:pt>
                <c:pt idx="254">
                  <c:v>-0.38457475634497712</c:v>
                </c:pt>
                <c:pt idx="255">
                  <c:v>-0.3619829107447155</c:v>
                </c:pt>
                <c:pt idx="256">
                  <c:v>-0.34435028198083173</c:v>
                </c:pt>
                <c:pt idx="257">
                  <c:v>-0.33161164129068149</c:v>
                </c:pt>
                <c:pt idx="258">
                  <c:v>-0.32370666355571587</c:v>
                </c:pt>
                <c:pt idx="259">
                  <c:v>-0.32057877429647652</c:v>
                </c:pt>
                <c:pt idx="260">
                  <c:v>-0.3221739577252653</c:v>
                </c:pt>
                <c:pt idx="261">
                  <c:v>-0.32843955624087012</c:v>
                </c:pt>
                <c:pt idx="262">
                  <c:v>-0.3393230987282852</c:v>
                </c:pt>
                <c:pt idx="263">
                  <c:v>-0.35477119664266116</c:v>
                </c:pt>
                <c:pt idx="264">
                  <c:v>-0.37472854263985167</c:v>
                </c:pt>
                <c:pt idx="265">
                  <c:v>-0.39913703768896841</c:v>
                </c:pt>
                <c:pt idx="266">
                  <c:v>-0.42793506151730332</c:v>
                </c:pt>
                <c:pt idx="267">
                  <c:v>-0.46105689038640141</c:v>
                </c:pt>
                <c:pt idx="268">
                  <c:v>-0.49843225738018815</c:v>
                </c:pt>
                <c:pt idx="269">
                  <c:v>-0.53998604438841491</c:v>
                </c:pt>
                <c:pt idx="270">
                  <c:v>-0.58563809171459325</c:v>
                </c:pt>
                <c:pt idx="271">
                  <c:v>-0.63530311015636209</c:v>
                </c:pt>
                <c:pt idx="272">
                  <c:v>-0.68889068078386084</c:v>
                </c:pt>
                <c:pt idx="273">
                  <c:v>-0.74630532884124479</c:v>
                </c:pt>
                <c:pt idx="274">
                  <c:v>-0.80744665974777452</c:v>
                </c:pt>
                <c:pt idx="275">
                  <c:v>-0.87220954677760787</c:v>
                </c:pt>
                <c:pt idx="276">
                  <c:v>-0.94048436148639325</c:v>
                </c:pt>
                <c:pt idx="277">
                  <c:v>-1.0121572392549403</c:v>
                </c:pt>
                <c:pt idx="278">
                  <c:v>-1.0871103734183223</c:v>
                </c:pt>
                <c:pt idx="279">
                  <c:v>-1.1652223323551276</c:v>
                </c:pt>
                <c:pt idx="280">
                  <c:v>-1.2463683946517221</c:v>
                </c:pt>
                <c:pt idx="281">
                  <c:v>-1.3304208980594416</c:v>
                </c:pt>
                <c:pt idx="282">
                  <c:v>-1.4172495984562741</c:v>
                </c:pt>
                <c:pt idx="283">
                  <c:v>-1.5067220354330846</c:v>
                </c:pt>
                <c:pt idx="284">
                  <c:v>-1.5987039014677771</c:v>
                </c:pt>
                <c:pt idx="285">
                  <c:v>-1.6930594119449571</c:v>
                </c:pt>
                <c:pt idx="286">
                  <c:v>-1.7896516735361989</c:v>
                </c:pt>
                <c:pt idx="287">
                  <c:v>-1.8883430486862647</c:v>
                </c:pt>
                <c:pt idx="288">
                  <c:v>-1.9889955141608606</c:v>
                </c:pt>
                <c:pt idx="289">
                  <c:v>-2.0914710118066338</c:v>
                </c:pt>
                <c:pt idx="290">
                  <c:v>-2.195631789858139</c:v>
                </c:pt>
                <c:pt idx="291">
                  <c:v>-2.301340733301652</c:v>
                </c:pt>
                <c:pt idx="292">
                  <c:v>-2.4084616819738804</c:v>
                </c:pt>
                <c:pt idx="293">
                  <c:v>-2.5168597352357582</c:v>
                </c:pt>
                <c:pt idx="294">
                  <c:v>-2.626401542218145</c:v>
                </c:pt>
                <c:pt idx="295">
                  <c:v>-2.7369555767876301</c:v>
                </c:pt>
                <c:pt idx="296">
                  <c:v>-2.848392396526668</c:v>
                </c:pt>
                <c:pt idx="297">
                  <c:v>-2.9605848851628318</c:v>
                </c:pt>
                <c:pt idx="298">
                  <c:v>-3.0734084780165691</c:v>
                </c:pt>
                <c:pt idx="299">
                  <c:v>-3.186741370165465</c:v>
                </c:pt>
                <c:pt idx="300">
                  <c:v>-3.3004647071448785</c:v>
                </c:pt>
                <c:pt idx="301">
                  <c:v>-3.4144627581199032</c:v>
                </c:pt>
                <c:pt idx="302">
                  <c:v>-3.5286230715714404</c:v>
                </c:pt>
                <c:pt idx="303">
                  <c:v>-3.6428366136394468</c:v>
                </c:pt>
                <c:pt idx="304">
                  <c:v>-3.7569978893591132</c:v>
                </c:pt>
                <c:pt idx="305">
                  <c:v>-3.87100504711041</c:v>
                </c:pt>
                <c:pt idx="306">
                  <c:v>-3.984759966678276</c:v>
                </c:pt>
                <c:pt idx="307">
                  <c:v>-4.0981683313895774</c:v>
                </c:pt>
                <c:pt idx="308">
                  <c:v>-4.2111396848539071</c:v>
                </c:pt>
                <c:pt idx="309">
                  <c:v>-4.323587472888371</c:v>
                </c:pt>
                <c:pt idx="310">
                  <c:v>-4.4354290712520985</c:v>
                </c:pt>
                <c:pt idx="311">
                  <c:v>-4.546585799854272</c:v>
                </c:pt>
                <c:pt idx="312">
                  <c:v>-4.6569829241303973</c:v>
                </c:pt>
                <c:pt idx="313">
                  <c:v>-4.7665496443057851</c:v>
                </c:pt>
                <c:pt idx="314">
                  <c:v>-4.8752190732827536</c:v>
                </c:pt>
                <c:pt idx="315">
                  <c:v>-4.9829282038997738</c:v>
                </c:pt>
                <c:pt idx="316">
                  <c:v>-5.0896178663165372</c:v>
                </c:pt>
                <c:pt idx="317">
                  <c:v>-5.1952326762796295</c:v>
                </c:pt>
                <c:pt idx="318">
                  <c:v>-5.2997209750191541</c:v>
                </c:pt>
                <c:pt idx="319">
                  <c:v>-5.4030347615180725</c:v>
                </c:pt>
                <c:pt idx="320">
                  <c:v>-5.5051296178832398</c:v>
                </c:pt>
                <c:pt idx="321">
                  <c:v>-5.6059646285311091</c:v>
                </c:pt>
                <c:pt idx="322">
                  <c:v>-5.7055022938814748</c:v>
                </c:pt>
                <c:pt idx="323">
                  <c:v>-5.8037084392308387</c:v>
                </c:pt>
                <c:pt idx="324">
                  <c:v>-5.9005521194523265</c:v>
                </c:pt>
                <c:pt idx="325">
                  <c:v>-5.9960055201429938</c:v>
                </c:pt>
                <c:pt idx="326">
                  <c:v>-6.0900438558112127</c:v>
                </c:pt>
                <c:pt idx="327">
                  <c:v>-6.1826452656678921</c:v>
                </c:pt>
                <c:pt idx="328">
                  <c:v>-6.2737907075549746</c:v>
                </c:pt>
                <c:pt idx="329">
                  <c:v>-6.3634638505140817</c:v>
                </c:pt>
                <c:pt idx="330">
                  <c:v>-6.4516509664670343</c:v>
                </c:pt>
                <c:pt idx="331">
                  <c:v>-6.5383408214487648</c:v>
                </c:pt>
                <c:pt idx="332">
                  <c:v>-6.6235245668020788</c:v>
                </c:pt>
                <c:pt idx="333">
                  <c:v>-6.7071956307129215</c:v>
                </c:pt>
                <c:pt idx="334">
                  <c:v>-6.7893496104345603</c:v>
                </c:pt>
                <c:pt idx="335">
                  <c:v>-6.8699841655194032</c:v>
                </c:pt>
                <c:pt idx="336">
                  <c:v>-6.9490989123483855</c:v>
                </c:pt>
                <c:pt idx="337">
                  <c:v>-7.0266953202198552</c:v>
                </c:pt>
                <c:pt idx="338">
                  <c:v>-7.1027766092329934</c:v>
                </c:pt>
                <c:pt idx="339">
                  <c:v>-7.1773476501748892</c:v>
                </c:pt>
                <c:pt idx="340">
                  <c:v>-7.2504148665956913</c:v>
                </c:pt>
                <c:pt idx="341">
                  <c:v>-7.3219861392327141</c:v>
                </c:pt>
                <c:pt idx="342">
                  <c:v>-7.3920707129220409</c:v>
                </c:pt>
                <c:pt idx="343">
                  <c:v>-7.4606791061151432</c:v>
                </c:pt>
                <c:pt idx="344">
                  <c:v>-7.5278230230982235</c:v>
                </c:pt>
                <c:pt idx="345">
                  <c:v>-7.5935152689933245</c:v>
                </c:pt>
                <c:pt idx="346">
                  <c:v>-7.657769667603131</c:v>
                </c:pt>
                <c:pt idx="347">
                  <c:v>-7.7206009821451849</c:v>
                </c:pt>
                <c:pt idx="348">
                  <c:v>-7.7820248389063007</c:v>
                </c:pt>
                <c:pt idx="349">
                  <c:v>-7.8420576538345097</c:v>
                </c:pt>
                <c:pt idx="350">
                  <c:v>-7.9007165620730158</c:v>
                </c:pt>
                <c:pt idx="351">
                  <c:v>-7.9007737190370726</c:v>
                </c:pt>
                <c:pt idx="352">
                  <c:v>-7.900830874680322</c:v>
                </c:pt>
                <c:pt idx="353">
                  <c:v>-7.900888029002795</c:v>
                </c:pt>
                <c:pt idx="354">
                  <c:v>-7.9009451820044978</c:v>
                </c:pt>
                <c:pt idx="355">
                  <c:v>-7.9010023336854545</c:v>
                </c:pt>
                <c:pt idx="356">
                  <c:v>-7.9010594840456765</c:v>
                </c:pt>
                <c:pt idx="357">
                  <c:v>-7.9011166330851896</c:v>
                </c:pt>
                <c:pt idx="358">
                  <c:v>-7.9011737808040063</c:v>
                </c:pt>
                <c:pt idx="359">
                  <c:v>-7.9012309272021453</c:v>
                </c:pt>
                <c:pt idx="360">
                  <c:v>-7.9012880722796224</c:v>
                </c:pt>
                <c:pt idx="361">
                  <c:v>-7.9013452160364563</c:v>
                </c:pt>
                <c:pt idx="362">
                  <c:v>-7.9014023584726694</c:v>
                </c:pt>
                <c:pt idx="363">
                  <c:v>-7.901459499588273</c:v>
                </c:pt>
                <c:pt idx="364">
                  <c:v>-7.9015166393832832</c:v>
                </c:pt>
                <c:pt idx="365">
                  <c:v>-7.901573777857724</c:v>
                </c:pt>
                <c:pt idx="366">
                  <c:v>-7.9016309150116113</c:v>
                </c:pt>
                <c:pt idx="367">
                  <c:v>-7.9016880508449603</c:v>
                </c:pt>
                <c:pt idx="368">
                  <c:v>-7.9017451853577896</c:v>
                </c:pt>
                <c:pt idx="369">
                  <c:v>-7.9018023185501187</c:v>
                </c:pt>
                <c:pt idx="370">
                  <c:v>-7.901859450421961</c:v>
                </c:pt>
                <c:pt idx="371">
                  <c:v>-7.9019165809733405</c:v>
                </c:pt>
                <c:pt idx="372">
                  <c:v>-7.9019737102042678</c:v>
                </c:pt>
                <c:pt idx="373">
                  <c:v>-7.9020308381147668</c:v>
                </c:pt>
                <c:pt idx="374">
                  <c:v>-7.9020879647048456</c:v>
                </c:pt>
                <c:pt idx="375">
                  <c:v>-7.9021450899745336</c:v>
                </c:pt>
                <c:pt idx="376">
                  <c:v>-7.9022022139238413</c:v>
                </c:pt>
                <c:pt idx="377">
                  <c:v>-7.9022593365527909</c:v>
                </c:pt>
                <c:pt idx="378">
                  <c:v>-7.9023164578613958</c:v>
                </c:pt>
                <c:pt idx="379">
                  <c:v>-7.902373577849672</c:v>
                </c:pt>
                <c:pt idx="380">
                  <c:v>-7.9024306965176425</c:v>
                </c:pt>
                <c:pt idx="381">
                  <c:v>-7.9024878138653234</c:v>
                </c:pt>
                <c:pt idx="382">
                  <c:v>-7.9025449298927288</c:v>
                </c:pt>
                <c:pt idx="383">
                  <c:v>-7.9026020445998837</c:v>
                </c:pt>
                <c:pt idx="384">
                  <c:v>-7.902659157986796</c:v>
                </c:pt>
                <c:pt idx="385">
                  <c:v>-7.9027162700534896</c:v>
                </c:pt>
                <c:pt idx="386">
                  <c:v>-7.9027733807999798</c:v>
                </c:pt>
                <c:pt idx="387">
                  <c:v>-7.9028304902262878</c:v>
                </c:pt>
                <c:pt idx="388">
                  <c:v>-7.9028875983324287</c:v>
                </c:pt>
                <c:pt idx="389">
                  <c:v>-7.9029447051184203</c:v>
                </c:pt>
                <c:pt idx="390">
                  <c:v>-7.9030018105842759</c:v>
                </c:pt>
                <c:pt idx="391">
                  <c:v>-7.9030589147300203</c:v>
                </c:pt>
                <c:pt idx="392">
                  <c:v>-7.9031160175556696</c:v>
                </c:pt>
                <c:pt idx="393">
                  <c:v>-7.903173119061238</c:v>
                </c:pt>
                <c:pt idx="394">
                  <c:v>-7.9032302192467467</c:v>
                </c:pt>
                <c:pt idx="395">
                  <c:v>-7.9032873181122083</c:v>
                </c:pt>
                <c:pt idx="396">
                  <c:v>-7.9033444156576467</c:v>
                </c:pt>
                <c:pt idx="397">
                  <c:v>-7.9034015118830769</c:v>
                </c:pt>
                <c:pt idx="398">
                  <c:v>-7.9034586067885142</c:v>
                </c:pt>
                <c:pt idx="399">
                  <c:v>-7.9035157003739807</c:v>
                </c:pt>
                <c:pt idx="400">
                  <c:v>-7.9035727926394861</c:v>
                </c:pt>
                <c:pt idx="401">
                  <c:v>-7.9036298835850562</c:v>
                </c:pt>
                <c:pt idx="402">
                  <c:v>-7.9036869732107089</c:v>
                </c:pt>
                <c:pt idx="403">
                  <c:v>-7.9037440615164556</c:v>
                </c:pt>
                <c:pt idx="404">
                  <c:v>-7.9038011485023203</c:v>
                </c:pt>
                <c:pt idx="405">
                  <c:v>-7.9038582341683119</c:v>
                </c:pt>
                <c:pt idx="406">
                  <c:v>-7.9039153185144624</c:v>
                </c:pt>
                <c:pt idx="407">
                  <c:v>-7.9039724015407762</c:v>
                </c:pt>
                <c:pt idx="408">
                  <c:v>-7.9040294832472746</c:v>
                </c:pt>
                <c:pt idx="409">
                  <c:v>-7.9040865636339737</c:v>
                </c:pt>
                <c:pt idx="410">
                  <c:v>-7.9041436427009</c:v>
                </c:pt>
                <c:pt idx="411">
                  <c:v>-7.9042007204480571</c:v>
                </c:pt>
                <c:pt idx="412">
                  <c:v>-7.904257796875477</c:v>
                </c:pt>
                <c:pt idx="413">
                  <c:v>-7.9043148719831642</c:v>
                </c:pt>
                <c:pt idx="414">
                  <c:v>-7.9043719457711479</c:v>
                </c:pt>
                <c:pt idx="415">
                  <c:v>-7.9044290182394414</c:v>
                </c:pt>
                <c:pt idx="416">
                  <c:v>-7.9044860893880591</c:v>
                </c:pt>
                <c:pt idx="417">
                  <c:v>-7.904543159217015</c:v>
                </c:pt>
                <c:pt idx="418">
                  <c:v>-7.9046002277263385</c:v>
                </c:pt>
                <c:pt idx="419">
                  <c:v>-7.9046572949160439</c:v>
                </c:pt>
                <c:pt idx="420">
                  <c:v>-7.9047143607861434</c:v>
                </c:pt>
                <c:pt idx="421">
                  <c:v>-7.9047714253366577</c:v>
                </c:pt>
                <c:pt idx="422">
                  <c:v>-7.9048284885676043</c:v>
                </c:pt>
                <c:pt idx="423">
                  <c:v>-7.9048855504789994</c:v>
                </c:pt>
                <c:pt idx="424">
                  <c:v>-7.9049426110708607</c:v>
                </c:pt>
                <c:pt idx="425">
                  <c:v>-7.9049996703432095</c:v>
                </c:pt>
                <c:pt idx="426">
                  <c:v>-7.9050567282960671</c:v>
                </c:pt>
                <c:pt idx="427">
                  <c:v>-7.9051137849294335</c:v>
                </c:pt>
                <c:pt idx="428">
                  <c:v>-7.9051708402433478</c:v>
                </c:pt>
                <c:pt idx="429">
                  <c:v>-7.9052278942378109</c:v>
                </c:pt>
                <c:pt idx="430">
                  <c:v>-7.9052849469128539</c:v>
                </c:pt>
                <c:pt idx="431">
                  <c:v>-7.9053419982684865</c:v>
                </c:pt>
                <c:pt idx="432">
                  <c:v>-7.9053990483047212</c:v>
                </c:pt>
                <c:pt idx="433">
                  <c:v>-7.9054560970215881</c:v>
                </c:pt>
                <c:pt idx="434">
                  <c:v>-7.9055131444190998</c:v>
                </c:pt>
                <c:pt idx="435">
                  <c:v>-7.9055701904972704</c:v>
                </c:pt>
                <c:pt idx="436">
                  <c:v>-7.9056272352561203</c:v>
                </c:pt>
                <c:pt idx="437">
                  <c:v>-7.9056842786956683</c:v>
                </c:pt>
                <c:pt idx="438">
                  <c:v>-7.9057413208159319</c:v>
                </c:pt>
                <c:pt idx="439">
                  <c:v>-7.9057983616169247</c:v>
                </c:pt>
                <c:pt idx="440">
                  <c:v>-7.9058554010986697</c:v>
                </c:pt>
                <c:pt idx="441">
                  <c:v>-7.9059124392611837</c:v>
                </c:pt>
                <c:pt idx="442">
                  <c:v>-7.9059694761044828</c:v>
                </c:pt>
                <c:pt idx="443">
                  <c:v>-7.9060265116285775</c:v>
                </c:pt>
                <c:pt idx="444">
                  <c:v>-7.9060835458334999</c:v>
                </c:pt>
                <c:pt idx="445">
                  <c:v>-7.906140578719258</c:v>
                </c:pt>
                <c:pt idx="446">
                  <c:v>-7.9061976102858731</c:v>
                </c:pt>
                <c:pt idx="447">
                  <c:v>-7.9062546405333638</c:v>
                </c:pt>
                <c:pt idx="448">
                  <c:v>-7.9063116694617435</c:v>
                </c:pt>
                <c:pt idx="449">
                  <c:v>-7.9063686970710316</c:v>
                </c:pt>
                <c:pt idx="450">
                  <c:v>-7.9064257233612434</c:v>
                </c:pt>
                <c:pt idx="451">
                  <c:v>-7.9064827483324027</c:v>
                </c:pt>
                <c:pt idx="452">
                  <c:v>-7.9065397719845247</c:v>
                </c:pt>
                <c:pt idx="453">
                  <c:v>-7.9065967943176245</c:v>
                </c:pt>
                <c:pt idx="454">
                  <c:v>-7.9066538153317216</c:v>
                </c:pt>
                <c:pt idx="455">
                  <c:v>-7.906710835026832</c:v>
                </c:pt>
                <c:pt idx="456">
                  <c:v>-7.9067678534029788</c:v>
                </c:pt>
                <c:pt idx="457">
                  <c:v>-7.90682487046017</c:v>
                </c:pt>
                <c:pt idx="458">
                  <c:v>-7.9068818861984305</c:v>
                </c:pt>
                <c:pt idx="459">
                  <c:v>-7.9069389006177753</c:v>
                </c:pt>
                <c:pt idx="460">
                  <c:v>-7.9069959137182293</c:v>
                </c:pt>
                <c:pt idx="461">
                  <c:v>-7.9070529254998014</c:v>
                </c:pt>
                <c:pt idx="462">
                  <c:v>-7.9071099359625121</c:v>
                </c:pt>
                <c:pt idx="463">
                  <c:v>-7.9071669451063737</c:v>
                </c:pt>
                <c:pt idx="464">
                  <c:v>-7.9072239529314094</c:v>
                </c:pt>
                <c:pt idx="465">
                  <c:v>-7.9072809594376423</c:v>
                </c:pt>
                <c:pt idx="466">
                  <c:v>-7.9073379646250803</c:v>
                </c:pt>
                <c:pt idx="467">
                  <c:v>-7.9073949684937439</c:v>
                </c:pt>
                <c:pt idx="468">
                  <c:v>-7.9074519710436535</c:v>
                </c:pt>
                <c:pt idx="469">
                  <c:v>-7.907508972274826</c:v>
                </c:pt>
                <c:pt idx="470">
                  <c:v>-7.9075659721872764</c:v>
                </c:pt>
                <c:pt idx="471">
                  <c:v>-7.9076229707810217</c:v>
                </c:pt>
                <c:pt idx="472">
                  <c:v>-7.9076799680560859</c:v>
                </c:pt>
                <c:pt idx="473">
                  <c:v>-7.9077369640124866</c:v>
                </c:pt>
                <c:pt idx="474">
                  <c:v>-7.9077939586502302</c:v>
                </c:pt>
                <c:pt idx="475">
                  <c:v>-7.9078509519693476</c:v>
                </c:pt>
                <c:pt idx="476">
                  <c:v>-7.907907943969847</c:v>
                </c:pt>
                <c:pt idx="477">
                  <c:v>-7.9079649346517495</c:v>
                </c:pt>
                <c:pt idx="478">
                  <c:v>-7.9080219240150731</c:v>
                </c:pt>
                <c:pt idx="479">
                  <c:v>-7.9080789120598327</c:v>
                </c:pt>
                <c:pt idx="480">
                  <c:v>-7.9081358987860542</c:v>
                </c:pt>
                <c:pt idx="481">
                  <c:v>-7.9081928841937499</c:v>
                </c:pt>
                <c:pt idx="482">
                  <c:v>-7.9082498682829296</c:v>
                </c:pt>
                <c:pt idx="483">
                  <c:v>-7.9083068510536263</c:v>
                </c:pt>
                <c:pt idx="484">
                  <c:v>-7.9083638325058478</c:v>
                </c:pt>
                <c:pt idx="485">
                  <c:v>-7.9084208126396129</c:v>
                </c:pt>
                <c:pt idx="486">
                  <c:v>-7.9084777914549367</c:v>
                </c:pt>
                <c:pt idx="487">
                  <c:v>-7.9085347689518466</c:v>
                </c:pt>
                <c:pt idx="488">
                  <c:v>-7.9085917451303542</c:v>
                </c:pt>
                <c:pt idx="489">
                  <c:v>-7.9086487199904756</c:v>
                </c:pt>
                <c:pt idx="490">
                  <c:v>-7.9087056935322284</c:v>
                </c:pt>
                <c:pt idx="491">
                  <c:v>-7.9087626657556314</c:v>
                </c:pt>
                <c:pt idx="492">
                  <c:v>-7.9088196366607058</c:v>
                </c:pt>
                <c:pt idx="493">
                  <c:v>-7.9088766062474667</c:v>
                </c:pt>
                <c:pt idx="494">
                  <c:v>-7.908933574515931</c:v>
                </c:pt>
                <c:pt idx="495">
                  <c:v>-7.9089905414661139</c:v>
                </c:pt>
                <c:pt idx="496">
                  <c:v>-7.9090475070980375</c:v>
                </c:pt>
                <c:pt idx="497">
                  <c:v>-7.909104471411716</c:v>
                </c:pt>
                <c:pt idx="498">
                  <c:v>-7.9091614344071743</c:v>
                </c:pt>
                <c:pt idx="499">
                  <c:v>-7.9092183960844196</c:v>
                </c:pt>
                <c:pt idx="500">
                  <c:v>-7.9092753564434748</c:v>
                </c:pt>
                <c:pt idx="501">
                  <c:v>-7.9093323154843604</c:v>
                </c:pt>
                <c:pt idx="502">
                  <c:v>-7.9093892732070907</c:v>
                </c:pt>
                <c:pt idx="503">
                  <c:v>-7.9094462296116825</c:v>
                </c:pt>
                <c:pt idx="504">
                  <c:v>-7.9095031846981554</c:v>
                </c:pt>
                <c:pt idx="505">
                  <c:v>-7.9095601384665253</c:v>
                </c:pt>
                <c:pt idx="506">
                  <c:v>-7.9096170909168153</c:v>
                </c:pt>
                <c:pt idx="507">
                  <c:v>-7.9096740420490335</c:v>
                </c:pt>
                <c:pt idx="508">
                  <c:v>-7.9097309918632082</c:v>
                </c:pt>
                <c:pt idx="509">
                  <c:v>-7.9097879403593456</c:v>
                </c:pt>
                <c:pt idx="510">
                  <c:v>-7.9098448875374698</c:v>
                </c:pt>
                <c:pt idx="511">
                  <c:v>-7.909901833397603</c:v>
                </c:pt>
                <c:pt idx="512">
                  <c:v>-7.9099587779397567</c:v>
                </c:pt>
                <c:pt idx="513">
                  <c:v>-7.9100157211639486</c:v>
                </c:pt>
                <c:pt idx="514">
                  <c:v>-7.910072663070201</c:v>
                </c:pt>
                <c:pt idx="515">
                  <c:v>-7.9101296036585307</c:v>
                </c:pt>
                <c:pt idx="516">
                  <c:v>-7.9101865429289431</c:v>
                </c:pt>
                <c:pt idx="517">
                  <c:v>-7.9102434808814746</c:v>
                </c:pt>
                <c:pt idx="518">
                  <c:v>-7.9103004175161304</c:v>
                </c:pt>
                <c:pt idx="519">
                  <c:v>-7.9103573528329356</c:v>
                </c:pt>
                <c:pt idx="520">
                  <c:v>-7.9104142868319016</c:v>
                </c:pt>
                <c:pt idx="521">
                  <c:v>-7.9104712195130489</c:v>
                </c:pt>
                <c:pt idx="522">
                  <c:v>-7.9105281508763952</c:v>
                </c:pt>
                <c:pt idx="523">
                  <c:v>-7.91058508092196</c:v>
                </c:pt>
                <c:pt idx="524">
                  <c:v>-7.9106420096497558</c:v>
                </c:pt>
                <c:pt idx="525">
                  <c:v>-7.9106989370598049</c:v>
                </c:pt>
                <c:pt idx="526">
                  <c:v>-7.9107558631521249</c:v>
                </c:pt>
                <c:pt idx="527">
                  <c:v>-7.9108127879267309</c:v>
                </c:pt>
                <c:pt idx="528">
                  <c:v>-7.9108697113836435</c:v>
                </c:pt>
                <c:pt idx="529">
                  <c:v>-7.9109266335228794</c:v>
                </c:pt>
                <c:pt idx="530">
                  <c:v>-7.910983554344452</c:v>
                </c:pt>
                <c:pt idx="531">
                  <c:v>-7.911040473848387</c:v>
                </c:pt>
                <c:pt idx="532">
                  <c:v>-7.9110973920346952</c:v>
                </c:pt>
                <c:pt idx="533">
                  <c:v>-7.9111543089033969</c:v>
                </c:pt>
                <c:pt idx="534">
                  <c:v>-7.9112112244545125</c:v>
                </c:pt>
                <c:pt idx="535">
                  <c:v>-7.911268138688051</c:v>
                </c:pt>
                <c:pt idx="536">
                  <c:v>-7.9113250516040408</c:v>
                </c:pt>
                <c:pt idx="537">
                  <c:v>-7.911381963202496</c:v>
                </c:pt>
                <c:pt idx="538">
                  <c:v>-7.9114388734834309</c:v>
                </c:pt>
                <c:pt idx="539">
                  <c:v>-7.9114957824468686</c:v>
                </c:pt>
                <c:pt idx="540">
                  <c:v>-7.9115526900928215</c:v>
                </c:pt>
                <c:pt idx="541">
                  <c:v>-7.9116095964213091</c:v>
                </c:pt>
                <c:pt idx="542">
                  <c:v>-7.9116665014323511</c:v>
                </c:pt>
                <c:pt idx="543">
                  <c:v>-7.9117234051259606</c:v>
                </c:pt>
                <c:pt idx="544">
                  <c:v>-7.91178030750216</c:v>
                </c:pt>
                <c:pt idx="545">
                  <c:v>-7.9118372085609661</c:v>
                </c:pt>
                <c:pt idx="546">
                  <c:v>-7.9118941083023975</c:v>
                </c:pt>
                <c:pt idx="547">
                  <c:v>-7.9119510067264702</c:v>
                </c:pt>
                <c:pt idx="548">
                  <c:v>-7.912007903833203</c:v>
                </c:pt>
                <c:pt idx="549">
                  <c:v>-7.9120647996226099</c:v>
                </c:pt>
                <c:pt idx="550">
                  <c:v>-7.9121216940947088</c:v>
                </c:pt>
                <c:pt idx="551">
                  <c:v>-7.9121785872495227</c:v>
                </c:pt>
                <c:pt idx="552">
                  <c:v>-7.912235479087065</c:v>
                </c:pt>
                <c:pt idx="553">
                  <c:v>-7.9122923696073588</c:v>
                </c:pt>
                <c:pt idx="554">
                  <c:v>-7.9123492588104183</c:v>
                </c:pt>
                <c:pt idx="555">
                  <c:v>-7.9124061466962567</c:v>
                </c:pt>
                <c:pt idx="556">
                  <c:v>-7.9124630332648982</c:v>
                </c:pt>
                <c:pt idx="557">
                  <c:v>-7.9125199185163559</c:v>
                </c:pt>
                <c:pt idx="558">
                  <c:v>-7.9125768024506522</c:v>
                </c:pt>
                <c:pt idx="559">
                  <c:v>-7.9126336850678038</c:v>
                </c:pt>
                <c:pt idx="560">
                  <c:v>-7.9126905663678251</c:v>
                </c:pt>
                <c:pt idx="561">
                  <c:v>-7.9127474463507363</c:v>
                </c:pt>
                <c:pt idx="562">
                  <c:v>-7.9128043250165527</c:v>
                </c:pt>
                <c:pt idx="563">
                  <c:v>-7.9128612023652956</c:v>
                </c:pt>
                <c:pt idx="564">
                  <c:v>-7.9129180783969773</c:v>
                </c:pt>
                <c:pt idx="565">
                  <c:v>-7.9129749531116245</c:v>
                </c:pt>
                <c:pt idx="566">
                  <c:v>-7.9130318265092452</c:v>
                </c:pt>
                <c:pt idx="567">
                  <c:v>-7.9130886985898661</c:v>
                </c:pt>
                <c:pt idx="568">
                  <c:v>-7.9131455693534987</c:v>
                </c:pt>
                <c:pt idx="569">
                  <c:v>-7.9132024388001607</c:v>
                </c:pt>
                <c:pt idx="570">
                  <c:v>-7.9132593069298744</c:v>
                </c:pt>
                <c:pt idx="571">
                  <c:v>-7.9133161737426505</c:v>
                </c:pt>
                <c:pt idx="572">
                  <c:v>-7.9133730392385138</c:v>
                </c:pt>
                <c:pt idx="573">
                  <c:v>-7.9134299034174775</c:v>
                </c:pt>
                <c:pt idx="574">
                  <c:v>-7.9134867662795614</c:v>
                </c:pt>
                <c:pt idx="575">
                  <c:v>-7.9135436278247839</c:v>
                </c:pt>
                <c:pt idx="576">
                  <c:v>-7.9136004880531621</c:v>
                </c:pt>
                <c:pt idx="577">
                  <c:v>-7.91365734696471</c:v>
                </c:pt>
                <c:pt idx="578">
                  <c:v>-7.9137142045594517</c:v>
                </c:pt>
                <c:pt idx="579">
                  <c:v>-7.9137710608373979</c:v>
                </c:pt>
                <c:pt idx="580">
                  <c:v>-7.9138279157985734</c:v>
                </c:pt>
                <c:pt idx="581">
                  <c:v>-7.9138847694429906</c:v>
                </c:pt>
                <c:pt idx="582">
                  <c:v>-7.91394162177067</c:v>
                </c:pt>
                <c:pt idx="583">
                  <c:v>-7.9139984727816266</c:v>
                </c:pt>
                <c:pt idx="584">
                  <c:v>-7.9140553224758836</c:v>
                </c:pt>
                <c:pt idx="585">
                  <c:v>-7.9141121708534543</c:v>
                </c:pt>
                <c:pt idx="586">
                  <c:v>-7.9141690179143556</c:v>
                </c:pt>
                <c:pt idx="587">
                  <c:v>-7.914225863658606</c:v>
                </c:pt>
                <c:pt idx="588">
                  <c:v>-7.9142827080862252</c:v>
                </c:pt>
                <c:pt idx="589">
                  <c:v>-7.9143395511972319</c:v>
                </c:pt>
                <c:pt idx="590">
                  <c:v>-7.9143963929916392</c:v>
                </c:pt>
                <c:pt idx="591">
                  <c:v>-7.9144532334694713</c:v>
                </c:pt>
                <c:pt idx="592">
                  <c:v>-7.9145100726307396</c:v>
                </c:pt>
                <c:pt idx="593">
                  <c:v>-7.9145669104754681</c:v>
                </c:pt>
                <c:pt idx="594">
                  <c:v>-7.9146237470036676</c:v>
                </c:pt>
                <c:pt idx="595">
                  <c:v>-7.9146805822153556</c:v>
                </c:pt>
                <c:pt idx="596">
                  <c:v>-7.9147374161105564</c:v>
                </c:pt>
                <c:pt idx="597">
                  <c:v>-7.9147942486892839</c:v>
                </c:pt>
                <c:pt idx="598">
                  <c:v>-7.9148510799515597</c:v>
                </c:pt>
                <c:pt idx="599">
                  <c:v>-7.9149079098973969</c:v>
                </c:pt>
                <c:pt idx="600">
                  <c:v>-7.9149647385268098</c:v>
                </c:pt>
                <c:pt idx="601">
                  <c:v>-7.9150215658398251</c:v>
                </c:pt>
                <c:pt idx="602">
                  <c:v>-7.9150783918364551</c:v>
                </c:pt>
                <c:pt idx="603">
                  <c:v>-7.9151352165167186</c:v>
                </c:pt>
                <c:pt idx="604">
                  <c:v>-7.9151920398806377</c:v>
                </c:pt>
                <c:pt idx="605">
                  <c:v>-7.9152488619282249</c:v>
                </c:pt>
                <c:pt idx="606">
                  <c:v>-7.9153056826594961</c:v>
                </c:pt>
                <c:pt idx="607">
                  <c:v>-7.9153625020744744</c:v>
                </c:pt>
                <c:pt idx="608">
                  <c:v>-7.9154193201731715</c:v>
                </c:pt>
                <c:pt idx="609">
                  <c:v>-7.9154761369556095</c:v>
                </c:pt>
                <c:pt idx="610">
                  <c:v>-7.915532952421807</c:v>
                </c:pt>
                <c:pt idx="611">
                  <c:v>-7.9155897665717827</c:v>
                </c:pt>
                <c:pt idx="612">
                  <c:v>-7.9156465794055508</c:v>
                </c:pt>
                <c:pt idx="613">
                  <c:v>-7.9157033909231282</c:v>
                </c:pt>
                <c:pt idx="614">
                  <c:v>-7.91576020112453</c:v>
                </c:pt>
                <c:pt idx="615">
                  <c:v>-7.9158170100097891</c:v>
                </c:pt>
                <c:pt idx="616">
                  <c:v>-7.9158738175789081</c:v>
                </c:pt>
                <c:pt idx="617">
                  <c:v>-7.9159306238319047</c:v>
                </c:pt>
                <c:pt idx="618">
                  <c:v>-7.9159874287688048</c:v>
                </c:pt>
                <c:pt idx="619">
                  <c:v>-7.9160442323896207</c:v>
                </c:pt>
                <c:pt idx="620">
                  <c:v>-7.9161010346943748</c:v>
                </c:pt>
                <c:pt idx="621">
                  <c:v>-7.9161578356830828</c:v>
                </c:pt>
                <c:pt idx="622">
                  <c:v>-7.9162146353557583</c:v>
                </c:pt>
                <c:pt idx="623">
                  <c:v>-7.9162714337124225</c:v>
                </c:pt>
                <c:pt idx="624">
                  <c:v>-7.9163282307530931</c:v>
                </c:pt>
                <c:pt idx="625">
                  <c:v>-7.9163850264777915</c:v>
                </c:pt>
                <c:pt idx="626">
                  <c:v>-7.9164418208865301</c:v>
                </c:pt>
                <c:pt idx="627">
                  <c:v>-7.9164986139793276</c:v>
                </c:pt>
                <c:pt idx="628">
                  <c:v>-7.9165554057562</c:v>
                </c:pt>
                <c:pt idx="629">
                  <c:v>-7.9166121962171729</c:v>
                </c:pt>
                <c:pt idx="630">
                  <c:v>-7.9166689853622527</c:v>
                </c:pt>
                <c:pt idx="631">
                  <c:v>-7.9167257731914678</c:v>
                </c:pt>
                <c:pt idx="632">
                  <c:v>-7.9167825597048287</c:v>
                </c:pt>
                <c:pt idx="633">
                  <c:v>-7.9168393449023595</c:v>
                </c:pt>
                <c:pt idx="634">
                  <c:v>-7.91689612878407</c:v>
                </c:pt>
                <c:pt idx="635">
                  <c:v>-7.9169529113499806</c:v>
                </c:pt>
                <c:pt idx="636">
                  <c:v>-7.9170096926001134</c:v>
                </c:pt>
                <c:pt idx="637">
                  <c:v>-7.9170664725344846</c:v>
                </c:pt>
                <c:pt idx="638">
                  <c:v>-7.9171232511531109</c:v>
                </c:pt>
                <c:pt idx="639">
                  <c:v>-7.917180028456003</c:v>
                </c:pt>
                <c:pt idx="640">
                  <c:v>-7.9172368044431947</c:v>
                </c:pt>
                <c:pt idx="641">
                  <c:v>-7.9172935791146868</c:v>
                </c:pt>
                <c:pt idx="642">
                  <c:v>-7.9173503524705078</c:v>
                </c:pt>
                <c:pt idx="643">
                  <c:v>-7.917407124510671</c:v>
                </c:pt>
                <c:pt idx="644">
                  <c:v>-7.9174638952351959</c:v>
                </c:pt>
                <c:pt idx="645">
                  <c:v>-7.9175206646441021</c:v>
                </c:pt>
                <c:pt idx="646">
                  <c:v>-7.9175774327374029</c:v>
                </c:pt>
                <c:pt idx="647">
                  <c:v>-7.9176341995151205</c:v>
                </c:pt>
                <c:pt idx="648">
                  <c:v>-7.9176909649772709</c:v>
                </c:pt>
                <c:pt idx="649">
                  <c:v>-7.9177477291238674</c:v>
                </c:pt>
                <c:pt idx="650">
                  <c:v>-7.9178044919549366</c:v>
                </c:pt>
                <c:pt idx="651">
                  <c:v>-7.9178612534704884</c:v>
                </c:pt>
                <c:pt idx="652">
                  <c:v>-7.9179180136705423</c:v>
                </c:pt>
                <c:pt idx="653">
                  <c:v>-7.9179747725551213</c:v>
                </c:pt>
                <c:pt idx="654">
                  <c:v>-7.9180315301242361</c:v>
                </c:pt>
                <c:pt idx="655">
                  <c:v>-7.9180882863779107</c:v>
                </c:pt>
                <c:pt idx="656">
                  <c:v>-7.9181450413161576</c:v>
                </c:pt>
                <c:pt idx="657">
                  <c:v>-7.9182017949390007</c:v>
                </c:pt>
                <c:pt idx="658">
                  <c:v>-7.9182585472464462</c:v>
                </c:pt>
                <c:pt idx="659">
                  <c:v>-7.918315298238527</c:v>
                </c:pt>
                <c:pt idx="660">
                  <c:v>-7.9183720479152511</c:v>
                </c:pt>
                <c:pt idx="661">
                  <c:v>-7.9184287962766353</c:v>
                </c:pt>
                <c:pt idx="662">
                  <c:v>-7.9184855433227019</c:v>
                </c:pt>
                <c:pt idx="663">
                  <c:v>-7.9185422890534705</c:v>
                </c:pt>
                <c:pt idx="664">
                  <c:v>-7.9185990334689507</c:v>
                </c:pt>
                <c:pt idx="665">
                  <c:v>-7.9186557765691665</c:v>
                </c:pt>
                <c:pt idx="666">
                  <c:v>-7.9187125183541403</c:v>
                </c:pt>
                <c:pt idx="667">
                  <c:v>-7.9187692588238789</c:v>
                </c:pt>
                <c:pt idx="668">
                  <c:v>-7.9188259979784057</c:v>
                </c:pt>
                <c:pt idx="669">
                  <c:v>-7.91888273581774</c:v>
                </c:pt>
                <c:pt idx="670">
                  <c:v>-7.9189394723418944</c:v>
                </c:pt>
                <c:pt idx="671">
                  <c:v>-7.9189962075508875</c:v>
                </c:pt>
                <c:pt idx="672">
                  <c:v>-7.9190529414447495</c:v>
                </c:pt>
                <c:pt idx="673">
                  <c:v>-7.9191096740234794</c:v>
                </c:pt>
                <c:pt idx="674">
                  <c:v>-7.9191664052871067</c:v>
                </c:pt>
                <c:pt idx="675">
                  <c:v>-7.9192231352356437</c:v>
                </c:pt>
                <c:pt idx="676">
                  <c:v>-7.9192798638691126</c:v>
                </c:pt>
                <c:pt idx="677">
                  <c:v>-7.9193365911875295</c:v>
                </c:pt>
                <c:pt idx="678">
                  <c:v>-7.9193933171909139</c:v>
                </c:pt>
                <c:pt idx="679">
                  <c:v>-7.9194500418792755</c:v>
                </c:pt>
                <c:pt idx="680">
                  <c:v>-7.9195067652526427</c:v>
                </c:pt>
                <c:pt idx="681">
                  <c:v>-7.9195634873110254</c:v>
                </c:pt>
                <c:pt idx="682">
                  <c:v>-7.9196202080544502</c:v>
                </c:pt>
                <c:pt idx="683">
                  <c:v>-7.9196769274829251</c:v>
                </c:pt>
                <c:pt idx="684">
                  <c:v>-7.9197336455964686</c:v>
                </c:pt>
                <c:pt idx="685">
                  <c:v>-7.9197903623951076</c:v>
                </c:pt>
                <c:pt idx="686">
                  <c:v>-7.9198470778788499</c:v>
                </c:pt>
                <c:pt idx="687">
                  <c:v>-7.9199037920477222</c:v>
                </c:pt>
                <c:pt idx="688">
                  <c:v>-7.9199605049017361</c:v>
                </c:pt>
                <c:pt idx="689">
                  <c:v>-7.9200172164409084</c:v>
                </c:pt>
                <c:pt idx="690">
                  <c:v>-7.9200739266652604</c:v>
                </c:pt>
                <c:pt idx="691">
                  <c:v>-7.9201306355748127</c:v>
                </c:pt>
                <c:pt idx="692">
                  <c:v>-7.9201873431695793</c:v>
                </c:pt>
                <c:pt idx="693">
                  <c:v>-7.9202440494495718</c:v>
                </c:pt>
                <c:pt idx="694">
                  <c:v>-7.920300754414817</c:v>
                </c:pt>
                <c:pt idx="695">
                  <c:v>-7.9203574580653306</c:v>
                </c:pt>
                <c:pt idx="696">
                  <c:v>-7.9204141604011289</c:v>
                </c:pt>
                <c:pt idx="697">
                  <c:v>-7.9204708614222357</c:v>
                </c:pt>
                <c:pt idx="698">
                  <c:v>-7.9205275611286572</c:v>
                </c:pt>
                <c:pt idx="699">
                  <c:v>-7.9205842595204166</c:v>
                </c:pt>
                <c:pt idx="700">
                  <c:v>-7.9206409565975378</c:v>
                </c:pt>
                <c:pt idx="701">
                  <c:v>-7.9206976523600305</c:v>
                </c:pt>
                <c:pt idx="702">
                  <c:v>-7.9207543468079153</c:v>
                </c:pt>
                <c:pt idx="703">
                  <c:v>-7.9208110399412099</c:v>
                </c:pt>
                <c:pt idx="704">
                  <c:v>-7.9208677317599285</c:v>
                </c:pt>
                <c:pt idx="705">
                  <c:v>-7.9209244222640987</c:v>
                </c:pt>
                <c:pt idx="706">
                  <c:v>-7.9209811114537301</c:v>
                </c:pt>
                <c:pt idx="707">
                  <c:v>-7.9210377993288432</c:v>
                </c:pt>
                <c:pt idx="708">
                  <c:v>-7.9210944858894559</c:v>
                </c:pt>
                <c:pt idx="709">
                  <c:v>-7.9211511711355804</c:v>
                </c:pt>
                <c:pt idx="710">
                  <c:v>-7.9212078550672436</c:v>
                </c:pt>
                <c:pt idx="711">
                  <c:v>-7.9212645376844604</c:v>
                </c:pt>
                <c:pt idx="712">
                  <c:v>-7.9213212189872459</c:v>
                </c:pt>
                <c:pt idx="713">
                  <c:v>-7.9213778989756216</c:v>
                </c:pt>
                <c:pt idx="714">
                  <c:v>-7.9214345776495971</c:v>
                </c:pt>
                <c:pt idx="715">
                  <c:v>-7.9214912550092009</c:v>
                </c:pt>
                <c:pt idx="716">
                  <c:v>-7.9215479310544419</c:v>
                </c:pt>
                <c:pt idx="717">
                  <c:v>-7.921604605785344</c:v>
                </c:pt>
                <c:pt idx="718">
                  <c:v>-7.9216612792019276</c:v>
                </c:pt>
                <c:pt idx="719">
                  <c:v>-7.9217179513041982</c:v>
                </c:pt>
                <c:pt idx="720">
                  <c:v>-7.921774622092185</c:v>
                </c:pt>
                <c:pt idx="721">
                  <c:v>-7.9218312915659022</c:v>
                </c:pt>
                <c:pt idx="722">
                  <c:v>-7.9218879597253622</c:v>
                </c:pt>
                <c:pt idx="723">
                  <c:v>-7.9219446265705953</c:v>
                </c:pt>
                <c:pt idx="724">
                  <c:v>-7.9220012921016085</c:v>
                </c:pt>
                <c:pt idx="725">
                  <c:v>-7.9220579563184241</c:v>
                </c:pt>
                <c:pt idx="726">
                  <c:v>-7.9221146192210563</c:v>
                </c:pt>
                <c:pt idx="727">
                  <c:v>-7.9221712808095299</c:v>
                </c:pt>
                <c:pt idx="728">
                  <c:v>-7.9222279410838548</c:v>
                </c:pt>
                <c:pt idx="729">
                  <c:v>-7.9222846000440548</c:v>
                </c:pt>
                <c:pt idx="730">
                  <c:v>-7.9223412576901442</c:v>
                </c:pt>
                <c:pt idx="731">
                  <c:v>-7.9223979140221417</c:v>
                </c:pt>
                <c:pt idx="732">
                  <c:v>-7.9224545690400676</c:v>
                </c:pt>
                <c:pt idx="733">
                  <c:v>-7.9225112227439327</c:v>
                </c:pt>
                <c:pt idx="734">
                  <c:v>-7.9225678751337609</c:v>
                </c:pt>
                <c:pt idx="735">
                  <c:v>-7.9226245262095683</c:v>
                </c:pt>
                <c:pt idx="736">
                  <c:v>-7.9226811759713742</c:v>
                </c:pt>
                <c:pt idx="737">
                  <c:v>-7.9227378244191931</c:v>
                </c:pt>
                <c:pt idx="738">
                  <c:v>-7.9227944715530469</c:v>
                </c:pt>
                <c:pt idx="739">
                  <c:v>-7.9228511173729519</c:v>
                </c:pt>
                <c:pt idx="740">
                  <c:v>-7.922907761878923</c:v>
                </c:pt>
                <c:pt idx="741">
                  <c:v>-7.9229644050709798</c:v>
                </c:pt>
                <c:pt idx="742">
                  <c:v>-7.9230210469491436</c:v>
                </c:pt>
                <c:pt idx="743">
                  <c:v>-7.923077687513433</c:v>
                </c:pt>
                <c:pt idx="744">
                  <c:v>-7.9231343267638561</c:v>
                </c:pt>
                <c:pt idx="745">
                  <c:v>-7.9231909647004368</c:v>
                </c:pt>
                <c:pt idx="746">
                  <c:v>-7.9232476013231921</c:v>
                </c:pt>
                <c:pt idx="747">
                  <c:v>-7.923304236632144</c:v>
                </c:pt>
                <c:pt idx="748">
                  <c:v>-7.9233608706273051</c:v>
                </c:pt>
                <c:pt idx="749">
                  <c:v>-7.9234175033086975</c:v>
                </c:pt>
                <c:pt idx="750">
                  <c:v>-7.923474134676332</c:v>
                </c:pt>
                <c:pt idx="751">
                  <c:v>-7.9235307647302315</c:v>
                </c:pt>
                <c:pt idx="752">
                  <c:v>-7.9235873934704166</c:v>
                </c:pt>
                <c:pt idx="753">
                  <c:v>-7.9236440208969023</c:v>
                </c:pt>
                <c:pt idx="754">
                  <c:v>-7.9237006470097029</c:v>
                </c:pt>
                <c:pt idx="755">
                  <c:v>-7.923757271808836</c:v>
                </c:pt>
                <c:pt idx="756">
                  <c:v>-7.9238138952943293</c:v>
                </c:pt>
                <c:pt idx="757">
                  <c:v>-7.923870517466189</c:v>
                </c:pt>
                <c:pt idx="758">
                  <c:v>-7.9239271383244398</c:v>
                </c:pt>
                <c:pt idx="759">
                  <c:v>-7.923983757869097</c:v>
                </c:pt>
                <c:pt idx="760">
                  <c:v>-7.9240403761001774</c:v>
                </c:pt>
                <c:pt idx="761">
                  <c:v>-7.9240969930177032</c:v>
                </c:pt>
                <c:pt idx="762">
                  <c:v>-7.9241536086216868</c:v>
                </c:pt>
                <c:pt idx="763">
                  <c:v>-7.9242102229121532</c:v>
                </c:pt>
                <c:pt idx="764">
                  <c:v>-7.9242668358891075</c:v>
                </c:pt>
                <c:pt idx="765">
                  <c:v>-7.9243234475525801</c:v>
                </c:pt>
                <c:pt idx="766">
                  <c:v>-7.9243800579025825</c:v>
                </c:pt>
                <c:pt idx="767">
                  <c:v>-7.9244366669391377</c:v>
                </c:pt>
                <c:pt idx="768">
                  <c:v>-7.9244932746622574</c:v>
                </c:pt>
                <c:pt idx="769">
                  <c:v>-7.9245498810719655</c:v>
                </c:pt>
                <c:pt idx="770">
                  <c:v>-7.9246064861682726</c:v>
                </c:pt>
                <c:pt idx="771">
                  <c:v>-7.9246630899512036</c:v>
                </c:pt>
                <c:pt idx="772">
                  <c:v>-7.9247196924207719</c:v>
                </c:pt>
                <c:pt idx="773">
                  <c:v>-7.9247762935769943</c:v>
                </c:pt>
                <c:pt idx="774">
                  <c:v>-7.9248328934198948</c:v>
                </c:pt>
                <c:pt idx="775">
                  <c:v>-7.9248894919494832</c:v>
                </c:pt>
                <c:pt idx="776">
                  <c:v>-7.9249460891657835</c:v>
                </c:pt>
                <c:pt idx="777">
                  <c:v>-7.9250026850688133</c:v>
                </c:pt>
                <c:pt idx="778">
                  <c:v>-7.9250592796585861</c:v>
                </c:pt>
                <c:pt idx="779">
                  <c:v>-7.9251158729351276</c:v>
                </c:pt>
                <c:pt idx="780">
                  <c:v>-7.9251724648984441</c:v>
                </c:pt>
                <c:pt idx="781">
                  <c:v>-7.9252290555485576</c:v>
                </c:pt>
                <c:pt idx="782">
                  <c:v>-7.9252856448854931</c:v>
                </c:pt>
                <c:pt idx="783">
                  <c:v>-7.9253422329092649</c:v>
                </c:pt>
                <c:pt idx="784">
                  <c:v>-7.925398819619887</c:v>
                </c:pt>
                <c:pt idx="785">
                  <c:v>-7.9254554050173738</c:v>
                </c:pt>
                <c:pt idx="786">
                  <c:v>-7.9255119891017562</c:v>
                </c:pt>
                <c:pt idx="787">
                  <c:v>-7.9255685718730424</c:v>
                </c:pt>
                <c:pt idx="788">
                  <c:v>-7.9256251533312536</c:v>
                </c:pt>
                <c:pt idx="789">
                  <c:v>-7.9256817334764049</c:v>
                </c:pt>
                <c:pt idx="790">
                  <c:v>-7.9257383123085132</c:v>
                </c:pt>
                <c:pt idx="791">
                  <c:v>-7.9257948898275998</c:v>
                </c:pt>
                <c:pt idx="792">
                  <c:v>-7.925851466033687</c:v>
                </c:pt>
                <c:pt idx="793">
                  <c:v>-7.9259080409267835</c:v>
                </c:pt>
                <c:pt idx="794">
                  <c:v>-7.9259646145069071</c:v>
                </c:pt>
                <c:pt idx="795">
                  <c:v>-7.9260211867740855</c:v>
                </c:pt>
                <c:pt idx="796">
                  <c:v>-7.9260777577283248</c:v>
                </c:pt>
                <c:pt idx="797">
                  <c:v>-7.9261343273696543</c:v>
                </c:pt>
                <c:pt idx="798">
                  <c:v>-7.9261908956980793</c:v>
                </c:pt>
                <c:pt idx="799">
                  <c:v>-7.9262474627136283</c:v>
                </c:pt>
                <c:pt idx="800">
                  <c:v>-7.9263040284163138</c:v>
                </c:pt>
                <c:pt idx="801">
                  <c:v>-7.9263605928061542</c:v>
                </c:pt>
                <c:pt idx="802">
                  <c:v>-7.9264171558831684</c:v>
                </c:pt>
                <c:pt idx="803">
                  <c:v>-7.9264737176473767</c:v>
                </c:pt>
                <c:pt idx="804">
                  <c:v>-7.9265302780987925</c:v>
                </c:pt>
                <c:pt idx="805">
                  <c:v>-7.9265868372374326</c:v>
                </c:pt>
                <c:pt idx="806">
                  <c:v>-7.9266433950633184</c:v>
                </c:pt>
                <c:pt idx="807">
                  <c:v>-7.9266999515764676</c:v>
                </c:pt>
                <c:pt idx="808">
                  <c:v>-7.9267565067769006</c:v>
                </c:pt>
                <c:pt idx="809">
                  <c:v>-7.9268130606646308</c:v>
                </c:pt>
                <c:pt idx="810">
                  <c:v>-7.926869613239675</c:v>
                </c:pt>
                <c:pt idx="811">
                  <c:v>-7.926926164502051</c:v>
                </c:pt>
                <c:pt idx="812">
                  <c:v>-7.9269827144517828</c:v>
                </c:pt>
                <c:pt idx="813">
                  <c:v>-7.9270392630888828</c:v>
                </c:pt>
                <c:pt idx="814">
                  <c:v>-7.9270958104133715</c:v>
                </c:pt>
                <c:pt idx="815">
                  <c:v>-7.9271523564252657</c:v>
                </c:pt>
                <c:pt idx="816">
                  <c:v>-7.9272089011245823</c:v>
                </c:pt>
                <c:pt idx="817">
                  <c:v>-7.9272654445113417</c:v>
                </c:pt>
                <c:pt idx="818">
                  <c:v>-7.9273219865855573</c:v>
                </c:pt>
                <c:pt idx="819">
                  <c:v>-7.9273785273472512</c:v>
                </c:pt>
                <c:pt idx="820">
                  <c:v>-7.9274350667964395</c:v>
                </c:pt>
                <c:pt idx="821">
                  <c:v>-7.9274916049331425</c:v>
                </c:pt>
                <c:pt idx="822">
                  <c:v>-7.9275481417573728</c:v>
                </c:pt>
                <c:pt idx="823">
                  <c:v>-7.9276046772691533</c:v>
                </c:pt>
                <c:pt idx="824">
                  <c:v>-7.9276612114684983</c:v>
                </c:pt>
                <c:pt idx="825">
                  <c:v>-7.9277177443554301</c:v>
                </c:pt>
                <c:pt idx="826">
                  <c:v>-7.927774275929961</c:v>
                </c:pt>
                <c:pt idx="827">
                  <c:v>-7.9278308061921132</c:v>
                </c:pt>
                <c:pt idx="828">
                  <c:v>-7.9278873351419028</c:v>
                </c:pt>
                <c:pt idx="829">
                  <c:v>-7.927943862779343</c:v>
                </c:pt>
                <c:pt idx="830">
                  <c:v>-7.9280003891044624</c:v>
                </c:pt>
                <c:pt idx="831">
                  <c:v>-7.9280569141172714</c:v>
                </c:pt>
                <c:pt idx="832">
                  <c:v>-7.9281134378177853</c:v>
                </c:pt>
                <c:pt idx="833">
                  <c:v>-7.9281699602060316</c:v>
                </c:pt>
                <c:pt idx="834">
                  <c:v>-7.9282264812820165</c:v>
                </c:pt>
                <c:pt idx="835">
                  <c:v>-7.9282830010457683</c:v>
                </c:pt>
                <c:pt idx="836">
                  <c:v>-7.9283395194972996</c:v>
                </c:pt>
                <c:pt idx="837">
                  <c:v>-7.9283960366366317</c:v>
                </c:pt>
                <c:pt idx="838">
                  <c:v>-7.9284525524637743</c:v>
                </c:pt>
                <c:pt idx="839">
                  <c:v>-7.9285090669787532</c:v>
                </c:pt>
                <c:pt idx="840">
                  <c:v>-7.9285655801815889</c:v>
                </c:pt>
                <c:pt idx="841">
                  <c:v>-7.9286220920722892</c:v>
                </c:pt>
                <c:pt idx="842">
                  <c:v>-7.9286786026508747</c:v>
                </c:pt>
                <c:pt idx="843">
                  <c:v>-7.9287351119173675</c:v>
                </c:pt>
                <c:pt idx="844">
                  <c:v>-7.9287916198717854</c:v>
                </c:pt>
                <c:pt idx="845">
                  <c:v>-7.9288481265141426</c:v>
                </c:pt>
                <c:pt idx="846">
                  <c:v>-7.9289046318444596</c:v>
                </c:pt>
                <c:pt idx="847">
                  <c:v>-7.9289611358627496</c:v>
                </c:pt>
                <c:pt idx="848">
                  <c:v>-7.9290176385690385</c:v>
                </c:pt>
                <c:pt idx="849">
                  <c:v>-7.9290741399633413</c:v>
                </c:pt>
                <c:pt idx="850">
                  <c:v>-7.9291306400456687</c:v>
                </c:pt>
                <c:pt idx="851">
                  <c:v>-7.9291871388160464</c:v>
                </c:pt>
                <c:pt idx="852">
                  <c:v>-7.9292436362744914</c:v>
                </c:pt>
                <c:pt idx="853">
                  <c:v>-7.9293001324210239</c:v>
                </c:pt>
                <c:pt idx="854">
                  <c:v>-7.9293566272556513</c:v>
                </c:pt>
                <c:pt idx="855">
                  <c:v>-7.9294131207784044</c:v>
                </c:pt>
                <c:pt idx="856">
                  <c:v>-7.9294696129892879</c:v>
                </c:pt>
                <c:pt idx="857">
                  <c:v>-7.9295261038883318</c:v>
                </c:pt>
                <c:pt idx="858">
                  <c:v>-7.9295825934755477</c:v>
                </c:pt>
                <c:pt idx="859">
                  <c:v>-7.9296390817509588</c:v>
                </c:pt>
                <c:pt idx="860">
                  <c:v>-7.9296955687145729</c:v>
                </c:pt>
                <c:pt idx="861">
                  <c:v>-7.9297520543664177</c:v>
                </c:pt>
                <c:pt idx="862">
                  <c:v>-7.9298085387065047</c:v>
                </c:pt>
                <c:pt idx="863">
                  <c:v>-7.9298650217348543</c:v>
                </c:pt>
                <c:pt idx="864">
                  <c:v>-7.9299215034514834</c:v>
                </c:pt>
                <c:pt idx="865">
                  <c:v>-7.9299779838564186</c:v>
                </c:pt>
                <c:pt idx="866">
                  <c:v>-7.9300344629496626</c:v>
                </c:pt>
                <c:pt idx="867">
                  <c:v>-7.9300909407312421</c:v>
                </c:pt>
                <c:pt idx="868">
                  <c:v>-7.9301474172011766</c:v>
                </c:pt>
                <c:pt idx="869">
                  <c:v>-7.9302038923594784</c:v>
                </c:pt>
                <c:pt idx="870">
                  <c:v>-7.9302603662061681</c:v>
                </c:pt>
                <c:pt idx="871">
                  <c:v>-7.9303168387412617</c:v>
                </c:pt>
                <c:pt idx="872">
                  <c:v>-7.9303733099647822</c:v>
                </c:pt>
                <c:pt idx="873">
                  <c:v>-7.9304297798767447</c:v>
                </c:pt>
                <c:pt idx="874">
                  <c:v>-7.930486248477159</c:v>
                </c:pt>
                <c:pt idx="875">
                  <c:v>-7.9305427157660615</c:v>
                </c:pt>
                <c:pt idx="876">
                  <c:v>-7.9305991817434531</c:v>
                </c:pt>
                <c:pt idx="877">
                  <c:v>-7.9306556464093534</c:v>
                </c:pt>
                <c:pt idx="878">
                  <c:v>-7.9307121097637898</c:v>
                </c:pt>
                <c:pt idx="879">
                  <c:v>-7.9307685718067766</c:v>
                </c:pt>
                <c:pt idx="880">
                  <c:v>-7.9308250325383245</c:v>
                </c:pt>
                <c:pt idx="881">
                  <c:v>-7.9308814919584618</c:v>
                </c:pt>
                <c:pt idx="882">
                  <c:v>-7.9309379500671948</c:v>
                </c:pt>
                <c:pt idx="883">
                  <c:v>-7.9309944068645519</c:v>
                </c:pt>
                <c:pt idx="884">
                  <c:v>-7.9310508623505456</c:v>
                </c:pt>
                <c:pt idx="885">
                  <c:v>-7.9311073165251988</c:v>
                </c:pt>
                <c:pt idx="886">
                  <c:v>-7.9311637693885224</c:v>
                </c:pt>
                <c:pt idx="887">
                  <c:v>-7.931220220940542</c:v>
                </c:pt>
                <c:pt idx="888">
                  <c:v>-7.9312766711812666</c:v>
                </c:pt>
                <c:pt idx="889">
                  <c:v>-7.9313331201107227</c:v>
                </c:pt>
                <c:pt idx="890">
                  <c:v>-7.9313895677289228</c:v>
                </c:pt>
                <c:pt idx="891">
                  <c:v>-7.9314460140358838</c:v>
                </c:pt>
                <c:pt idx="892">
                  <c:v>-7.9315024590316288</c:v>
                </c:pt>
                <c:pt idx="893">
                  <c:v>-7.9315589027161675</c:v>
                </c:pt>
                <c:pt idx="894">
                  <c:v>-7.9316153450895293</c:v>
                </c:pt>
                <c:pt idx="895">
                  <c:v>-7.9316717861517212</c:v>
                </c:pt>
                <c:pt idx="896">
                  <c:v>-7.9317282259027682</c:v>
                </c:pt>
                <c:pt idx="897">
                  <c:v>-7.9317846643426835</c:v>
                </c:pt>
                <c:pt idx="898">
                  <c:v>-7.9318411014714876</c:v>
                </c:pt>
                <c:pt idx="899">
                  <c:v>-7.9318975372891973</c:v>
                </c:pt>
                <c:pt idx="900">
                  <c:v>-7.9319539717958358</c:v>
                </c:pt>
                <c:pt idx="901">
                  <c:v>-7.9320104049914129</c:v>
                </c:pt>
                <c:pt idx="902">
                  <c:v>-7.9320668368759497</c:v>
                </c:pt>
                <c:pt idx="903">
                  <c:v>-7.9321232674494659</c:v>
                </c:pt>
                <c:pt idx="904">
                  <c:v>-7.9321796967119766</c:v>
                </c:pt>
                <c:pt idx="905">
                  <c:v>-7.932236124663504</c:v>
                </c:pt>
                <c:pt idx="906">
                  <c:v>-7.932292551304057</c:v>
                </c:pt>
                <c:pt idx="907">
                  <c:v>-7.9323489766336648</c:v>
                </c:pt>
                <c:pt idx="908">
                  <c:v>-7.9324054006523372</c:v>
                </c:pt>
                <c:pt idx="909">
                  <c:v>-7.9324618233600965</c:v>
                </c:pt>
                <c:pt idx="910">
                  <c:v>-7.9325182447569595</c:v>
                </c:pt>
                <c:pt idx="911">
                  <c:v>-7.9325746648429414</c:v>
                </c:pt>
                <c:pt idx="912">
                  <c:v>-7.9326310836180625</c:v>
                </c:pt>
                <c:pt idx="913">
                  <c:v>-7.9326875010823397</c:v>
                </c:pt>
                <c:pt idx="914">
                  <c:v>-7.9327439172357943</c:v>
                </c:pt>
                <c:pt idx="915">
                  <c:v>-7.9328003320784388</c:v>
                </c:pt>
                <c:pt idx="916">
                  <c:v>-7.9328567456102945</c:v>
                </c:pt>
                <c:pt idx="917">
                  <c:v>-7.932913157831381</c:v>
                </c:pt>
                <c:pt idx="918">
                  <c:v>-7.9329695687417123</c:v>
                </c:pt>
                <c:pt idx="919">
                  <c:v>-7.9330259783413055</c:v>
                </c:pt>
                <c:pt idx="920">
                  <c:v>-7.9330823866301818</c:v>
                </c:pt>
                <c:pt idx="921">
                  <c:v>-7.9331387936083608</c:v>
                </c:pt>
                <c:pt idx="922">
                  <c:v>-7.9331951992758558</c:v>
                </c:pt>
                <c:pt idx="923">
                  <c:v>-7.9332516036326837</c:v>
                </c:pt>
                <c:pt idx="924">
                  <c:v>-7.9333080066788702</c:v>
                </c:pt>
                <c:pt idx="925">
                  <c:v>-7.9333644084144241</c:v>
                </c:pt>
                <c:pt idx="926">
                  <c:v>-7.9334208088393723</c:v>
                </c:pt>
                <c:pt idx="927">
                  <c:v>-7.9334772079537217</c:v>
                </c:pt>
                <c:pt idx="928">
                  <c:v>-7.9335336057574946</c:v>
                </c:pt>
                <c:pt idx="929">
                  <c:v>-7.933590002250722</c:v>
                </c:pt>
                <c:pt idx="930">
                  <c:v>-7.9336463974334031</c:v>
                </c:pt>
                <c:pt idx="931">
                  <c:v>-7.9337027913055618</c:v>
                </c:pt>
                <c:pt idx="932">
                  <c:v>-7.9337591838672212</c:v>
                </c:pt>
                <c:pt idx="933">
                  <c:v>-7.9338155751183939</c:v>
                </c:pt>
                <c:pt idx="934">
                  <c:v>-7.9338719650590974</c:v>
                </c:pt>
                <c:pt idx="935">
                  <c:v>-7.9339283536893541</c:v>
                </c:pt>
                <c:pt idx="936">
                  <c:v>-7.9339847410091799</c:v>
                </c:pt>
                <c:pt idx="937">
                  <c:v>-7.9340411270185864</c:v>
                </c:pt>
                <c:pt idx="938">
                  <c:v>-7.9340975117176065</c:v>
                </c:pt>
                <c:pt idx="939">
                  <c:v>-7.9341538951062427</c:v>
                </c:pt>
                <c:pt idx="940">
                  <c:v>-7.9342102771845209</c:v>
                </c:pt>
                <c:pt idx="941">
                  <c:v>-7.9342666579524552</c:v>
                </c:pt>
                <c:pt idx="942">
                  <c:v>-7.9343230374100679</c:v>
                </c:pt>
                <c:pt idx="943">
                  <c:v>-7.9343794155573768</c:v>
                </c:pt>
                <c:pt idx="944">
                  <c:v>-7.9344357923943933</c:v>
                </c:pt>
                <c:pt idx="945">
                  <c:v>-7.934492167921138</c:v>
                </c:pt>
                <c:pt idx="946">
                  <c:v>-7.9345485421376329</c:v>
                </c:pt>
                <c:pt idx="947">
                  <c:v>-7.9346049150438942</c:v>
                </c:pt>
                <c:pt idx="948">
                  <c:v>-7.9346612866399369</c:v>
                </c:pt>
                <c:pt idx="949">
                  <c:v>-7.9347176569257805</c:v>
                </c:pt>
                <c:pt idx="950">
                  <c:v>-7.9347740259014445</c:v>
                </c:pt>
                <c:pt idx="951">
                  <c:v>-7.9348303935669477</c:v>
                </c:pt>
                <c:pt idx="952">
                  <c:v>-7.9348867599223016</c:v>
                </c:pt>
                <c:pt idx="953">
                  <c:v>-7.9349431249675346</c:v>
                </c:pt>
                <c:pt idx="954">
                  <c:v>-7.9349994887026556</c:v>
                </c:pt>
                <c:pt idx="955">
                  <c:v>-7.9350558511276859</c:v>
                </c:pt>
                <c:pt idx="956">
                  <c:v>-7.9351122122426405</c:v>
                </c:pt>
                <c:pt idx="957">
                  <c:v>-7.9351685720475436</c:v>
                </c:pt>
                <c:pt idx="958">
                  <c:v>-7.9352249305424074</c:v>
                </c:pt>
                <c:pt idx="959">
                  <c:v>-7.9352812877272498</c:v>
                </c:pt>
                <c:pt idx="960">
                  <c:v>-7.935337643602093</c:v>
                </c:pt>
                <c:pt idx="961">
                  <c:v>-7.935393998166953</c:v>
                </c:pt>
                <c:pt idx="962">
                  <c:v>-7.935450351421844</c:v>
                </c:pt>
                <c:pt idx="963">
                  <c:v>-7.9355067033667934</c:v>
                </c:pt>
                <c:pt idx="964">
                  <c:v>-7.9355630540018067</c:v>
                </c:pt>
                <c:pt idx="965">
                  <c:v>-7.9356194033269105</c:v>
                </c:pt>
                <c:pt idx="966">
                  <c:v>-7.9356757513421181</c:v>
                </c:pt>
                <c:pt idx="967">
                  <c:v>-7.9357320980474526</c:v>
                </c:pt>
                <c:pt idx="968">
                  <c:v>-7.9357884434429256</c:v>
                </c:pt>
                <c:pt idx="969">
                  <c:v>-7.93584478752856</c:v>
                </c:pt>
                <c:pt idx="970">
                  <c:v>-7.9359011303043703</c:v>
                </c:pt>
                <c:pt idx="971">
                  <c:v>-7.9359574717703794</c:v>
                </c:pt>
                <c:pt idx="972">
                  <c:v>-7.9360138119266024</c:v>
                </c:pt>
                <c:pt idx="973">
                  <c:v>-7.9360701507730553</c:v>
                </c:pt>
                <c:pt idx="974">
                  <c:v>-7.9361264883097586</c:v>
                </c:pt>
                <c:pt idx="975">
                  <c:v>-7.9361828245367292</c:v>
                </c:pt>
                <c:pt idx="976">
                  <c:v>-7.9362391594539812</c:v>
                </c:pt>
                <c:pt idx="977">
                  <c:v>-7.9362954930615386</c:v>
                </c:pt>
                <c:pt idx="978">
                  <c:v>-7.9363518253594201</c:v>
                </c:pt>
                <c:pt idx="979">
                  <c:v>-7.9364081563476372</c:v>
                </c:pt>
                <c:pt idx="980">
                  <c:v>-7.9364644860262112</c:v>
                </c:pt>
                <c:pt idx="981">
                  <c:v>-7.9365208143951618</c:v>
                </c:pt>
                <c:pt idx="982">
                  <c:v>-7.9365771414545039</c:v>
                </c:pt>
                <c:pt idx="983">
                  <c:v>-7.936633467204258</c:v>
                </c:pt>
                <c:pt idx="984">
                  <c:v>-7.936689791644441</c:v>
                </c:pt>
                <c:pt idx="985">
                  <c:v>-7.9367461147750689</c:v>
                </c:pt>
                <c:pt idx="986">
                  <c:v>-7.9368024365961638</c:v>
                </c:pt>
                <c:pt idx="987">
                  <c:v>-7.9368587571077382</c:v>
                </c:pt>
                <c:pt idx="988">
                  <c:v>-7.9369150763098171</c:v>
                </c:pt>
                <c:pt idx="989">
                  <c:v>-7.9369713942024118</c:v>
                </c:pt>
                <c:pt idx="990">
                  <c:v>-7.9370277107855429</c:v>
                </c:pt>
                <c:pt idx="991">
                  <c:v>-7.9370840260592246</c:v>
                </c:pt>
                <c:pt idx="992">
                  <c:v>-7.9371403400234843</c:v>
                </c:pt>
                <c:pt idx="993">
                  <c:v>-7.937196652678332</c:v>
                </c:pt>
                <c:pt idx="994">
                  <c:v>-7.9372529640237843</c:v>
                </c:pt>
                <c:pt idx="995">
                  <c:v>-7.937309274059869</c:v>
                </c:pt>
                <c:pt idx="996">
                  <c:v>-7.9373655827865912</c:v>
                </c:pt>
                <c:pt idx="997">
                  <c:v>-7.9374218902039804</c:v>
                </c:pt>
                <c:pt idx="998">
                  <c:v>-7.9374781963120462</c:v>
                </c:pt>
                <c:pt idx="999">
                  <c:v>-7.9375345011108118</c:v>
                </c:pt>
                <c:pt idx="1000">
                  <c:v>-7.937590804600295</c:v>
                </c:pt>
              </c:numCache>
            </c:numRef>
          </c:yVal>
        </c:ser>
        <c:axId val="149575168"/>
        <c:axId val="149577088"/>
      </c:scatterChart>
      <c:valAx>
        <c:axId val="149575168"/>
        <c:scaling>
          <c:orientation val="minMax"/>
        </c:scaling>
        <c:axPos val="b"/>
        <c:majorGridlines>
          <c:spPr>
            <a:ln w="3175">
              <a:solidFill>
                <a:srgbClr val="000000"/>
              </a:solidFill>
              <a:prstDash val="sysDash"/>
            </a:ln>
          </c:spPr>
        </c:majorGridlines>
        <c:title>
          <c:tx>
            <c:strRef>
              <c:f>Courbes!$B$146</c:f>
              <c:strCache>
                <c:ptCount val="1"/>
                <c:pt idx="0">
                  <c:v>Temps [s]</c:v>
                </c:pt>
              </c:strCache>
            </c:strRef>
          </c:tx>
          <c:layout/>
          <c:txPr>
            <a:bodyPr/>
            <a:lstStyle/>
            <a:p>
              <a:pPr>
                <a:defRPr sz="1000" b="1" i="0" u="none" strike="noStrike" baseline="0">
                  <a:solidFill>
                    <a:srgbClr val="000000"/>
                  </a:solidFill>
                  <a:latin typeface="Arial"/>
                  <a:ea typeface="Arial"/>
                  <a:cs typeface="Arial"/>
                </a:defRPr>
              </a:pPr>
              <a:endParaRPr lang="fr-FR"/>
            </a:p>
          </c:txPr>
        </c:title>
        <c:numFmt formatCode="0" sourceLinked="0"/>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spPr>
            <a:noFill/>
            <a:ln w="25400">
              <a:noFill/>
            </a:ln>
          </c:spPr>
        </c:title>
        <c:numFmt formatCode="0" sourceLinked="0"/>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200" b="1" i="0" u="none" strike="noStrike" baseline="0">
                <a:solidFill>
                  <a:srgbClr val="000000"/>
                </a:solidFill>
                <a:latin typeface="Arial"/>
                <a:ea typeface="Arial"/>
                <a:cs typeface="Arial"/>
              </a:defRPr>
            </a:pPr>
            <a:r>
              <a:rPr lang="fr-FR"/>
              <a:t>Positions</a:t>
            </a:r>
          </a:p>
        </c:rich>
      </c:tx>
      <c:layout/>
      <c:overlay val="1"/>
    </c:title>
    <c:plotArea>
      <c:layout>
        <c:manualLayout>
          <c:layoutTarget val="inner"/>
          <c:xMode val="edge"/>
          <c:yMode val="edge"/>
          <c:x val="0.11674528301886802"/>
          <c:y val="9.4771544282144501E-2"/>
          <c:w val="0.86438679245283023"/>
          <c:h val="0.73856444854360881"/>
        </c:manualLayout>
      </c:layout>
      <c:scatterChart>
        <c:scatterStyle val="lineMarker"/>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16.900099999999973</c:v>
                </c:pt>
                <c:pt idx="351">
                  <c:v>16.900199999999973</c:v>
                </c:pt>
                <c:pt idx="352">
                  <c:v>16.900299999999973</c:v>
                </c:pt>
                <c:pt idx="353">
                  <c:v>16.900399999999973</c:v>
                </c:pt>
                <c:pt idx="354">
                  <c:v>16.900499999999973</c:v>
                </c:pt>
                <c:pt idx="355">
                  <c:v>16.900599999999972</c:v>
                </c:pt>
                <c:pt idx="356">
                  <c:v>16.900699999999972</c:v>
                </c:pt>
                <c:pt idx="357">
                  <c:v>16.900799999999972</c:v>
                </c:pt>
                <c:pt idx="358">
                  <c:v>16.900899999999972</c:v>
                </c:pt>
                <c:pt idx="359">
                  <c:v>16.900999999999971</c:v>
                </c:pt>
                <c:pt idx="360">
                  <c:v>16.901099999999971</c:v>
                </c:pt>
                <c:pt idx="361">
                  <c:v>16.901199999999971</c:v>
                </c:pt>
                <c:pt idx="362">
                  <c:v>16.901299999999971</c:v>
                </c:pt>
                <c:pt idx="363">
                  <c:v>16.90139999999997</c:v>
                </c:pt>
                <c:pt idx="364">
                  <c:v>16.90149999999997</c:v>
                </c:pt>
                <c:pt idx="365">
                  <c:v>16.90159999999997</c:v>
                </c:pt>
                <c:pt idx="366">
                  <c:v>16.90169999999997</c:v>
                </c:pt>
                <c:pt idx="367">
                  <c:v>16.90179999999997</c:v>
                </c:pt>
                <c:pt idx="368">
                  <c:v>16.901899999999969</c:v>
                </c:pt>
                <c:pt idx="369">
                  <c:v>16.901999999999969</c:v>
                </c:pt>
                <c:pt idx="370">
                  <c:v>16.902099999999969</c:v>
                </c:pt>
                <c:pt idx="371">
                  <c:v>16.902199999999969</c:v>
                </c:pt>
                <c:pt idx="372">
                  <c:v>16.902299999999968</c:v>
                </c:pt>
                <c:pt idx="373">
                  <c:v>16.902399999999968</c:v>
                </c:pt>
                <c:pt idx="374">
                  <c:v>16.902499999999968</c:v>
                </c:pt>
                <c:pt idx="375">
                  <c:v>16.902599999999968</c:v>
                </c:pt>
                <c:pt idx="376">
                  <c:v>16.902699999999967</c:v>
                </c:pt>
                <c:pt idx="377">
                  <c:v>16.902799999999967</c:v>
                </c:pt>
                <c:pt idx="378">
                  <c:v>16.902899999999967</c:v>
                </c:pt>
                <c:pt idx="379">
                  <c:v>16.902999999999967</c:v>
                </c:pt>
                <c:pt idx="380">
                  <c:v>16.903099999999966</c:v>
                </c:pt>
                <c:pt idx="381">
                  <c:v>16.903199999999966</c:v>
                </c:pt>
                <c:pt idx="382">
                  <c:v>16.903299999999966</c:v>
                </c:pt>
                <c:pt idx="383">
                  <c:v>16.903399999999966</c:v>
                </c:pt>
                <c:pt idx="384">
                  <c:v>16.903499999999966</c:v>
                </c:pt>
                <c:pt idx="385">
                  <c:v>16.903599999999965</c:v>
                </c:pt>
                <c:pt idx="386">
                  <c:v>16.903699999999965</c:v>
                </c:pt>
                <c:pt idx="387">
                  <c:v>16.903799999999965</c:v>
                </c:pt>
                <c:pt idx="388">
                  <c:v>16.903899999999965</c:v>
                </c:pt>
                <c:pt idx="389">
                  <c:v>16.903999999999964</c:v>
                </c:pt>
                <c:pt idx="390">
                  <c:v>16.904099999999964</c:v>
                </c:pt>
                <c:pt idx="391">
                  <c:v>16.904199999999964</c:v>
                </c:pt>
                <c:pt idx="392">
                  <c:v>16.904299999999964</c:v>
                </c:pt>
                <c:pt idx="393">
                  <c:v>16.904399999999963</c:v>
                </c:pt>
                <c:pt idx="394">
                  <c:v>16.904499999999963</c:v>
                </c:pt>
                <c:pt idx="395">
                  <c:v>16.904599999999963</c:v>
                </c:pt>
                <c:pt idx="396">
                  <c:v>16.904699999999963</c:v>
                </c:pt>
                <c:pt idx="397">
                  <c:v>16.904799999999963</c:v>
                </c:pt>
                <c:pt idx="398">
                  <c:v>16.904899999999962</c:v>
                </c:pt>
                <c:pt idx="399">
                  <c:v>16.904999999999962</c:v>
                </c:pt>
                <c:pt idx="400">
                  <c:v>16.905099999999962</c:v>
                </c:pt>
                <c:pt idx="401">
                  <c:v>16.905199999999962</c:v>
                </c:pt>
                <c:pt idx="402">
                  <c:v>16.905299999999961</c:v>
                </c:pt>
                <c:pt idx="403">
                  <c:v>16.905399999999961</c:v>
                </c:pt>
                <c:pt idx="404">
                  <c:v>16.905499999999961</c:v>
                </c:pt>
                <c:pt idx="405">
                  <c:v>16.905599999999961</c:v>
                </c:pt>
                <c:pt idx="406">
                  <c:v>16.90569999999996</c:v>
                </c:pt>
                <c:pt idx="407">
                  <c:v>16.90579999999996</c:v>
                </c:pt>
                <c:pt idx="408">
                  <c:v>16.90589999999996</c:v>
                </c:pt>
                <c:pt idx="409">
                  <c:v>16.90599999999996</c:v>
                </c:pt>
                <c:pt idx="410">
                  <c:v>16.906099999999959</c:v>
                </c:pt>
                <c:pt idx="411">
                  <c:v>16.906199999999959</c:v>
                </c:pt>
                <c:pt idx="412">
                  <c:v>16.906299999999959</c:v>
                </c:pt>
                <c:pt idx="413">
                  <c:v>16.906399999999959</c:v>
                </c:pt>
                <c:pt idx="414">
                  <c:v>16.906499999999959</c:v>
                </c:pt>
                <c:pt idx="415">
                  <c:v>16.906599999999958</c:v>
                </c:pt>
                <c:pt idx="416">
                  <c:v>16.906699999999958</c:v>
                </c:pt>
                <c:pt idx="417">
                  <c:v>16.906799999999958</c:v>
                </c:pt>
                <c:pt idx="418">
                  <c:v>16.906899999999958</c:v>
                </c:pt>
                <c:pt idx="419">
                  <c:v>16.906999999999957</c:v>
                </c:pt>
                <c:pt idx="420">
                  <c:v>16.907099999999957</c:v>
                </c:pt>
                <c:pt idx="421">
                  <c:v>16.907199999999957</c:v>
                </c:pt>
                <c:pt idx="422">
                  <c:v>16.907299999999957</c:v>
                </c:pt>
                <c:pt idx="423">
                  <c:v>16.907399999999956</c:v>
                </c:pt>
                <c:pt idx="424">
                  <c:v>16.907499999999956</c:v>
                </c:pt>
                <c:pt idx="425">
                  <c:v>16.907599999999956</c:v>
                </c:pt>
                <c:pt idx="426">
                  <c:v>16.907699999999956</c:v>
                </c:pt>
                <c:pt idx="427">
                  <c:v>16.907799999999956</c:v>
                </c:pt>
                <c:pt idx="428">
                  <c:v>16.907899999999955</c:v>
                </c:pt>
                <c:pt idx="429">
                  <c:v>16.907999999999955</c:v>
                </c:pt>
                <c:pt idx="430">
                  <c:v>16.908099999999955</c:v>
                </c:pt>
                <c:pt idx="431">
                  <c:v>16.908199999999955</c:v>
                </c:pt>
                <c:pt idx="432">
                  <c:v>16.908299999999954</c:v>
                </c:pt>
                <c:pt idx="433">
                  <c:v>16.908399999999954</c:v>
                </c:pt>
                <c:pt idx="434">
                  <c:v>16.908499999999954</c:v>
                </c:pt>
                <c:pt idx="435">
                  <c:v>16.908599999999954</c:v>
                </c:pt>
                <c:pt idx="436">
                  <c:v>16.908699999999953</c:v>
                </c:pt>
                <c:pt idx="437">
                  <c:v>16.908799999999953</c:v>
                </c:pt>
                <c:pt idx="438">
                  <c:v>16.908899999999953</c:v>
                </c:pt>
                <c:pt idx="439">
                  <c:v>16.908999999999953</c:v>
                </c:pt>
                <c:pt idx="440">
                  <c:v>16.909099999999953</c:v>
                </c:pt>
                <c:pt idx="441">
                  <c:v>16.909199999999952</c:v>
                </c:pt>
                <c:pt idx="442">
                  <c:v>16.909299999999952</c:v>
                </c:pt>
                <c:pt idx="443">
                  <c:v>16.909399999999952</c:v>
                </c:pt>
                <c:pt idx="444">
                  <c:v>16.909499999999952</c:v>
                </c:pt>
                <c:pt idx="445">
                  <c:v>16.909599999999951</c:v>
                </c:pt>
                <c:pt idx="446">
                  <c:v>16.909699999999951</c:v>
                </c:pt>
                <c:pt idx="447">
                  <c:v>16.909799999999951</c:v>
                </c:pt>
                <c:pt idx="448">
                  <c:v>16.909899999999951</c:v>
                </c:pt>
                <c:pt idx="449">
                  <c:v>16.90999999999995</c:v>
                </c:pt>
                <c:pt idx="450">
                  <c:v>16.91009999999995</c:v>
                </c:pt>
                <c:pt idx="451">
                  <c:v>16.91019999999995</c:v>
                </c:pt>
                <c:pt idx="452">
                  <c:v>16.91029999999995</c:v>
                </c:pt>
                <c:pt idx="453">
                  <c:v>16.910399999999949</c:v>
                </c:pt>
                <c:pt idx="454">
                  <c:v>16.910499999999949</c:v>
                </c:pt>
                <c:pt idx="455">
                  <c:v>16.910599999999949</c:v>
                </c:pt>
                <c:pt idx="456">
                  <c:v>16.910699999999949</c:v>
                </c:pt>
                <c:pt idx="457">
                  <c:v>16.910799999999949</c:v>
                </c:pt>
                <c:pt idx="458">
                  <c:v>16.910899999999948</c:v>
                </c:pt>
                <c:pt idx="459">
                  <c:v>16.910999999999948</c:v>
                </c:pt>
                <c:pt idx="460">
                  <c:v>16.911099999999948</c:v>
                </c:pt>
                <c:pt idx="461">
                  <c:v>16.911199999999948</c:v>
                </c:pt>
                <c:pt idx="462">
                  <c:v>16.911299999999947</c:v>
                </c:pt>
                <c:pt idx="463">
                  <c:v>16.911399999999947</c:v>
                </c:pt>
                <c:pt idx="464">
                  <c:v>16.911499999999947</c:v>
                </c:pt>
                <c:pt idx="465">
                  <c:v>16.911599999999947</c:v>
                </c:pt>
                <c:pt idx="466">
                  <c:v>16.911699999999946</c:v>
                </c:pt>
                <c:pt idx="467">
                  <c:v>16.911799999999946</c:v>
                </c:pt>
                <c:pt idx="468">
                  <c:v>16.911899999999946</c:v>
                </c:pt>
                <c:pt idx="469">
                  <c:v>16.911999999999946</c:v>
                </c:pt>
                <c:pt idx="470">
                  <c:v>16.912099999999946</c:v>
                </c:pt>
                <c:pt idx="471">
                  <c:v>16.912199999999945</c:v>
                </c:pt>
                <c:pt idx="472">
                  <c:v>16.912299999999945</c:v>
                </c:pt>
                <c:pt idx="473">
                  <c:v>16.912399999999945</c:v>
                </c:pt>
                <c:pt idx="474">
                  <c:v>16.912499999999945</c:v>
                </c:pt>
                <c:pt idx="475">
                  <c:v>16.912599999999944</c:v>
                </c:pt>
                <c:pt idx="476">
                  <c:v>16.912699999999944</c:v>
                </c:pt>
                <c:pt idx="477">
                  <c:v>16.912799999999944</c:v>
                </c:pt>
                <c:pt idx="478">
                  <c:v>16.912899999999944</c:v>
                </c:pt>
                <c:pt idx="479">
                  <c:v>16.912999999999943</c:v>
                </c:pt>
                <c:pt idx="480">
                  <c:v>16.913099999999943</c:v>
                </c:pt>
                <c:pt idx="481">
                  <c:v>16.913199999999943</c:v>
                </c:pt>
                <c:pt idx="482">
                  <c:v>16.913299999999943</c:v>
                </c:pt>
                <c:pt idx="483">
                  <c:v>16.913399999999942</c:v>
                </c:pt>
                <c:pt idx="484">
                  <c:v>16.913499999999942</c:v>
                </c:pt>
                <c:pt idx="485">
                  <c:v>16.913599999999942</c:v>
                </c:pt>
                <c:pt idx="486">
                  <c:v>16.913699999999942</c:v>
                </c:pt>
                <c:pt idx="487">
                  <c:v>16.913799999999942</c:v>
                </c:pt>
                <c:pt idx="488">
                  <c:v>16.913899999999941</c:v>
                </c:pt>
                <c:pt idx="489">
                  <c:v>16.913999999999941</c:v>
                </c:pt>
                <c:pt idx="490">
                  <c:v>16.914099999999941</c:v>
                </c:pt>
                <c:pt idx="491">
                  <c:v>16.914199999999941</c:v>
                </c:pt>
                <c:pt idx="492">
                  <c:v>16.91429999999994</c:v>
                </c:pt>
                <c:pt idx="493">
                  <c:v>16.91439999999994</c:v>
                </c:pt>
                <c:pt idx="494">
                  <c:v>16.91449999999994</c:v>
                </c:pt>
                <c:pt idx="495">
                  <c:v>16.91459999999994</c:v>
                </c:pt>
                <c:pt idx="496">
                  <c:v>16.914699999999939</c:v>
                </c:pt>
                <c:pt idx="497">
                  <c:v>16.914799999999939</c:v>
                </c:pt>
                <c:pt idx="498">
                  <c:v>16.914899999999939</c:v>
                </c:pt>
                <c:pt idx="499">
                  <c:v>16.914999999999939</c:v>
                </c:pt>
                <c:pt idx="500">
                  <c:v>16.915099999999939</c:v>
                </c:pt>
                <c:pt idx="501">
                  <c:v>16.915199999999938</c:v>
                </c:pt>
                <c:pt idx="502">
                  <c:v>16.915299999999938</c:v>
                </c:pt>
                <c:pt idx="503">
                  <c:v>16.915399999999938</c:v>
                </c:pt>
                <c:pt idx="504">
                  <c:v>16.915499999999938</c:v>
                </c:pt>
                <c:pt idx="505">
                  <c:v>16.915599999999937</c:v>
                </c:pt>
                <c:pt idx="506">
                  <c:v>16.915699999999937</c:v>
                </c:pt>
                <c:pt idx="507">
                  <c:v>16.915799999999937</c:v>
                </c:pt>
                <c:pt idx="508">
                  <c:v>16.915899999999937</c:v>
                </c:pt>
                <c:pt idx="509">
                  <c:v>16.915999999999936</c:v>
                </c:pt>
                <c:pt idx="510">
                  <c:v>16.916099999999936</c:v>
                </c:pt>
                <c:pt idx="511">
                  <c:v>16.916199999999936</c:v>
                </c:pt>
                <c:pt idx="512">
                  <c:v>16.916299999999936</c:v>
                </c:pt>
                <c:pt idx="513">
                  <c:v>16.916399999999935</c:v>
                </c:pt>
                <c:pt idx="514">
                  <c:v>16.916499999999935</c:v>
                </c:pt>
                <c:pt idx="515">
                  <c:v>16.916599999999935</c:v>
                </c:pt>
                <c:pt idx="516">
                  <c:v>16.916699999999935</c:v>
                </c:pt>
                <c:pt idx="517">
                  <c:v>16.916799999999935</c:v>
                </c:pt>
                <c:pt idx="518">
                  <c:v>16.916899999999934</c:v>
                </c:pt>
                <c:pt idx="519">
                  <c:v>16.916999999999934</c:v>
                </c:pt>
                <c:pt idx="520">
                  <c:v>16.917099999999934</c:v>
                </c:pt>
                <c:pt idx="521">
                  <c:v>16.917199999999934</c:v>
                </c:pt>
                <c:pt idx="522">
                  <c:v>16.917299999999933</c:v>
                </c:pt>
                <c:pt idx="523">
                  <c:v>16.917399999999933</c:v>
                </c:pt>
                <c:pt idx="524">
                  <c:v>16.917499999999933</c:v>
                </c:pt>
                <c:pt idx="525">
                  <c:v>16.917599999999933</c:v>
                </c:pt>
                <c:pt idx="526">
                  <c:v>16.917699999999932</c:v>
                </c:pt>
                <c:pt idx="527">
                  <c:v>16.917799999999932</c:v>
                </c:pt>
                <c:pt idx="528">
                  <c:v>16.917899999999932</c:v>
                </c:pt>
                <c:pt idx="529">
                  <c:v>16.917999999999932</c:v>
                </c:pt>
                <c:pt idx="530">
                  <c:v>16.918099999999932</c:v>
                </c:pt>
                <c:pt idx="531">
                  <c:v>16.918199999999931</c:v>
                </c:pt>
                <c:pt idx="532">
                  <c:v>16.918299999999931</c:v>
                </c:pt>
                <c:pt idx="533">
                  <c:v>16.918399999999931</c:v>
                </c:pt>
                <c:pt idx="534">
                  <c:v>16.918499999999931</c:v>
                </c:pt>
                <c:pt idx="535">
                  <c:v>16.91859999999993</c:v>
                </c:pt>
                <c:pt idx="536">
                  <c:v>16.91869999999993</c:v>
                </c:pt>
                <c:pt idx="537">
                  <c:v>16.91879999999993</c:v>
                </c:pt>
                <c:pt idx="538">
                  <c:v>16.91889999999993</c:v>
                </c:pt>
                <c:pt idx="539">
                  <c:v>16.918999999999929</c:v>
                </c:pt>
                <c:pt idx="540">
                  <c:v>16.919099999999929</c:v>
                </c:pt>
                <c:pt idx="541">
                  <c:v>16.919199999999929</c:v>
                </c:pt>
                <c:pt idx="542">
                  <c:v>16.919299999999929</c:v>
                </c:pt>
                <c:pt idx="543">
                  <c:v>16.919399999999928</c:v>
                </c:pt>
                <c:pt idx="544">
                  <c:v>16.919499999999928</c:v>
                </c:pt>
                <c:pt idx="545">
                  <c:v>16.919599999999928</c:v>
                </c:pt>
                <c:pt idx="546">
                  <c:v>16.919699999999928</c:v>
                </c:pt>
                <c:pt idx="547">
                  <c:v>16.919799999999928</c:v>
                </c:pt>
                <c:pt idx="548">
                  <c:v>16.919899999999927</c:v>
                </c:pt>
                <c:pt idx="549">
                  <c:v>16.919999999999927</c:v>
                </c:pt>
                <c:pt idx="550">
                  <c:v>16.920099999999927</c:v>
                </c:pt>
                <c:pt idx="551">
                  <c:v>16.920199999999927</c:v>
                </c:pt>
                <c:pt idx="552">
                  <c:v>16.920299999999926</c:v>
                </c:pt>
                <c:pt idx="553">
                  <c:v>16.920399999999926</c:v>
                </c:pt>
                <c:pt idx="554">
                  <c:v>16.920499999999926</c:v>
                </c:pt>
                <c:pt idx="555">
                  <c:v>16.920599999999926</c:v>
                </c:pt>
                <c:pt idx="556">
                  <c:v>16.920699999999925</c:v>
                </c:pt>
                <c:pt idx="557">
                  <c:v>16.920799999999925</c:v>
                </c:pt>
                <c:pt idx="558">
                  <c:v>16.920899999999925</c:v>
                </c:pt>
                <c:pt idx="559">
                  <c:v>16.920999999999925</c:v>
                </c:pt>
                <c:pt idx="560">
                  <c:v>16.921099999999925</c:v>
                </c:pt>
                <c:pt idx="561">
                  <c:v>16.921199999999924</c:v>
                </c:pt>
                <c:pt idx="562">
                  <c:v>16.921299999999924</c:v>
                </c:pt>
                <c:pt idx="563">
                  <c:v>16.921399999999924</c:v>
                </c:pt>
                <c:pt idx="564">
                  <c:v>16.921499999999924</c:v>
                </c:pt>
                <c:pt idx="565">
                  <c:v>16.921599999999923</c:v>
                </c:pt>
                <c:pt idx="566">
                  <c:v>16.921699999999923</c:v>
                </c:pt>
                <c:pt idx="567">
                  <c:v>16.921799999999923</c:v>
                </c:pt>
                <c:pt idx="568">
                  <c:v>16.921899999999923</c:v>
                </c:pt>
                <c:pt idx="569">
                  <c:v>16.921999999999922</c:v>
                </c:pt>
                <c:pt idx="570">
                  <c:v>16.922099999999922</c:v>
                </c:pt>
                <c:pt idx="571">
                  <c:v>16.922199999999922</c:v>
                </c:pt>
                <c:pt idx="572">
                  <c:v>16.922299999999922</c:v>
                </c:pt>
                <c:pt idx="573">
                  <c:v>16.922399999999922</c:v>
                </c:pt>
                <c:pt idx="574">
                  <c:v>16.922499999999921</c:v>
                </c:pt>
                <c:pt idx="575">
                  <c:v>16.922599999999921</c:v>
                </c:pt>
                <c:pt idx="576">
                  <c:v>16.922699999999921</c:v>
                </c:pt>
                <c:pt idx="577">
                  <c:v>16.922799999999921</c:v>
                </c:pt>
                <c:pt idx="578">
                  <c:v>16.92289999999992</c:v>
                </c:pt>
                <c:pt idx="579">
                  <c:v>16.92299999999992</c:v>
                </c:pt>
                <c:pt idx="580">
                  <c:v>16.92309999999992</c:v>
                </c:pt>
                <c:pt idx="581">
                  <c:v>16.92319999999992</c:v>
                </c:pt>
                <c:pt idx="582">
                  <c:v>16.923299999999919</c:v>
                </c:pt>
                <c:pt idx="583">
                  <c:v>16.923399999999919</c:v>
                </c:pt>
                <c:pt idx="584">
                  <c:v>16.923499999999919</c:v>
                </c:pt>
                <c:pt idx="585">
                  <c:v>16.923599999999919</c:v>
                </c:pt>
                <c:pt idx="586">
                  <c:v>16.923699999999918</c:v>
                </c:pt>
                <c:pt idx="587">
                  <c:v>16.923799999999918</c:v>
                </c:pt>
                <c:pt idx="588">
                  <c:v>16.923899999999918</c:v>
                </c:pt>
                <c:pt idx="589">
                  <c:v>16.923999999999918</c:v>
                </c:pt>
                <c:pt idx="590">
                  <c:v>16.924099999999918</c:v>
                </c:pt>
                <c:pt idx="591">
                  <c:v>16.924199999999917</c:v>
                </c:pt>
                <c:pt idx="592">
                  <c:v>16.924299999999917</c:v>
                </c:pt>
                <c:pt idx="593">
                  <c:v>16.924399999999917</c:v>
                </c:pt>
                <c:pt idx="594">
                  <c:v>16.924499999999917</c:v>
                </c:pt>
                <c:pt idx="595">
                  <c:v>16.924599999999916</c:v>
                </c:pt>
                <c:pt idx="596">
                  <c:v>16.924699999999916</c:v>
                </c:pt>
                <c:pt idx="597">
                  <c:v>16.924799999999916</c:v>
                </c:pt>
                <c:pt idx="598">
                  <c:v>16.924899999999916</c:v>
                </c:pt>
                <c:pt idx="599">
                  <c:v>16.924999999999915</c:v>
                </c:pt>
                <c:pt idx="600">
                  <c:v>16.925099999999915</c:v>
                </c:pt>
                <c:pt idx="601">
                  <c:v>16.925199999999915</c:v>
                </c:pt>
                <c:pt idx="602">
                  <c:v>16.925299999999915</c:v>
                </c:pt>
                <c:pt idx="603">
                  <c:v>16.925399999999915</c:v>
                </c:pt>
                <c:pt idx="604">
                  <c:v>16.925499999999914</c:v>
                </c:pt>
                <c:pt idx="605">
                  <c:v>16.925599999999914</c:v>
                </c:pt>
                <c:pt idx="606">
                  <c:v>16.925699999999914</c:v>
                </c:pt>
                <c:pt idx="607">
                  <c:v>16.925799999999914</c:v>
                </c:pt>
                <c:pt idx="608">
                  <c:v>16.925899999999913</c:v>
                </c:pt>
                <c:pt idx="609">
                  <c:v>16.925999999999913</c:v>
                </c:pt>
                <c:pt idx="610">
                  <c:v>16.926099999999913</c:v>
                </c:pt>
                <c:pt idx="611">
                  <c:v>16.926199999999913</c:v>
                </c:pt>
                <c:pt idx="612">
                  <c:v>16.926299999999912</c:v>
                </c:pt>
                <c:pt idx="613">
                  <c:v>16.926399999999912</c:v>
                </c:pt>
                <c:pt idx="614">
                  <c:v>16.926499999999912</c:v>
                </c:pt>
                <c:pt idx="615">
                  <c:v>16.926599999999912</c:v>
                </c:pt>
                <c:pt idx="616">
                  <c:v>16.926699999999911</c:v>
                </c:pt>
                <c:pt idx="617">
                  <c:v>16.926799999999911</c:v>
                </c:pt>
                <c:pt idx="618">
                  <c:v>16.926899999999911</c:v>
                </c:pt>
                <c:pt idx="619">
                  <c:v>16.926999999999911</c:v>
                </c:pt>
                <c:pt idx="620">
                  <c:v>16.927099999999911</c:v>
                </c:pt>
                <c:pt idx="621">
                  <c:v>16.92719999999991</c:v>
                </c:pt>
                <c:pt idx="622">
                  <c:v>16.92729999999991</c:v>
                </c:pt>
                <c:pt idx="623">
                  <c:v>16.92739999999991</c:v>
                </c:pt>
                <c:pt idx="624">
                  <c:v>16.92749999999991</c:v>
                </c:pt>
                <c:pt idx="625">
                  <c:v>16.927599999999909</c:v>
                </c:pt>
                <c:pt idx="626">
                  <c:v>16.927699999999909</c:v>
                </c:pt>
                <c:pt idx="627">
                  <c:v>16.927799999999909</c:v>
                </c:pt>
                <c:pt idx="628">
                  <c:v>16.927899999999909</c:v>
                </c:pt>
                <c:pt idx="629">
                  <c:v>16.927999999999908</c:v>
                </c:pt>
                <c:pt idx="630">
                  <c:v>16.928099999999908</c:v>
                </c:pt>
                <c:pt idx="631">
                  <c:v>16.928199999999908</c:v>
                </c:pt>
                <c:pt idx="632">
                  <c:v>16.928299999999908</c:v>
                </c:pt>
                <c:pt idx="633">
                  <c:v>16.928399999999908</c:v>
                </c:pt>
                <c:pt idx="634">
                  <c:v>16.928499999999907</c:v>
                </c:pt>
                <c:pt idx="635">
                  <c:v>16.928599999999907</c:v>
                </c:pt>
                <c:pt idx="636">
                  <c:v>16.928699999999907</c:v>
                </c:pt>
                <c:pt idx="637">
                  <c:v>16.928799999999907</c:v>
                </c:pt>
                <c:pt idx="638">
                  <c:v>16.928899999999906</c:v>
                </c:pt>
                <c:pt idx="639">
                  <c:v>16.928999999999906</c:v>
                </c:pt>
                <c:pt idx="640">
                  <c:v>16.929099999999906</c:v>
                </c:pt>
                <c:pt idx="641">
                  <c:v>16.929199999999906</c:v>
                </c:pt>
                <c:pt idx="642">
                  <c:v>16.929299999999905</c:v>
                </c:pt>
                <c:pt idx="643">
                  <c:v>16.929399999999905</c:v>
                </c:pt>
                <c:pt idx="644">
                  <c:v>16.929499999999905</c:v>
                </c:pt>
                <c:pt idx="645">
                  <c:v>16.929599999999905</c:v>
                </c:pt>
                <c:pt idx="646">
                  <c:v>16.929699999999904</c:v>
                </c:pt>
                <c:pt idx="647">
                  <c:v>16.929799999999904</c:v>
                </c:pt>
                <c:pt idx="648">
                  <c:v>16.929899999999904</c:v>
                </c:pt>
                <c:pt idx="649">
                  <c:v>16.929999999999904</c:v>
                </c:pt>
                <c:pt idx="650">
                  <c:v>16.930099999999904</c:v>
                </c:pt>
                <c:pt idx="651">
                  <c:v>16.930199999999903</c:v>
                </c:pt>
                <c:pt idx="652">
                  <c:v>16.930299999999903</c:v>
                </c:pt>
                <c:pt idx="653">
                  <c:v>16.930399999999903</c:v>
                </c:pt>
                <c:pt idx="654">
                  <c:v>16.930499999999903</c:v>
                </c:pt>
                <c:pt idx="655">
                  <c:v>16.930599999999902</c:v>
                </c:pt>
                <c:pt idx="656">
                  <c:v>16.930699999999902</c:v>
                </c:pt>
                <c:pt idx="657">
                  <c:v>16.930799999999902</c:v>
                </c:pt>
                <c:pt idx="658">
                  <c:v>16.930899999999902</c:v>
                </c:pt>
                <c:pt idx="659">
                  <c:v>16.930999999999901</c:v>
                </c:pt>
                <c:pt idx="660">
                  <c:v>16.931099999999901</c:v>
                </c:pt>
                <c:pt idx="661">
                  <c:v>16.931199999999901</c:v>
                </c:pt>
                <c:pt idx="662">
                  <c:v>16.931299999999901</c:v>
                </c:pt>
                <c:pt idx="663">
                  <c:v>16.931399999999901</c:v>
                </c:pt>
                <c:pt idx="664">
                  <c:v>16.9314999999999</c:v>
                </c:pt>
                <c:pt idx="665">
                  <c:v>16.9315999999999</c:v>
                </c:pt>
                <c:pt idx="666">
                  <c:v>16.9316999999999</c:v>
                </c:pt>
                <c:pt idx="667">
                  <c:v>16.9317999999999</c:v>
                </c:pt>
                <c:pt idx="668">
                  <c:v>16.931899999999899</c:v>
                </c:pt>
                <c:pt idx="669">
                  <c:v>16.931999999999899</c:v>
                </c:pt>
                <c:pt idx="670">
                  <c:v>16.932099999999899</c:v>
                </c:pt>
                <c:pt idx="671">
                  <c:v>16.932199999999899</c:v>
                </c:pt>
                <c:pt idx="672">
                  <c:v>16.932299999999898</c:v>
                </c:pt>
                <c:pt idx="673">
                  <c:v>16.932399999999898</c:v>
                </c:pt>
                <c:pt idx="674">
                  <c:v>16.932499999999898</c:v>
                </c:pt>
                <c:pt idx="675">
                  <c:v>16.932599999999898</c:v>
                </c:pt>
                <c:pt idx="676">
                  <c:v>16.932699999999897</c:v>
                </c:pt>
                <c:pt idx="677">
                  <c:v>16.932799999999897</c:v>
                </c:pt>
                <c:pt idx="678">
                  <c:v>16.932899999999897</c:v>
                </c:pt>
                <c:pt idx="679">
                  <c:v>16.932999999999897</c:v>
                </c:pt>
                <c:pt idx="680">
                  <c:v>16.933099999999897</c:v>
                </c:pt>
                <c:pt idx="681">
                  <c:v>16.933199999999896</c:v>
                </c:pt>
                <c:pt idx="682">
                  <c:v>16.933299999999896</c:v>
                </c:pt>
                <c:pt idx="683">
                  <c:v>16.933399999999896</c:v>
                </c:pt>
                <c:pt idx="684">
                  <c:v>16.933499999999896</c:v>
                </c:pt>
                <c:pt idx="685">
                  <c:v>16.933599999999895</c:v>
                </c:pt>
                <c:pt idx="686">
                  <c:v>16.933699999999895</c:v>
                </c:pt>
                <c:pt idx="687">
                  <c:v>16.933799999999895</c:v>
                </c:pt>
                <c:pt idx="688">
                  <c:v>16.933899999999895</c:v>
                </c:pt>
                <c:pt idx="689">
                  <c:v>16.933999999999894</c:v>
                </c:pt>
                <c:pt idx="690">
                  <c:v>16.934099999999894</c:v>
                </c:pt>
                <c:pt idx="691">
                  <c:v>16.934199999999894</c:v>
                </c:pt>
                <c:pt idx="692">
                  <c:v>16.934299999999894</c:v>
                </c:pt>
                <c:pt idx="693">
                  <c:v>16.934399999999894</c:v>
                </c:pt>
                <c:pt idx="694">
                  <c:v>16.934499999999893</c:v>
                </c:pt>
                <c:pt idx="695">
                  <c:v>16.934599999999893</c:v>
                </c:pt>
                <c:pt idx="696">
                  <c:v>16.934699999999893</c:v>
                </c:pt>
                <c:pt idx="697">
                  <c:v>16.934799999999893</c:v>
                </c:pt>
                <c:pt idx="698">
                  <c:v>16.934899999999892</c:v>
                </c:pt>
                <c:pt idx="699">
                  <c:v>16.934999999999892</c:v>
                </c:pt>
                <c:pt idx="700">
                  <c:v>16.935099999999892</c:v>
                </c:pt>
                <c:pt idx="701">
                  <c:v>16.935199999999892</c:v>
                </c:pt>
                <c:pt idx="702">
                  <c:v>16.935299999999891</c:v>
                </c:pt>
                <c:pt idx="703">
                  <c:v>16.935399999999891</c:v>
                </c:pt>
                <c:pt idx="704">
                  <c:v>16.935499999999891</c:v>
                </c:pt>
                <c:pt idx="705">
                  <c:v>16.935599999999891</c:v>
                </c:pt>
                <c:pt idx="706">
                  <c:v>16.935699999999891</c:v>
                </c:pt>
                <c:pt idx="707">
                  <c:v>16.93579999999989</c:v>
                </c:pt>
                <c:pt idx="708">
                  <c:v>16.93589999999989</c:v>
                </c:pt>
                <c:pt idx="709">
                  <c:v>16.93599999999989</c:v>
                </c:pt>
                <c:pt idx="710">
                  <c:v>16.93609999999989</c:v>
                </c:pt>
                <c:pt idx="711">
                  <c:v>16.936199999999889</c:v>
                </c:pt>
                <c:pt idx="712">
                  <c:v>16.936299999999889</c:v>
                </c:pt>
                <c:pt idx="713">
                  <c:v>16.936399999999889</c:v>
                </c:pt>
                <c:pt idx="714">
                  <c:v>16.936499999999889</c:v>
                </c:pt>
                <c:pt idx="715">
                  <c:v>16.936599999999888</c:v>
                </c:pt>
                <c:pt idx="716">
                  <c:v>16.936699999999888</c:v>
                </c:pt>
                <c:pt idx="717">
                  <c:v>16.936799999999888</c:v>
                </c:pt>
                <c:pt idx="718">
                  <c:v>16.936899999999888</c:v>
                </c:pt>
                <c:pt idx="719">
                  <c:v>16.936999999999887</c:v>
                </c:pt>
                <c:pt idx="720">
                  <c:v>16.937099999999887</c:v>
                </c:pt>
                <c:pt idx="721">
                  <c:v>16.937199999999887</c:v>
                </c:pt>
                <c:pt idx="722">
                  <c:v>16.937299999999887</c:v>
                </c:pt>
                <c:pt idx="723">
                  <c:v>16.937399999999887</c:v>
                </c:pt>
                <c:pt idx="724">
                  <c:v>16.937499999999886</c:v>
                </c:pt>
                <c:pt idx="725">
                  <c:v>16.937599999999886</c:v>
                </c:pt>
                <c:pt idx="726">
                  <c:v>16.937699999999886</c:v>
                </c:pt>
                <c:pt idx="727">
                  <c:v>16.937799999999886</c:v>
                </c:pt>
                <c:pt idx="728">
                  <c:v>16.937899999999885</c:v>
                </c:pt>
                <c:pt idx="729">
                  <c:v>16.937999999999885</c:v>
                </c:pt>
                <c:pt idx="730">
                  <c:v>16.938099999999885</c:v>
                </c:pt>
                <c:pt idx="731">
                  <c:v>16.938199999999885</c:v>
                </c:pt>
                <c:pt idx="732">
                  <c:v>16.938299999999884</c:v>
                </c:pt>
                <c:pt idx="733">
                  <c:v>16.938399999999884</c:v>
                </c:pt>
                <c:pt idx="734">
                  <c:v>16.938499999999884</c:v>
                </c:pt>
                <c:pt idx="735">
                  <c:v>16.938599999999884</c:v>
                </c:pt>
                <c:pt idx="736">
                  <c:v>16.938699999999884</c:v>
                </c:pt>
                <c:pt idx="737">
                  <c:v>16.938799999999883</c:v>
                </c:pt>
                <c:pt idx="738">
                  <c:v>16.938899999999883</c:v>
                </c:pt>
                <c:pt idx="739">
                  <c:v>16.938999999999883</c:v>
                </c:pt>
                <c:pt idx="740">
                  <c:v>16.939099999999883</c:v>
                </c:pt>
                <c:pt idx="741">
                  <c:v>16.939199999999882</c:v>
                </c:pt>
                <c:pt idx="742">
                  <c:v>16.939299999999882</c:v>
                </c:pt>
                <c:pt idx="743">
                  <c:v>16.939399999999882</c:v>
                </c:pt>
                <c:pt idx="744">
                  <c:v>16.939499999999882</c:v>
                </c:pt>
                <c:pt idx="745">
                  <c:v>16.939599999999881</c:v>
                </c:pt>
                <c:pt idx="746">
                  <c:v>16.939699999999881</c:v>
                </c:pt>
                <c:pt idx="747">
                  <c:v>16.939799999999881</c:v>
                </c:pt>
                <c:pt idx="748">
                  <c:v>16.939899999999881</c:v>
                </c:pt>
                <c:pt idx="749">
                  <c:v>16.93999999999988</c:v>
                </c:pt>
                <c:pt idx="750">
                  <c:v>16.94009999999988</c:v>
                </c:pt>
                <c:pt idx="751">
                  <c:v>16.94019999999988</c:v>
                </c:pt>
                <c:pt idx="752">
                  <c:v>16.94029999999988</c:v>
                </c:pt>
                <c:pt idx="753">
                  <c:v>16.94039999999988</c:v>
                </c:pt>
                <c:pt idx="754">
                  <c:v>16.940499999999879</c:v>
                </c:pt>
                <c:pt idx="755">
                  <c:v>16.940599999999879</c:v>
                </c:pt>
                <c:pt idx="756">
                  <c:v>16.940699999999879</c:v>
                </c:pt>
                <c:pt idx="757">
                  <c:v>16.940799999999879</c:v>
                </c:pt>
                <c:pt idx="758">
                  <c:v>16.940899999999878</c:v>
                </c:pt>
                <c:pt idx="759">
                  <c:v>16.940999999999878</c:v>
                </c:pt>
                <c:pt idx="760">
                  <c:v>16.941099999999878</c:v>
                </c:pt>
                <c:pt idx="761">
                  <c:v>16.941199999999878</c:v>
                </c:pt>
                <c:pt idx="762">
                  <c:v>16.941299999999877</c:v>
                </c:pt>
                <c:pt idx="763">
                  <c:v>16.941399999999877</c:v>
                </c:pt>
                <c:pt idx="764">
                  <c:v>16.941499999999877</c:v>
                </c:pt>
                <c:pt idx="765">
                  <c:v>16.941599999999877</c:v>
                </c:pt>
                <c:pt idx="766">
                  <c:v>16.941699999999877</c:v>
                </c:pt>
                <c:pt idx="767">
                  <c:v>16.941799999999876</c:v>
                </c:pt>
                <c:pt idx="768">
                  <c:v>16.941899999999876</c:v>
                </c:pt>
                <c:pt idx="769">
                  <c:v>16.941999999999876</c:v>
                </c:pt>
                <c:pt idx="770">
                  <c:v>16.942099999999876</c:v>
                </c:pt>
                <c:pt idx="771">
                  <c:v>16.942199999999875</c:v>
                </c:pt>
                <c:pt idx="772">
                  <c:v>16.942299999999875</c:v>
                </c:pt>
                <c:pt idx="773">
                  <c:v>16.942399999999875</c:v>
                </c:pt>
                <c:pt idx="774">
                  <c:v>16.942499999999875</c:v>
                </c:pt>
                <c:pt idx="775">
                  <c:v>16.942599999999874</c:v>
                </c:pt>
                <c:pt idx="776">
                  <c:v>16.942699999999874</c:v>
                </c:pt>
                <c:pt idx="777">
                  <c:v>16.942799999999874</c:v>
                </c:pt>
                <c:pt idx="778">
                  <c:v>16.942899999999874</c:v>
                </c:pt>
                <c:pt idx="779">
                  <c:v>16.942999999999873</c:v>
                </c:pt>
                <c:pt idx="780">
                  <c:v>16.943099999999873</c:v>
                </c:pt>
                <c:pt idx="781">
                  <c:v>16.943199999999873</c:v>
                </c:pt>
                <c:pt idx="782">
                  <c:v>16.943299999999873</c:v>
                </c:pt>
                <c:pt idx="783">
                  <c:v>16.943399999999873</c:v>
                </c:pt>
                <c:pt idx="784">
                  <c:v>16.943499999999872</c:v>
                </c:pt>
                <c:pt idx="785">
                  <c:v>16.943599999999872</c:v>
                </c:pt>
                <c:pt idx="786">
                  <c:v>16.943699999999872</c:v>
                </c:pt>
                <c:pt idx="787">
                  <c:v>16.943799999999872</c:v>
                </c:pt>
                <c:pt idx="788">
                  <c:v>16.943899999999871</c:v>
                </c:pt>
                <c:pt idx="789">
                  <c:v>16.943999999999871</c:v>
                </c:pt>
                <c:pt idx="790">
                  <c:v>16.944099999999871</c:v>
                </c:pt>
                <c:pt idx="791">
                  <c:v>16.944199999999871</c:v>
                </c:pt>
                <c:pt idx="792">
                  <c:v>16.94429999999987</c:v>
                </c:pt>
                <c:pt idx="793">
                  <c:v>16.94439999999987</c:v>
                </c:pt>
                <c:pt idx="794">
                  <c:v>16.94449999999987</c:v>
                </c:pt>
                <c:pt idx="795">
                  <c:v>16.94459999999987</c:v>
                </c:pt>
                <c:pt idx="796">
                  <c:v>16.94469999999987</c:v>
                </c:pt>
                <c:pt idx="797">
                  <c:v>16.944799999999869</c:v>
                </c:pt>
                <c:pt idx="798">
                  <c:v>16.944899999999869</c:v>
                </c:pt>
                <c:pt idx="799">
                  <c:v>16.944999999999869</c:v>
                </c:pt>
                <c:pt idx="800">
                  <c:v>16.945099999999869</c:v>
                </c:pt>
                <c:pt idx="801">
                  <c:v>16.945199999999868</c:v>
                </c:pt>
                <c:pt idx="802">
                  <c:v>16.945299999999868</c:v>
                </c:pt>
                <c:pt idx="803">
                  <c:v>16.945399999999868</c:v>
                </c:pt>
                <c:pt idx="804">
                  <c:v>16.945499999999868</c:v>
                </c:pt>
                <c:pt idx="805">
                  <c:v>16.945599999999867</c:v>
                </c:pt>
                <c:pt idx="806">
                  <c:v>16.945699999999867</c:v>
                </c:pt>
                <c:pt idx="807">
                  <c:v>16.945799999999867</c:v>
                </c:pt>
                <c:pt idx="808">
                  <c:v>16.945899999999867</c:v>
                </c:pt>
                <c:pt idx="809">
                  <c:v>16.945999999999867</c:v>
                </c:pt>
                <c:pt idx="810">
                  <c:v>16.946099999999866</c:v>
                </c:pt>
                <c:pt idx="811">
                  <c:v>16.946199999999866</c:v>
                </c:pt>
                <c:pt idx="812">
                  <c:v>16.946299999999866</c:v>
                </c:pt>
                <c:pt idx="813">
                  <c:v>16.946399999999866</c:v>
                </c:pt>
                <c:pt idx="814">
                  <c:v>16.946499999999865</c:v>
                </c:pt>
                <c:pt idx="815">
                  <c:v>16.946599999999865</c:v>
                </c:pt>
                <c:pt idx="816">
                  <c:v>16.946699999999865</c:v>
                </c:pt>
                <c:pt idx="817">
                  <c:v>16.946799999999865</c:v>
                </c:pt>
                <c:pt idx="818">
                  <c:v>16.946899999999864</c:v>
                </c:pt>
                <c:pt idx="819">
                  <c:v>16.946999999999864</c:v>
                </c:pt>
                <c:pt idx="820">
                  <c:v>16.947099999999864</c:v>
                </c:pt>
                <c:pt idx="821">
                  <c:v>16.947199999999864</c:v>
                </c:pt>
                <c:pt idx="822">
                  <c:v>16.947299999999863</c:v>
                </c:pt>
                <c:pt idx="823">
                  <c:v>16.947399999999863</c:v>
                </c:pt>
                <c:pt idx="824">
                  <c:v>16.947499999999863</c:v>
                </c:pt>
                <c:pt idx="825">
                  <c:v>16.947599999999863</c:v>
                </c:pt>
                <c:pt idx="826">
                  <c:v>16.947699999999863</c:v>
                </c:pt>
                <c:pt idx="827">
                  <c:v>16.947799999999862</c:v>
                </c:pt>
                <c:pt idx="828">
                  <c:v>16.947899999999862</c:v>
                </c:pt>
                <c:pt idx="829">
                  <c:v>16.947999999999862</c:v>
                </c:pt>
                <c:pt idx="830">
                  <c:v>16.948099999999862</c:v>
                </c:pt>
                <c:pt idx="831">
                  <c:v>16.948199999999861</c:v>
                </c:pt>
                <c:pt idx="832">
                  <c:v>16.948299999999861</c:v>
                </c:pt>
                <c:pt idx="833">
                  <c:v>16.948399999999861</c:v>
                </c:pt>
                <c:pt idx="834">
                  <c:v>16.948499999999861</c:v>
                </c:pt>
                <c:pt idx="835">
                  <c:v>16.94859999999986</c:v>
                </c:pt>
                <c:pt idx="836">
                  <c:v>16.94869999999986</c:v>
                </c:pt>
                <c:pt idx="837">
                  <c:v>16.94879999999986</c:v>
                </c:pt>
                <c:pt idx="838">
                  <c:v>16.94889999999986</c:v>
                </c:pt>
                <c:pt idx="839">
                  <c:v>16.94899999999986</c:v>
                </c:pt>
                <c:pt idx="840">
                  <c:v>16.949099999999859</c:v>
                </c:pt>
                <c:pt idx="841">
                  <c:v>16.949199999999859</c:v>
                </c:pt>
                <c:pt idx="842">
                  <c:v>16.949299999999859</c:v>
                </c:pt>
                <c:pt idx="843">
                  <c:v>16.949399999999859</c:v>
                </c:pt>
                <c:pt idx="844">
                  <c:v>16.949499999999858</c:v>
                </c:pt>
                <c:pt idx="845">
                  <c:v>16.949599999999858</c:v>
                </c:pt>
                <c:pt idx="846">
                  <c:v>16.949699999999858</c:v>
                </c:pt>
                <c:pt idx="847">
                  <c:v>16.949799999999858</c:v>
                </c:pt>
                <c:pt idx="848">
                  <c:v>16.949899999999857</c:v>
                </c:pt>
                <c:pt idx="849">
                  <c:v>16.949999999999857</c:v>
                </c:pt>
                <c:pt idx="850">
                  <c:v>16.950099999999857</c:v>
                </c:pt>
                <c:pt idx="851">
                  <c:v>16.950199999999857</c:v>
                </c:pt>
                <c:pt idx="852">
                  <c:v>16.950299999999856</c:v>
                </c:pt>
                <c:pt idx="853">
                  <c:v>16.950399999999856</c:v>
                </c:pt>
                <c:pt idx="854">
                  <c:v>16.950499999999856</c:v>
                </c:pt>
                <c:pt idx="855">
                  <c:v>16.950599999999856</c:v>
                </c:pt>
                <c:pt idx="856">
                  <c:v>16.950699999999856</c:v>
                </c:pt>
                <c:pt idx="857">
                  <c:v>16.950799999999855</c:v>
                </c:pt>
                <c:pt idx="858">
                  <c:v>16.950899999999855</c:v>
                </c:pt>
                <c:pt idx="859">
                  <c:v>16.950999999999855</c:v>
                </c:pt>
                <c:pt idx="860">
                  <c:v>16.951099999999855</c:v>
                </c:pt>
                <c:pt idx="861">
                  <c:v>16.951199999999854</c:v>
                </c:pt>
                <c:pt idx="862">
                  <c:v>16.951299999999854</c:v>
                </c:pt>
                <c:pt idx="863">
                  <c:v>16.951399999999854</c:v>
                </c:pt>
                <c:pt idx="864">
                  <c:v>16.951499999999854</c:v>
                </c:pt>
                <c:pt idx="865">
                  <c:v>16.951599999999853</c:v>
                </c:pt>
                <c:pt idx="866">
                  <c:v>16.951699999999853</c:v>
                </c:pt>
                <c:pt idx="867">
                  <c:v>16.951799999999853</c:v>
                </c:pt>
                <c:pt idx="868">
                  <c:v>16.951899999999853</c:v>
                </c:pt>
                <c:pt idx="869">
                  <c:v>16.951999999999853</c:v>
                </c:pt>
                <c:pt idx="870">
                  <c:v>16.952099999999852</c:v>
                </c:pt>
                <c:pt idx="871">
                  <c:v>16.952199999999852</c:v>
                </c:pt>
                <c:pt idx="872">
                  <c:v>16.952299999999852</c:v>
                </c:pt>
                <c:pt idx="873">
                  <c:v>16.952399999999852</c:v>
                </c:pt>
                <c:pt idx="874">
                  <c:v>16.952499999999851</c:v>
                </c:pt>
                <c:pt idx="875">
                  <c:v>16.952599999999851</c:v>
                </c:pt>
                <c:pt idx="876">
                  <c:v>16.952699999999851</c:v>
                </c:pt>
                <c:pt idx="877">
                  <c:v>16.952799999999851</c:v>
                </c:pt>
                <c:pt idx="878">
                  <c:v>16.95289999999985</c:v>
                </c:pt>
                <c:pt idx="879">
                  <c:v>16.95299999999985</c:v>
                </c:pt>
                <c:pt idx="880">
                  <c:v>16.95309999999985</c:v>
                </c:pt>
                <c:pt idx="881">
                  <c:v>16.95319999999985</c:v>
                </c:pt>
                <c:pt idx="882">
                  <c:v>16.953299999999849</c:v>
                </c:pt>
                <c:pt idx="883">
                  <c:v>16.953399999999849</c:v>
                </c:pt>
                <c:pt idx="884">
                  <c:v>16.953499999999849</c:v>
                </c:pt>
                <c:pt idx="885">
                  <c:v>16.953599999999849</c:v>
                </c:pt>
                <c:pt idx="886">
                  <c:v>16.953699999999849</c:v>
                </c:pt>
                <c:pt idx="887">
                  <c:v>16.953799999999848</c:v>
                </c:pt>
                <c:pt idx="888">
                  <c:v>16.953899999999848</c:v>
                </c:pt>
                <c:pt idx="889">
                  <c:v>16.953999999999848</c:v>
                </c:pt>
                <c:pt idx="890">
                  <c:v>16.954099999999848</c:v>
                </c:pt>
                <c:pt idx="891">
                  <c:v>16.954199999999847</c:v>
                </c:pt>
                <c:pt idx="892">
                  <c:v>16.954299999999847</c:v>
                </c:pt>
                <c:pt idx="893">
                  <c:v>16.954399999999847</c:v>
                </c:pt>
                <c:pt idx="894">
                  <c:v>16.954499999999847</c:v>
                </c:pt>
                <c:pt idx="895">
                  <c:v>16.954599999999846</c:v>
                </c:pt>
                <c:pt idx="896">
                  <c:v>16.954699999999846</c:v>
                </c:pt>
                <c:pt idx="897">
                  <c:v>16.954799999999846</c:v>
                </c:pt>
                <c:pt idx="898">
                  <c:v>16.954899999999846</c:v>
                </c:pt>
                <c:pt idx="899">
                  <c:v>16.954999999999846</c:v>
                </c:pt>
                <c:pt idx="900">
                  <c:v>16.955099999999845</c:v>
                </c:pt>
                <c:pt idx="901">
                  <c:v>16.955199999999845</c:v>
                </c:pt>
                <c:pt idx="902">
                  <c:v>16.955299999999845</c:v>
                </c:pt>
                <c:pt idx="903">
                  <c:v>16.955399999999845</c:v>
                </c:pt>
                <c:pt idx="904">
                  <c:v>16.955499999999844</c:v>
                </c:pt>
                <c:pt idx="905">
                  <c:v>16.955599999999844</c:v>
                </c:pt>
                <c:pt idx="906">
                  <c:v>16.955699999999844</c:v>
                </c:pt>
                <c:pt idx="907">
                  <c:v>16.955799999999844</c:v>
                </c:pt>
                <c:pt idx="908">
                  <c:v>16.955899999999843</c:v>
                </c:pt>
                <c:pt idx="909">
                  <c:v>16.955999999999843</c:v>
                </c:pt>
                <c:pt idx="910">
                  <c:v>16.956099999999843</c:v>
                </c:pt>
                <c:pt idx="911">
                  <c:v>16.956199999999843</c:v>
                </c:pt>
                <c:pt idx="912">
                  <c:v>16.956299999999842</c:v>
                </c:pt>
                <c:pt idx="913">
                  <c:v>16.956399999999842</c:v>
                </c:pt>
                <c:pt idx="914">
                  <c:v>16.956499999999842</c:v>
                </c:pt>
                <c:pt idx="915">
                  <c:v>16.956599999999842</c:v>
                </c:pt>
                <c:pt idx="916">
                  <c:v>16.956699999999842</c:v>
                </c:pt>
                <c:pt idx="917">
                  <c:v>16.956799999999841</c:v>
                </c:pt>
                <c:pt idx="918">
                  <c:v>16.956899999999841</c:v>
                </c:pt>
                <c:pt idx="919">
                  <c:v>16.956999999999841</c:v>
                </c:pt>
                <c:pt idx="920">
                  <c:v>16.957099999999841</c:v>
                </c:pt>
                <c:pt idx="921">
                  <c:v>16.95719999999984</c:v>
                </c:pt>
                <c:pt idx="922">
                  <c:v>16.95729999999984</c:v>
                </c:pt>
                <c:pt idx="923">
                  <c:v>16.95739999999984</c:v>
                </c:pt>
                <c:pt idx="924">
                  <c:v>16.95749999999984</c:v>
                </c:pt>
                <c:pt idx="925">
                  <c:v>16.957599999999839</c:v>
                </c:pt>
                <c:pt idx="926">
                  <c:v>16.957699999999839</c:v>
                </c:pt>
                <c:pt idx="927">
                  <c:v>16.957799999999839</c:v>
                </c:pt>
                <c:pt idx="928">
                  <c:v>16.957899999999839</c:v>
                </c:pt>
                <c:pt idx="929">
                  <c:v>16.957999999999839</c:v>
                </c:pt>
                <c:pt idx="930">
                  <c:v>16.958099999999838</c:v>
                </c:pt>
                <c:pt idx="931">
                  <c:v>16.958199999999838</c:v>
                </c:pt>
                <c:pt idx="932">
                  <c:v>16.958299999999838</c:v>
                </c:pt>
                <c:pt idx="933">
                  <c:v>16.958399999999838</c:v>
                </c:pt>
                <c:pt idx="934">
                  <c:v>16.958499999999837</c:v>
                </c:pt>
                <c:pt idx="935">
                  <c:v>16.958599999999837</c:v>
                </c:pt>
                <c:pt idx="936">
                  <c:v>16.958699999999837</c:v>
                </c:pt>
                <c:pt idx="937">
                  <c:v>16.958799999999837</c:v>
                </c:pt>
                <c:pt idx="938">
                  <c:v>16.958899999999836</c:v>
                </c:pt>
                <c:pt idx="939">
                  <c:v>16.958999999999836</c:v>
                </c:pt>
                <c:pt idx="940">
                  <c:v>16.959099999999836</c:v>
                </c:pt>
                <c:pt idx="941">
                  <c:v>16.959199999999836</c:v>
                </c:pt>
                <c:pt idx="942">
                  <c:v>16.959299999999836</c:v>
                </c:pt>
                <c:pt idx="943">
                  <c:v>16.959399999999835</c:v>
                </c:pt>
                <c:pt idx="944">
                  <c:v>16.959499999999835</c:v>
                </c:pt>
                <c:pt idx="945">
                  <c:v>16.959599999999835</c:v>
                </c:pt>
                <c:pt idx="946">
                  <c:v>16.959699999999835</c:v>
                </c:pt>
                <c:pt idx="947">
                  <c:v>16.959799999999834</c:v>
                </c:pt>
                <c:pt idx="948">
                  <c:v>16.959899999999834</c:v>
                </c:pt>
                <c:pt idx="949">
                  <c:v>16.959999999999834</c:v>
                </c:pt>
                <c:pt idx="950">
                  <c:v>16.960099999999834</c:v>
                </c:pt>
                <c:pt idx="951">
                  <c:v>16.960199999999833</c:v>
                </c:pt>
                <c:pt idx="952">
                  <c:v>16.960299999999833</c:v>
                </c:pt>
                <c:pt idx="953">
                  <c:v>16.960399999999833</c:v>
                </c:pt>
                <c:pt idx="954">
                  <c:v>16.960499999999833</c:v>
                </c:pt>
                <c:pt idx="955">
                  <c:v>16.960599999999832</c:v>
                </c:pt>
                <c:pt idx="956">
                  <c:v>16.960699999999832</c:v>
                </c:pt>
                <c:pt idx="957">
                  <c:v>16.960799999999832</c:v>
                </c:pt>
                <c:pt idx="958">
                  <c:v>16.960899999999832</c:v>
                </c:pt>
                <c:pt idx="959">
                  <c:v>16.960999999999832</c:v>
                </c:pt>
                <c:pt idx="960">
                  <c:v>16.961099999999831</c:v>
                </c:pt>
                <c:pt idx="961">
                  <c:v>16.961199999999831</c:v>
                </c:pt>
                <c:pt idx="962">
                  <c:v>16.961299999999831</c:v>
                </c:pt>
                <c:pt idx="963">
                  <c:v>16.961399999999831</c:v>
                </c:pt>
                <c:pt idx="964">
                  <c:v>16.96149999999983</c:v>
                </c:pt>
                <c:pt idx="965">
                  <c:v>16.96159999999983</c:v>
                </c:pt>
                <c:pt idx="966">
                  <c:v>16.96169999999983</c:v>
                </c:pt>
                <c:pt idx="967">
                  <c:v>16.96179999999983</c:v>
                </c:pt>
                <c:pt idx="968">
                  <c:v>16.961899999999829</c:v>
                </c:pt>
                <c:pt idx="969">
                  <c:v>16.961999999999829</c:v>
                </c:pt>
                <c:pt idx="970">
                  <c:v>16.962099999999829</c:v>
                </c:pt>
                <c:pt idx="971">
                  <c:v>16.962199999999829</c:v>
                </c:pt>
                <c:pt idx="972">
                  <c:v>16.962299999999829</c:v>
                </c:pt>
                <c:pt idx="973">
                  <c:v>16.962399999999828</c:v>
                </c:pt>
                <c:pt idx="974">
                  <c:v>16.962499999999828</c:v>
                </c:pt>
                <c:pt idx="975">
                  <c:v>16.962599999999828</c:v>
                </c:pt>
                <c:pt idx="976">
                  <c:v>16.962699999999828</c:v>
                </c:pt>
                <c:pt idx="977">
                  <c:v>16.962799999999827</c:v>
                </c:pt>
                <c:pt idx="978">
                  <c:v>16.962899999999827</c:v>
                </c:pt>
                <c:pt idx="979">
                  <c:v>16.962999999999827</c:v>
                </c:pt>
                <c:pt idx="980">
                  <c:v>16.963099999999827</c:v>
                </c:pt>
                <c:pt idx="981">
                  <c:v>16.963199999999826</c:v>
                </c:pt>
                <c:pt idx="982">
                  <c:v>16.963299999999826</c:v>
                </c:pt>
                <c:pt idx="983">
                  <c:v>16.963399999999826</c:v>
                </c:pt>
                <c:pt idx="984">
                  <c:v>16.963499999999826</c:v>
                </c:pt>
                <c:pt idx="985">
                  <c:v>16.963599999999825</c:v>
                </c:pt>
                <c:pt idx="986">
                  <c:v>16.963699999999825</c:v>
                </c:pt>
                <c:pt idx="987">
                  <c:v>16.963799999999825</c:v>
                </c:pt>
                <c:pt idx="988">
                  <c:v>16.963899999999825</c:v>
                </c:pt>
                <c:pt idx="989">
                  <c:v>16.963999999999825</c:v>
                </c:pt>
                <c:pt idx="990">
                  <c:v>16.964099999999824</c:v>
                </c:pt>
                <c:pt idx="991">
                  <c:v>16.964199999999824</c:v>
                </c:pt>
                <c:pt idx="992">
                  <c:v>16.964299999999824</c:v>
                </c:pt>
                <c:pt idx="993">
                  <c:v>16.964399999999824</c:v>
                </c:pt>
                <c:pt idx="994">
                  <c:v>16.964499999999823</c:v>
                </c:pt>
                <c:pt idx="995">
                  <c:v>16.964599999999823</c:v>
                </c:pt>
                <c:pt idx="996">
                  <c:v>16.964699999999823</c:v>
                </c:pt>
                <c:pt idx="997">
                  <c:v>16.964799999999823</c:v>
                </c:pt>
                <c:pt idx="998">
                  <c:v>16.964899999999822</c:v>
                </c:pt>
                <c:pt idx="999">
                  <c:v>16.964999999999822</c:v>
                </c:pt>
                <c:pt idx="1000">
                  <c:v>16.965099999999822</c:v>
                </c:pt>
              </c:numCache>
            </c:numRef>
          </c:xVal>
          <c:yVal>
            <c:numRef>
              <c:f>Calculs!$J$4:$J$1004</c:f>
              <c:numCache>
                <c:formatCode>0.00</c:formatCode>
                <c:ptCount val="1001"/>
                <c:pt idx="0">
                  <c:v>0</c:v>
                </c:pt>
                <c:pt idx="1">
                  <c:v>1.8916427990636037E-4</c:v>
                </c:pt>
                <c:pt idx="2">
                  <c:v>1.2756673035231121E-3</c:v>
                </c:pt>
                <c:pt idx="3">
                  <c:v>4.1488299937873117E-3</c:v>
                </c:pt>
                <c:pt idx="4">
                  <c:v>8.9509927712054897E-3</c:v>
                </c:pt>
                <c:pt idx="5">
                  <c:v>1.5225798570290921E-2</c:v>
                </c:pt>
                <c:pt idx="6">
                  <c:v>2.2600313430176384E-2</c:v>
                </c:pt>
                <c:pt idx="7">
                  <c:v>3.0917082561292893E-2</c:v>
                </c:pt>
                <c:pt idx="8">
                  <c:v>4.0182034457298926E-2</c:v>
                </c:pt>
                <c:pt idx="9">
                  <c:v>5.0432846069798878E-2</c:v>
                </c:pt>
                <c:pt idx="10">
                  <c:v>6.1707203202745843E-2</c:v>
                </c:pt>
                <c:pt idx="11">
                  <c:v>7.403076939093535E-2</c:v>
                </c:pt>
                <c:pt idx="12">
                  <c:v>8.7417173058277647E-2</c:v>
                </c:pt>
                <c:pt idx="13">
                  <c:v>0.10188002452223384</c:v>
                </c:pt>
                <c:pt idx="14">
                  <c:v>0.11743291498301273</c:v>
                </c:pt>
                <c:pt idx="15">
                  <c:v>0.13408941549819403</c:v>
                </c:pt>
                <c:pt idx="16">
                  <c:v>0.15186307594293727</c:v>
                </c:pt>
                <c:pt idx="17">
                  <c:v>0.17076742395594327</c:v>
                </c:pt>
                <c:pt idx="18">
                  <c:v>0.19081596387134311</c:v>
                </c:pt>
                <c:pt idx="19">
                  <c:v>0.2120221756366972</c:v>
                </c:pt>
                <c:pt idx="20">
                  <c:v>0.2343995137172955</c:v>
                </c:pt>
                <c:pt idx="21">
                  <c:v>0.25796140598695783</c:v>
                </c:pt>
                <c:pt idx="22">
                  <c:v>0.28271981041394179</c:v>
                </c:pt>
                <c:pt idx="23">
                  <c:v>0.30868184625478579</c:v>
                </c:pt>
                <c:pt idx="24">
                  <c:v>0.33585123196734168</c:v>
                </c:pt>
                <c:pt idx="25">
                  <c:v>0.36423164898708932</c:v>
                </c:pt>
                <c:pt idx="26">
                  <c:v>0.39382674135529661</c:v>
                </c:pt>
                <c:pt idx="27">
                  <c:v>0.42464011535048191</c:v>
                </c:pt>
                <c:pt idx="28">
                  <c:v>0.45667533912328107</c:v>
                </c:pt>
                <c:pt idx="29">
                  <c:v>0.49001986196934783</c:v>
                </c:pt>
                <c:pt idx="30">
                  <c:v>0.52476451384243916</c:v>
                </c:pt>
                <c:pt idx="31">
                  <c:v>0.56091953944658268</c:v>
                </c:pt>
                <c:pt idx="32">
                  <c:v>0.59849501471401745</c:v>
                </c:pt>
                <c:pt idx="33">
                  <c:v>0.63750081389718116</c:v>
                </c:pt>
                <c:pt idx="34">
                  <c:v>0.6779466184297529</c:v>
                </c:pt>
                <c:pt idx="35">
                  <c:v>0.71984153923936633</c:v>
                </c:pt>
                <c:pt idx="36">
                  <c:v>0.76319063356361083</c:v>
                </c:pt>
                <c:pt idx="37">
                  <c:v>0.80799526646663145</c:v>
                </c:pt>
                <c:pt idx="38">
                  <c:v>0.85425657849729808</c:v>
                </c:pt>
                <c:pt idx="39">
                  <c:v>0.90197549502482166</c:v>
                </c:pt>
                <c:pt idx="40">
                  <c:v>0.95115273485464458</c:v>
                </c:pt>
                <c:pt idx="41">
                  <c:v>1.0017888182024648</c:v>
                </c:pt>
                <c:pt idx="42">
                  <c:v>1.0538840740940199</c:v>
                </c:pt>
                <c:pt idx="43">
                  <c:v>1.1074386472495978</c:v>
                </c:pt>
                <c:pt idx="44">
                  <c:v>1.1624525045048855</c:v>
                </c:pt>
                <c:pt idx="45">
                  <c:v>1.218925440813476</c:v>
                </c:pt>
                <c:pt idx="46">
                  <c:v>1.276857084870977</c:v>
                </c:pt>
                <c:pt idx="47">
                  <c:v>1.3362469043960217</c:v>
                </c:pt>
                <c:pt idx="48">
                  <c:v>1.397094211099478</c:v>
                </c:pt>
                <c:pt idx="49">
                  <c:v>1.4593981653696819</c:v>
                </c:pt>
                <c:pt idx="50">
                  <c:v>1.5231577806984975</c:v>
                </c:pt>
                <c:pt idx="51">
                  <c:v>1.5883719278703685</c:v>
                </c:pt>
                <c:pt idx="52">
                  <c:v>1.6550393389342208</c:v>
                </c:pt>
                <c:pt idx="53">
                  <c:v>1.7231586109760444</c:v>
                </c:pt>
                <c:pt idx="54">
                  <c:v>1.7927282097082002</c:v>
                </c:pt>
                <c:pt idx="55">
                  <c:v>1.863746472889922</c:v>
                </c:pt>
                <c:pt idx="56">
                  <c:v>1.936211613592085</c:v>
                </c:pt>
                <c:pt idx="57">
                  <c:v>2.010121723318079</c:v>
                </c:pt>
                <c:pt idx="58">
                  <c:v>2.085474774991519</c:v>
                </c:pt>
                <c:pt idx="59">
                  <c:v>2.1622686258205439</c:v>
                </c:pt>
                <c:pt idx="60">
                  <c:v>2.2405010200475828</c:v>
                </c:pt>
                <c:pt idx="61">
                  <c:v>2.320169591592673</c:v>
                </c:pt>
                <c:pt idx="62">
                  <c:v>2.4012718665977157</c:v>
                </c:pt>
                <c:pt idx="63">
                  <c:v>2.4838052658784213</c:v>
                </c:pt>
                <c:pt idx="64">
                  <c:v>2.5677671072901225</c:v>
                </c:pt>
                <c:pt idx="65">
                  <c:v>2.6531546080131188</c:v>
                </c:pt>
                <c:pt idx="66">
                  <c:v>2.7399648867627548</c:v>
                </c:pt>
                <c:pt idx="67">
                  <c:v>2.8281949659290087</c:v>
                </c:pt>
                <c:pt idx="68">
                  <c:v>2.9178417736499842</c:v>
                </c:pt>
                <c:pt idx="69">
                  <c:v>3.0089021458233582</c:v>
                </c:pt>
                <c:pt idx="70">
                  <c:v>3.1013728280595165</c:v>
                </c:pt>
                <c:pt idx="71">
                  <c:v>3.1952504775798189</c:v>
                </c:pt>
                <c:pt idx="72">
                  <c:v>3.290531665063182</c:v>
                </c:pt>
                <c:pt idx="73">
                  <c:v>3.3872128764439187</c:v>
                </c:pt>
                <c:pt idx="74">
                  <c:v>3.4852905146635607</c:v>
                </c:pt>
                <c:pt idx="75">
                  <c:v>3.5847609013791861</c:v>
                </c:pt>
                <c:pt idx="76">
                  <c:v>3.6856202786305925</c:v>
                </c:pt>
                <c:pt idx="77">
                  <c:v>3.7878648104684833</c:v>
                </c:pt>
                <c:pt idx="78">
                  <c:v>3.891490584545688</c:v>
                </c:pt>
                <c:pt idx="79">
                  <c:v>3.9964936136732798</c:v>
                </c:pt>
                <c:pt idx="80">
                  <c:v>4.1028698373433405</c:v>
                </c:pt>
                <c:pt idx="81">
                  <c:v>4.2106151232199842</c:v>
                </c:pt>
                <c:pt idx="82">
                  <c:v>4.3197252686001564</c:v>
                </c:pt>
                <c:pt idx="83">
                  <c:v>4.4301960018455997</c:v>
                </c:pt>
                <c:pt idx="84">
                  <c:v>4.5420229837873105</c:v>
                </c:pt>
                <c:pt idx="85">
                  <c:v>4.6552018091036924</c:v>
                </c:pt>
                <c:pt idx="86">
                  <c:v>4.7697280076735558</c:v>
                </c:pt>
                <c:pt idx="87">
                  <c:v>4.8855970459050191</c:v>
                </c:pt>
                <c:pt idx="88">
                  <c:v>5.002804328041309</c:v>
                </c:pt>
                <c:pt idx="89">
                  <c:v>5.1213451974443824</c:v>
                </c:pt>
                <c:pt idx="90">
                  <c:v>5.2412149378572392</c:v>
                </c:pt>
                <c:pt idx="91">
                  <c:v>5.3624087746457381</c:v>
                </c:pt>
                <c:pt idx="92">
                  <c:v>5.4849218760206666</c:v>
                </c:pt>
                <c:pt idx="93">
                  <c:v>5.6087493542407785</c:v>
                </c:pt>
                <c:pt idx="94">
                  <c:v>5.7338862667974668</c:v>
                </c:pt>
                <c:pt idx="95">
                  <c:v>5.8603276175816834</c:v>
                </c:pt>
                <c:pt idx="96">
                  <c:v>5.9880683580336962</c:v>
                </c:pt>
                <c:pt idx="97">
                  <c:v>6.1171033882762229</c:v>
                </c:pt>
                <c:pt idx="98">
                  <c:v>6.2474275582314593</c:v>
                </c:pt>
                <c:pt idx="99">
                  <c:v>6.379035668722473</c:v>
                </c:pt>
                <c:pt idx="100">
                  <c:v>6.5119224725594211</c:v>
                </c:pt>
                <c:pt idx="101">
                  <c:v>6.6460826756110016</c:v>
                </c:pt>
                <c:pt idx="102">
                  <c:v>6.7815109378615475</c:v>
                </c:pt>
                <c:pt idx="103">
                  <c:v>6.9182018744541232</c:v>
                </c:pt>
                <c:pt idx="104">
                  <c:v>7.0561500567199769</c:v>
                </c:pt>
                <c:pt idx="105">
                  <c:v>7.1953500131946777</c:v>
                </c:pt>
                <c:pt idx="106">
                  <c:v>7.3357962306212414</c:v>
                </c:pt>
                <c:pt idx="107">
                  <c:v>7.4774831549405318</c:v>
                </c:pt>
                <c:pt idx="108">
                  <c:v>7.6204051922692164</c:v>
                </c:pt>
                <c:pt idx="109">
                  <c:v>7.7645567098655253</c:v>
                </c:pt>
                <c:pt idx="110">
                  <c:v>7.9099320370830544</c:v>
                </c:pt>
                <c:pt idx="111">
                  <c:v>8.0565254663128414</c:v>
                </c:pt>
                <c:pt idx="112">
                  <c:v>8.2043312539139208</c:v>
                </c:pt>
                <c:pt idx="113">
                  <c:v>8.35334362113257</c:v>
                </c:pt>
                <c:pt idx="114">
                  <c:v>8.5035567550104147</c:v>
                </c:pt>
                <c:pt idx="115">
                  <c:v>8.6549648092815996</c:v>
                </c:pt>
                <c:pt idx="116">
                  <c:v>8.8075619052591616</c:v>
                </c:pt>
                <c:pt idx="117">
                  <c:v>8.9613421327107847</c:v>
                </c:pt>
                <c:pt idx="118">
                  <c:v>9.1162995507240776</c:v>
                </c:pt>
                <c:pt idx="119">
                  <c:v>9.2724281885615145</c:v>
                </c:pt>
                <c:pt idx="120">
                  <c:v>9.429722046505173</c:v>
                </c:pt>
                <c:pt idx="121">
                  <c:v>9.5881750966913994</c:v>
                </c:pt>
                <c:pt idx="122">
                  <c:v>9.747781283935506</c:v>
                </c:pt>
                <c:pt idx="123">
                  <c:v>9.9085345265466387</c:v>
                </c:pt>
                <c:pt idx="124">
                  <c:v>10.070428717132888</c:v>
                </c:pt>
                <c:pt idx="125">
                  <c:v>10.233457723396777</c:v>
                </c:pt>
                <c:pt idx="126">
                  <c:v>10.397615388921205</c:v>
                </c:pt>
                <c:pt idx="127">
                  <c:v>10.562895533945937</c:v>
                </c:pt>
                <c:pt idx="128">
                  <c:v>10.729291956134743</c:v>
                </c:pt>
                <c:pt idx="129">
                  <c:v>10.89679843133324</c:v>
                </c:pt>
                <c:pt idx="130">
                  <c:v>11.065408714317552</c:v>
                </c:pt>
                <c:pt idx="131">
                  <c:v>11.235116539533841</c:v>
                </c:pt>
                <c:pt idx="132">
                  <c:v>11.405915621828779</c:v>
                </c:pt>
                <c:pt idx="133">
                  <c:v>11.577799657171045</c:v>
                </c:pt>
                <c:pt idx="134">
                  <c:v>11.750762323363912</c:v>
                </c:pt>
                <c:pt idx="135">
                  <c:v>11.924797280748969</c:v>
                </c:pt>
                <c:pt idx="136">
                  <c:v>12.099898172901067</c:v>
                </c:pt>
                <c:pt idx="137">
                  <c:v>12.276058627314532</c:v>
                </c:pt>
                <c:pt idx="138">
                  <c:v>12.453272256080698</c:v>
                </c:pt>
                <c:pt idx="139">
                  <c:v>12.631532656556836</c:v>
                </c:pt>
                <c:pt idx="140">
                  <c:v>12.810833412026509</c:v>
                </c:pt>
                <c:pt idx="141">
                  <c:v>12.991168092351435</c:v>
                </c:pt>
                <c:pt idx="142">
                  <c:v>13.17253025461487</c:v>
                </c:pt>
                <c:pt idx="143">
                  <c:v>13.354913443756599</c:v>
                </c:pt>
                <c:pt idx="144">
                  <c:v>13.538311193199565</c:v>
                </c:pt>
                <c:pt idx="145">
                  <c:v>13.722717025468183</c:v>
                </c:pt>
                <c:pt idx="146">
                  <c:v>13.908124452798393</c:v>
                </c:pt>
                <c:pt idx="147">
                  <c:v>14.094526977739497</c:v>
                </c:pt>
                <c:pt idx="148">
                  <c:v>14.281918093747812</c:v>
                </c:pt>
                <c:pt idx="149">
                  <c:v>14.47029128577222</c:v>
                </c:pt>
                <c:pt idx="150">
                  <c:v>14.659640030831607</c:v>
                </c:pt>
                <c:pt idx="151">
                  <c:v>14.849957798584285</c:v>
                </c:pt>
                <c:pt idx="152">
                  <c:v>15.041238051889406</c:v>
                </c:pt>
                <c:pt idx="153">
                  <c:v>15.233474247360435</c:v>
                </c:pt>
                <c:pt idx="154">
                  <c:v>15.4266598359107</c:v>
                </c:pt>
                <c:pt idx="155">
                  <c:v>15.620788263291086</c:v>
                </c:pt>
                <c:pt idx="156">
                  <c:v>15.815852970619909</c:v>
                </c:pt>
                <c:pt idx="157">
                  <c:v>16.011847394905004</c:v>
                </c:pt>
                <c:pt idx="158">
                  <c:v>16.208769370039004</c:v>
                </c:pt>
                <c:pt idx="159">
                  <c:v>16.406622223276813</c:v>
                </c:pt>
                <c:pt idx="160">
                  <c:v>16.60541036780484</c:v>
                </c:pt>
                <c:pt idx="161">
                  <c:v>16.805138199486386</c:v>
                </c:pt>
                <c:pt idx="162">
                  <c:v>17.005810096697026</c:v>
                </c:pt>
                <c:pt idx="163">
                  <c:v>17.207430420161071</c:v>
                </c:pt>
                <c:pt idx="164">
                  <c:v>17.409997000692528</c:v>
                </c:pt>
                <c:pt idx="165">
                  <c:v>17.613491366487391</c:v>
                </c:pt>
                <c:pt idx="166">
                  <c:v>17.817885279376018</c:v>
                </c:pt>
                <c:pt idx="167">
                  <c:v>18.023143870461968</c:v>
                </c:pt>
                <c:pt idx="168">
                  <c:v>18.229198968158421</c:v>
                </c:pt>
                <c:pt idx="169">
                  <c:v>18.435955820107527</c:v>
                </c:pt>
                <c:pt idx="170">
                  <c:v>18.643319831234052</c:v>
                </c:pt>
                <c:pt idx="171">
                  <c:v>18.851196573944996</c:v>
                </c:pt>
                <c:pt idx="172">
                  <c:v>19.059491797475449</c:v>
                </c:pt>
                <c:pt idx="173">
                  <c:v>19.268111436390097</c:v>
                </c:pt>
                <c:pt idx="174">
                  <c:v>19.476961618249536</c:v>
                </c:pt>
                <c:pt idx="175">
                  <c:v>19.685948670450411</c:v>
                </c:pt>
                <c:pt idx="176">
                  <c:v>19.894979126248135</c:v>
                </c:pt>
                <c:pt idx="177">
                  <c:v>20.103959729970697</c:v>
                </c:pt>
                <c:pt idx="178">
                  <c:v>20.312797441431798</c:v>
                </c:pt>
                <c:pt idx="179">
                  <c:v>20.521399439551193</c:v>
                </c:pt>
                <c:pt idx="180">
                  <c:v>20.729697769403767</c:v>
                </c:pt>
                <c:pt idx="181">
                  <c:v>20.937649281294213</c:v>
                </c:pt>
                <c:pt idx="182">
                  <c:v>21.145210923918821</c:v>
                </c:pt>
                <c:pt idx="183">
                  <c:v>21.352339743332013</c:v>
                </c:pt>
                <c:pt idx="184">
                  <c:v>21.559008773139247</c:v>
                </c:pt>
                <c:pt idx="185">
                  <c:v>21.765213810894931</c:v>
                </c:pt>
                <c:pt idx="186">
                  <c:v>21.970957468768678</c:v>
                </c:pt>
                <c:pt idx="187">
                  <c:v>22.176242338670335</c:v>
                </c:pt>
                <c:pt idx="188">
                  <c:v>22.381070992462714</c:v>
                </c:pt>
                <c:pt idx="189">
                  <c:v>22.58544598217156</c:v>
                </c:pt>
                <c:pt idx="190">
                  <c:v>22.789369840192755</c:v>
                </c:pt>
                <c:pt idx="191">
                  <c:v>22.992845079496856</c:v>
                </c:pt>
                <c:pt idx="192">
                  <c:v>23.195874193830964</c:v>
                </c:pt>
                <c:pt idx="193">
                  <c:v>23.398459657917975</c:v>
                </c:pt>
                <c:pt idx="194">
                  <c:v>23.600603927653282</c:v>
                </c:pt>
                <c:pt idx="195">
                  <c:v>23.802309440298924</c:v>
                </c:pt>
                <c:pt idx="196">
                  <c:v>24.003578614675263</c:v>
                </c:pt>
                <c:pt idx="197">
                  <c:v>24.204413851350186</c:v>
                </c:pt>
                <c:pt idx="198">
                  <c:v>24.404817532825898</c:v>
                </c:pt>
                <c:pt idx="199">
                  <c:v>24.604792023723355</c:v>
                </c:pt>
                <c:pt idx="200">
                  <c:v>24.804339670964325</c:v>
                </c:pt>
                <c:pt idx="201">
                  <c:v>26.776520074860517</c:v>
                </c:pt>
                <c:pt idx="202">
                  <c:v>28.70750253090317</c:v>
                </c:pt>
                <c:pt idx="203">
                  <c:v>30.599479998642352</c:v>
                </c:pt>
                <c:pt idx="204">
                  <c:v>32.45448946705325</c:v>
                </c:pt>
                <c:pt idx="205">
                  <c:v>34.274426793668603</c:v>
                </c:pt>
                <c:pt idx="206">
                  <c:v>36.06105981795362</c:v>
                </c:pt>
                <c:pt idx="207">
                  <c:v>37.816039985374118</c:v>
                </c:pt>
                <c:pt idx="208">
                  <c:v>39.540912681499243</c:v>
                </c:pt>
                <c:pt idx="209">
                  <c:v>41.237126444896191</c:v>
                </c:pt>
                <c:pt idx="210">
                  <c:v>42.906041202249114</c:v>
                </c:pt>
                <c:pt idx="211">
                  <c:v>44.548935648068529</c:v>
                </c:pt>
                <c:pt idx="212">
                  <c:v>46.167013873759146</c:v>
                </c:pt>
                <c:pt idx="213">
                  <c:v>47.761411336051395</c:v>
                </c:pt>
                <c:pt idx="214">
                  <c:v>49.333200242369024</c:v>
                </c:pt>
                <c:pt idx="215">
                  <c:v>50.883394420194001</c:v>
                </c:pt>
                <c:pt idx="216">
                  <c:v>52.412953728570962</c:v>
                </c:pt>
                <c:pt idx="217">
                  <c:v>53.922788062297812</c:v>
                </c:pt>
                <c:pt idx="218">
                  <c:v>55.413760992858101</c:v>
                </c:pt>
                <c:pt idx="219">
                  <c:v>56.886693084584245</c:v>
                </c:pt>
                <c:pt idx="220">
                  <c:v>58.34236491975085</c:v>
                </c:pt>
                <c:pt idx="221">
                  <c:v>59.781519862161026</c:v>
                </c:pt>
                <c:pt idx="222">
                  <c:v>61.204866585204599</c:v>
                </c:pt>
                <c:pt idx="223">
                  <c:v>62.613081387249558</c:v>
                </c:pt>
                <c:pt idx="224">
                  <c:v>64.006810314506211</c:v>
                </c:pt>
                <c:pt idx="225">
                  <c:v>65.386671109116563</c:v>
                </c:pt>
                <c:pt idx="226">
                  <c:v>66.753254998118749</c:v>
                </c:pt>
                <c:pt idx="227">
                  <c:v>68.107128337073604</c:v>
                </c:pt>
                <c:pt idx="228">
                  <c:v>69.448834120480768</c:v>
                </c:pt>
                <c:pt idx="229">
                  <c:v>70.778893369621713</c:v>
                </c:pt>
                <c:pt idx="230">
                  <c:v>72.097806407118071</c:v>
                </c:pt>
                <c:pt idx="231">
                  <c:v>73.406054026259966</c:v>
                </c:pt>
                <c:pt idx="232">
                  <c:v>74.704098562017478</c:v>
                </c:pt>
                <c:pt idx="233">
                  <c:v>75.992384869576583</c:v>
                </c:pt>
                <c:pt idx="234">
                  <c:v>77.271341215219408</c:v>
                </c:pt>
                <c:pt idx="235">
                  <c:v>78.541380083377192</c:v>
                </c:pt>
                <c:pt idx="236">
                  <c:v>79.80289890270403</c:v>
                </c:pt>
                <c:pt idx="237">
                  <c:v>81.056280693031397</c:v>
                </c:pt>
                <c:pt idx="238">
                  <c:v>82.301894634049049</c:v>
                </c:pt>
                <c:pt idx="239">
                  <c:v>83.540096555499503</c:v>
                </c:pt>
                <c:pt idx="240">
                  <c:v>84.771229347554325</c:v>
                </c:pt>
                <c:pt idx="241">
                  <c:v>85.995623288849174</c:v>
                </c:pt>
                <c:pt idx="242">
                  <c:v>87.213596288383485</c:v>
                </c:pt>
                <c:pt idx="243">
                  <c:v>88.425454036147997</c:v>
                </c:pt>
                <c:pt idx="244">
                  <c:v>89.631490055953591</c:v>
                </c:pt>
                <c:pt idx="245">
                  <c:v>90.831985652558672</c:v>
                </c:pt>
                <c:pt idx="246">
                  <c:v>92.027209743940574</c:v>
                </c:pt>
                <c:pt idx="247">
                  <c:v>93.217418568617362</c:v>
                </c:pt>
                <c:pt idx="248">
                  <c:v>94.402855257597821</c:v>
                </c:pt>
                <c:pt idx="249">
                  <c:v>95.583749261264671</c:v>
                </c:pt>
                <c:pt idx="250">
                  <c:v>96.760315623901803</c:v>
                </c:pt>
                <c:pt idx="251">
                  <c:v>97.932754103464418</c:v>
                </c:pt>
                <c:pt idx="252">
                  <c:v>99.101248142485204</c:v>
                </c:pt>
                <c:pt idx="253">
                  <c:v>100.26596370856331</c:v>
                </c:pt>
                <c:pt idx="254">
                  <c:v>101.42704804010771</c:v>
                </c:pt>
                <c:pt idx="255">
                  <c:v>102.58462835429003</c:v>
                </c:pt>
                <c:pt idx="256">
                  <c:v>103.7388105971925</c:v>
                </c:pt>
                <c:pt idx="257">
                  <c:v>104.88967833646588</c:v>
                </c:pt>
                <c:pt idx="258">
                  <c:v>106.03729190819698</c:v>
                </c:pt>
                <c:pt idx="259">
                  <c:v>107.18168792570603</c:v>
                </c:pt>
                <c:pt idx="260">
                  <c:v>108.32287923480831</c:v>
                </c:pt>
                <c:pt idx="261">
                  <c:v>109.46085535914546</c:v>
                </c:pt>
                <c:pt idx="262">
                  <c:v>110.59558342813838</c:v>
                </c:pt>
                <c:pt idx="263">
                  <c:v>111.72700953050439</c:v>
                </c:pt>
                <c:pt idx="264">
                  <c:v>112.85506039918789</c:v>
                </c:pt>
                <c:pt idx="265">
                  <c:v>113.97964531536839</c:v>
                </c:pt>
                <c:pt idx="266">
                  <c:v>115.10065812003444</c:v>
                </c:pt>
                <c:pt idx="267">
                  <c:v>116.21797923665061</c:v>
                </c:pt>
                <c:pt idx="268">
                  <c:v>117.33147763092768</c:v>
                </c:pt>
                <c:pt idx="269">
                  <c:v>118.44101265754189</c:v>
                </c:pt>
                <c:pt idx="270">
                  <c:v>119.54643576478527</c:v>
                </c:pt>
                <c:pt idx="271">
                  <c:v>120.64759204468143</c:v>
                </c:pt>
                <c:pt idx="272">
                  <c:v>121.74432162779367</c:v>
                </c:pt>
                <c:pt idx="273">
                  <c:v>122.83646092941038</c:v>
                </c:pt>
                <c:pt idx="274">
                  <c:v>123.92384375798002</c:v>
                </c:pt>
                <c:pt idx="275">
                  <c:v>125.00630229854707</c:v>
                </c:pt>
                <c:pt idx="276">
                  <c:v>126.08366798431443</c:v>
                </c:pt>
                <c:pt idx="277">
                  <c:v>127.15577226893032</c:v>
                </c:pt>
                <c:pt idx="278">
                  <c:v>128.22244731108768</c:v>
                </c:pt>
                <c:pt idx="279">
                  <c:v>129.28352658180739</c:v>
                </c:pt>
                <c:pt idx="280">
                  <c:v>130.33884540352054</c:v>
                </c:pt>
                <c:pt idx="281">
                  <c:v>131.38824142886537</c:v>
                </c:pt>
                <c:pt idx="282">
                  <c:v>132.43155506602241</c:v>
                </c:pt>
                <c:pt idx="283">
                  <c:v>133.46862985644279</c:v>
                </c:pt>
                <c:pt idx="284">
                  <c:v>134.49931280998663</c:v>
                </c:pt>
                <c:pt idx="285">
                  <c:v>135.52345470176974</c:v>
                </c:pt>
                <c:pt idx="286">
                  <c:v>136.54091033440909</c:v>
                </c:pt>
                <c:pt idx="287">
                  <c:v>137.55153876884617</c:v>
                </c:pt>
                <c:pt idx="288">
                  <c:v>138.55520352649859</c:v>
                </c:pt>
                <c:pt idx="289">
                  <c:v>139.55177276513393</c:v>
                </c:pt>
                <c:pt idx="290">
                  <c:v>140.54111943056174</c:v>
                </c:pt>
                <c:pt idx="291">
                  <c:v>141.52312138599305</c:v>
                </c:pt>
                <c:pt idx="292">
                  <c:v>142.49766152071109</c:v>
                </c:pt>
                <c:pt idx="293">
                  <c:v>143.464627839526</c:v>
                </c:pt>
                <c:pt idx="294">
                  <c:v>144.42391353434422</c:v>
                </c:pt>
                <c:pt idx="295">
                  <c:v>145.3754170390647</c:v>
                </c:pt>
                <c:pt idx="296">
                  <c:v>146.31904206891397</c:v>
                </c:pt>
                <c:pt idx="297">
                  <c:v>147.25469764524959</c:v>
                </c:pt>
                <c:pt idx="298">
                  <c:v>148.18229810678966</c:v>
                </c:pt>
                <c:pt idx="299">
                  <c:v>149.10176310816644</c:v>
                </c:pt>
                <c:pt idx="300">
                  <c:v>150.01301760665015</c:v>
                </c:pt>
                <c:pt idx="301">
                  <c:v>150.91599183784427</c:v>
                </c:pt>
                <c:pt idx="302">
                  <c:v>151.81062128111338</c:v>
                </c:pt>
                <c:pt idx="303">
                  <c:v>152.69684661547072</c:v>
                </c:pt>
                <c:pt idx="304">
                  <c:v>153.57461366661974</c:v>
                </c:pt>
                <c:pt idx="305">
                  <c:v>154.44387334581586</c:v>
                </c:pt>
                <c:pt idx="306">
                  <c:v>155.30458158118719</c:v>
                </c:pt>
                <c:pt idx="307">
                  <c:v>156.15669924212838</c:v>
                </c:pt>
                <c:pt idx="308">
                  <c:v>157.00019205735737</c:v>
                </c:pt>
                <c:pt idx="309">
                  <c:v>157.83503052720221</c:v>
                </c:pt>
                <c:pt idx="310">
                  <c:v>158.66118983066278</c:v>
                </c:pt>
                <c:pt idx="311">
                  <c:v>159.4786497277706</c:v>
                </c:pt>
                <c:pt idx="312">
                  <c:v>160.2873944577486</c:v>
                </c:pt>
                <c:pt idx="313">
                  <c:v>161.08741263345215</c:v>
                </c:pt>
                <c:pt idx="314">
                  <c:v>161.87869713255137</c:v>
                </c:pt>
                <c:pt idx="315">
                  <c:v>162.66124498589517</c:v>
                </c:pt>
                <c:pt idx="316">
                  <c:v>163.43505726347632</c:v>
                </c:pt>
                <c:pt idx="317">
                  <c:v>164.20013895839756</c:v>
                </c:pt>
                <c:pt idx="318">
                  <c:v>164.95649886921836</c:v>
                </c:pt>
                <c:pt idx="319">
                  <c:v>165.70414948104272</c:v>
                </c:pt>
                <c:pt idx="320">
                  <c:v>166.44310684568873</c:v>
                </c:pt>
                <c:pt idx="321">
                  <c:v>167.17339046126179</c:v>
                </c:pt>
                <c:pt idx="322">
                  <c:v>167.89502315143412</c:v>
                </c:pt>
                <c:pt idx="323">
                  <c:v>168.60803094471507</c:v>
                </c:pt>
                <c:pt idx="324">
                  <c:v>169.3124429539786</c:v>
                </c:pt>
                <c:pt idx="325">
                  <c:v>170.00829125649628</c:v>
                </c:pt>
                <c:pt idx="326">
                  <c:v>170.69561077470709</c:v>
                </c:pt>
                <c:pt idx="327">
                  <c:v>171.37443915793844</c:v>
                </c:pt>
                <c:pt idx="328">
                  <c:v>172.04481666527622</c:v>
                </c:pt>
                <c:pt idx="329">
                  <c:v>172.70678604976618</c:v>
                </c:pt>
                <c:pt idx="330">
                  <c:v>173.36039244411319</c:v>
                </c:pt>
                <c:pt idx="331">
                  <c:v>174.00568324803046</c:v>
                </c:pt>
                <c:pt idx="332">
                  <c:v>174.64270801737644</c:v>
                </c:pt>
                <c:pt idx="333">
                  <c:v>175.27151835520317</c:v>
                </c:pt>
                <c:pt idx="334">
                  <c:v>175.89216780482744</c:v>
                </c:pt>
                <c:pt idx="335">
                  <c:v>176.50471174502263</c:v>
                </c:pt>
                <c:pt idx="336">
                  <c:v>177.10920728741817</c:v>
                </c:pt>
                <c:pt idx="337">
                  <c:v>177.70571317618146</c:v>
                </c:pt>
                <c:pt idx="338">
                  <c:v>178.29428969004672</c:v>
                </c:pt>
                <c:pt idx="339">
                  <c:v>178.87499854674505</c:v>
                </c:pt>
                <c:pt idx="340">
                  <c:v>179.44790280988005</c:v>
                </c:pt>
                <c:pt idx="341">
                  <c:v>180.01306679828494</c:v>
                </c:pt>
                <c:pt idx="342">
                  <c:v>180.57055599788782</c:v>
                </c:pt>
                <c:pt idx="343">
                  <c:v>181.1204369761046</c:v>
                </c:pt>
                <c:pt idx="344">
                  <c:v>181.66277729877103</c:v>
                </c:pt>
                <c:pt idx="345">
                  <c:v>182.19764544961885</c:v>
                </c:pt>
                <c:pt idx="346">
                  <c:v>182.72511075229431</c:v>
                </c:pt>
                <c:pt idx="347">
                  <c:v>183.24524329491177</c:v>
                </c:pt>
                <c:pt idx="348">
                  <c:v>183.7581138571293</c:v>
                </c:pt>
                <c:pt idx="349">
                  <c:v>184.26379383972827</c:v>
                </c:pt>
                <c:pt idx="350">
                  <c:v>184.26379383972827</c:v>
                </c:pt>
                <c:pt idx="351">
                  <c:v>184.26379383972827</c:v>
                </c:pt>
                <c:pt idx="352">
                  <c:v>184.26379383972827</c:v>
                </c:pt>
                <c:pt idx="353">
                  <c:v>184.26379383972827</c:v>
                </c:pt>
                <c:pt idx="354">
                  <c:v>184.26379383972827</c:v>
                </c:pt>
                <c:pt idx="355">
                  <c:v>184.26379383972827</c:v>
                </c:pt>
                <c:pt idx="356">
                  <c:v>184.26379383972827</c:v>
                </c:pt>
                <c:pt idx="357">
                  <c:v>184.26379383972827</c:v>
                </c:pt>
                <c:pt idx="358">
                  <c:v>184.26379383972827</c:v>
                </c:pt>
                <c:pt idx="359">
                  <c:v>184.26379383972827</c:v>
                </c:pt>
                <c:pt idx="360">
                  <c:v>184.26379383972827</c:v>
                </c:pt>
                <c:pt idx="361">
                  <c:v>184.26379383972827</c:v>
                </c:pt>
                <c:pt idx="362">
                  <c:v>184.26379383972827</c:v>
                </c:pt>
                <c:pt idx="363">
                  <c:v>184.26379383972827</c:v>
                </c:pt>
                <c:pt idx="364">
                  <c:v>184.26379383972827</c:v>
                </c:pt>
                <c:pt idx="365">
                  <c:v>184.26379383972827</c:v>
                </c:pt>
                <c:pt idx="366">
                  <c:v>184.26379383972827</c:v>
                </c:pt>
                <c:pt idx="367">
                  <c:v>184.26379383972827</c:v>
                </c:pt>
                <c:pt idx="368">
                  <c:v>184.26379383972827</c:v>
                </c:pt>
                <c:pt idx="369">
                  <c:v>184.26379383972827</c:v>
                </c:pt>
                <c:pt idx="370">
                  <c:v>184.26379383972827</c:v>
                </c:pt>
                <c:pt idx="371">
                  <c:v>184.26379383972827</c:v>
                </c:pt>
                <c:pt idx="372">
                  <c:v>184.26379383972827</c:v>
                </c:pt>
                <c:pt idx="373">
                  <c:v>184.26379383972827</c:v>
                </c:pt>
                <c:pt idx="374">
                  <c:v>184.26379383972827</c:v>
                </c:pt>
                <c:pt idx="375">
                  <c:v>184.26379383972827</c:v>
                </c:pt>
                <c:pt idx="376">
                  <c:v>184.26379383972827</c:v>
                </c:pt>
                <c:pt idx="377">
                  <c:v>184.26379383972827</c:v>
                </c:pt>
                <c:pt idx="378">
                  <c:v>184.26379383972827</c:v>
                </c:pt>
                <c:pt idx="379">
                  <c:v>184.26379383972827</c:v>
                </c:pt>
                <c:pt idx="380">
                  <c:v>184.26379383972827</c:v>
                </c:pt>
                <c:pt idx="381">
                  <c:v>184.26379383972827</c:v>
                </c:pt>
                <c:pt idx="382">
                  <c:v>184.26379383972827</c:v>
                </c:pt>
                <c:pt idx="383">
                  <c:v>184.26379383972827</c:v>
                </c:pt>
                <c:pt idx="384">
                  <c:v>184.26379383972827</c:v>
                </c:pt>
                <c:pt idx="385">
                  <c:v>184.26379383972827</c:v>
                </c:pt>
                <c:pt idx="386">
                  <c:v>184.26379383972827</c:v>
                </c:pt>
                <c:pt idx="387">
                  <c:v>184.26379383972827</c:v>
                </c:pt>
                <c:pt idx="388">
                  <c:v>184.26379383972827</c:v>
                </c:pt>
                <c:pt idx="389">
                  <c:v>184.26379383972827</c:v>
                </c:pt>
                <c:pt idx="390">
                  <c:v>184.26379383972827</c:v>
                </c:pt>
                <c:pt idx="391">
                  <c:v>184.26379383972827</c:v>
                </c:pt>
                <c:pt idx="392">
                  <c:v>184.26379383972827</c:v>
                </c:pt>
                <c:pt idx="393">
                  <c:v>184.26379383972827</c:v>
                </c:pt>
                <c:pt idx="394">
                  <c:v>184.26379383972827</c:v>
                </c:pt>
                <c:pt idx="395">
                  <c:v>184.26379383972827</c:v>
                </c:pt>
                <c:pt idx="396">
                  <c:v>184.26379383972827</c:v>
                </c:pt>
                <c:pt idx="397">
                  <c:v>184.26379383972827</c:v>
                </c:pt>
                <c:pt idx="398">
                  <c:v>184.26379383972827</c:v>
                </c:pt>
                <c:pt idx="399">
                  <c:v>184.26379383972827</c:v>
                </c:pt>
                <c:pt idx="400">
                  <c:v>184.26379383972827</c:v>
                </c:pt>
                <c:pt idx="401">
                  <c:v>184.26379383972827</c:v>
                </c:pt>
                <c:pt idx="402">
                  <c:v>184.26379383972827</c:v>
                </c:pt>
                <c:pt idx="403">
                  <c:v>184.26379383972827</c:v>
                </c:pt>
                <c:pt idx="404">
                  <c:v>184.26379383972827</c:v>
                </c:pt>
                <c:pt idx="405">
                  <c:v>184.26379383972827</c:v>
                </c:pt>
                <c:pt idx="406">
                  <c:v>184.26379383972827</c:v>
                </c:pt>
                <c:pt idx="407">
                  <c:v>184.26379383972827</c:v>
                </c:pt>
                <c:pt idx="408">
                  <c:v>184.26379383972827</c:v>
                </c:pt>
                <c:pt idx="409">
                  <c:v>184.26379383972827</c:v>
                </c:pt>
                <c:pt idx="410">
                  <c:v>184.26379383972827</c:v>
                </c:pt>
                <c:pt idx="411">
                  <c:v>184.26379383972827</c:v>
                </c:pt>
                <c:pt idx="412">
                  <c:v>184.26379383972827</c:v>
                </c:pt>
                <c:pt idx="413">
                  <c:v>184.26379383972827</c:v>
                </c:pt>
                <c:pt idx="414">
                  <c:v>184.26379383972827</c:v>
                </c:pt>
                <c:pt idx="415">
                  <c:v>184.26379383972827</c:v>
                </c:pt>
                <c:pt idx="416">
                  <c:v>184.26379383972827</c:v>
                </c:pt>
                <c:pt idx="417">
                  <c:v>184.26379383972827</c:v>
                </c:pt>
                <c:pt idx="418">
                  <c:v>184.26379383972827</c:v>
                </c:pt>
                <c:pt idx="419">
                  <c:v>184.26379383972827</c:v>
                </c:pt>
                <c:pt idx="420">
                  <c:v>184.26379383972827</c:v>
                </c:pt>
                <c:pt idx="421">
                  <c:v>184.26379383972827</c:v>
                </c:pt>
                <c:pt idx="422">
                  <c:v>184.26379383972827</c:v>
                </c:pt>
                <c:pt idx="423">
                  <c:v>184.26379383972827</c:v>
                </c:pt>
                <c:pt idx="424">
                  <c:v>184.26379383972827</c:v>
                </c:pt>
                <c:pt idx="425">
                  <c:v>184.26379383972827</c:v>
                </c:pt>
                <c:pt idx="426">
                  <c:v>184.26379383972827</c:v>
                </c:pt>
                <c:pt idx="427">
                  <c:v>184.26379383972827</c:v>
                </c:pt>
                <c:pt idx="428">
                  <c:v>184.26379383972827</c:v>
                </c:pt>
                <c:pt idx="429">
                  <c:v>184.26379383972827</c:v>
                </c:pt>
                <c:pt idx="430">
                  <c:v>184.26379383972827</c:v>
                </c:pt>
                <c:pt idx="431">
                  <c:v>184.26379383972827</c:v>
                </c:pt>
                <c:pt idx="432">
                  <c:v>184.26379383972827</c:v>
                </c:pt>
                <c:pt idx="433">
                  <c:v>184.26379383972827</c:v>
                </c:pt>
                <c:pt idx="434">
                  <c:v>184.26379383972827</c:v>
                </c:pt>
                <c:pt idx="435">
                  <c:v>184.26379383972827</c:v>
                </c:pt>
                <c:pt idx="436">
                  <c:v>184.26379383972827</c:v>
                </c:pt>
                <c:pt idx="437">
                  <c:v>184.26379383972827</c:v>
                </c:pt>
                <c:pt idx="438">
                  <c:v>184.26379383972827</c:v>
                </c:pt>
                <c:pt idx="439">
                  <c:v>184.26379383972827</c:v>
                </c:pt>
                <c:pt idx="440">
                  <c:v>184.26379383972827</c:v>
                </c:pt>
                <c:pt idx="441">
                  <c:v>184.26379383972827</c:v>
                </c:pt>
                <c:pt idx="442">
                  <c:v>184.26379383972827</c:v>
                </c:pt>
                <c:pt idx="443">
                  <c:v>184.26379383972827</c:v>
                </c:pt>
                <c:pt idx="444">
                  <c:v>184.26379383972827</c:v>
                </c:pt>
                <c:pt idx="445">
                  <c:v>184.26379383972827</c:v>
                </c:pt>
                <c:pt idx="446">
                  <c:v>184.26379383972827</c:v>
                </c:pt>
                <c:pt idx="447">
                  <c:v>184.26379383972827</c:v>
                </c:pt>
                <c:pt idx="448">
                  <c:v>184.26379383972827</c:v>
                </c:pt>
                <c:pt idx="449">
                  <c:v>184.26379383972827</c:v>
                </c:pt>
                <c:pt idx="450">
                  <c:v>184.26379383972827</c:v>
                </c:pt>
                <c:pt idx="451">
                  <c:v>184.26379383972827</c:v>
                </c:pt>
                <c:pt idx="452">
                  <c:v>184.26379383972827</c:v>
                </c:pt>
                <c:pt idx="453">
                  <c:v>184.26379383972827</c:v>
                </c:pt>
                <c:pt idx="454">
                  <c:v>184.26379383972827</c:v>
                </c:pt>
                <c:pt idx="455">
                  <c:v>184.26379383972827</c:v>
                </c:pt>
                <c:pt idx="456">
                  <c:v>184.26379383972827</c:v>
                </c:pt>
                <c:pt idx="457">
                  <c:v>184.26379383972827</c:v>
                </c:pt>
                <c:pt idx="458">
                  <c:v>184.26379383972827</c:v>
                </c:pt>
                <c:pt idx="459">
                  <c:v>184.26379383972827</c:v>
                </c:pt>
                <c:pt idx="460">
                  <c:v>184.26379383972827</c:v>
                </c:pt>
                <c:pt idx="461">
                  <c:v>184.26379383972827</c:v>
                </c:pt>
                <c:pt idx="462">
                  <c:v>184.26379383972827</c:v>
                </c:pt>
                <c:pt idx="463">
                  <c:v>184.26379383972827</c:v>
                </c:pt>
                <c:pt idx="464">
                  <c:v>184.26379383972827</c:v>
                </c:pt>
                <c:pt idx="465">
                  <c:v>184.26379383972827</c:v>
                </c:pt>
                <c:pt idx="466">
                  <c:v>184.26379383972827</c:v>
                </c:pt>
                <c:pt idx="467">
                  <c:v>184.26379383972827</c:v>
                </c:pt>
                <c:pt idx="468">
                  <c:v>184.26379383972827</c:v>
                </c:pt>
                <c:pt idx="469">
                  <c:v>184.26379383972827</c:v>
                </c:pt>
                <c:pt idx="470">
                  <c:v>184.26379383972827</c:v>
                </c:pt>
                <c:pt idx="471">
                  <c:v>184.26379383972827</c:v>
                </c:pt>
                <c:pt idx="472">
                  <c:v>184.26379383972827</c:v>
                </c:pt>
                <c:pt idx="473">
                  <c:v>184.26379383972827</c:v>
                </c:pt>
                <c:pt idx="474">
                  <c:v>184.26379383972827</c:v>
                </c:pt>
                <c:pt idx="475">
                  <c:v>184.26379383972827</c:v>
                </c:pt>
                <c:pt idx="476">
                  <c:v>184.26379383972827</c:v>
                </c:pt>
                <c:pt idx="477">
                  <c:v>184.26379383972827</c:v>
                </c:pt>
                <c:pt idx="478">
                  <c:v>184.26379383972827</c:v>
                </c:pt>
                <c:pt idx="479">
                  <c:v>184.26379383972827</c:v>
                </c:pt>
                <c:pt idx="480">
                  <c:v>184.26379383972827</c:v>
                </c:pt>
                <c:pt idx="481">
                  <c:v>184.26379383972827</c:v>
                </c:pt>
                <c:pt idx="482">
                  <c:v>184.26379383972827</c:v>
                </c:pt>
                <c:pt idx="483">
                  <c:v>184.26379383972827</c:v>
                </c:pt>
                <c:pt idx="484">
                  <c:v>184.26379383972827</c:v>
                </c:pt>
                <c:pt idx="485">
                  <c:v>184.26379383972827</c:v>
                </c:pt>
                <c:pt idx="486">
                  <c:v>184.26379383972827</c:v>
                </c:pt>
                <c:pt idx="487">
                  <c:v>184.26379383972827</c:v>
                </c:pt>
                <c:pt idx="488">
                  <c:v>184.26379383972827</c:v>
                </c:pt>
                <c:pt idx="489">
                  <c:v>184.26379383972827</c:v>
                </c:pt>
                <c:pt idx="490">
                  <c:v>184.26379383972827</c:v>
                </c:pt>
                <c:pt idx="491">
                  <c:v>184.26379383972827</c:v>
                </c:pt>
                <c:pt idx="492">
                  <c:v>184.26379383972827</c:v>
                </c:pt>
                <c:pt idx="493">
                  <c:v>184.26379383972827</c:v>
                </c:pt>
                <c:pt idx="494">
                  <c:v>184.26379383972827</c:v>
                </c:pt>
                <c:pt idx="495">
                  <c:v>184.26379383972827</c:v>
                </c:pt>
                <c:pt idx="496">
                  <c:v>184.26379383972827</c:v>
                </c:pt>
                <c:pt idx="497">
                  <c:v>184.26379383972827</c:v>
                </c:pt>
                <c:pt idx="498">
                  <c:v>184.26379383972827</c:v>
                </c:pt>
                <c:pt idx="499">
                  <c:v>184.26379383972827</c:v>
                </c:pt>
                <c:pt idx="500">
                  <c:v>184.26379383972827</c:v>
                </c:pt>
                <c:pt idx="501">
                  <c:v>184.26379383972827</c:v>
                </c:pt>
                <c:pt idx="502">
                  <c:v>184.26379383972827</c:v>
                </c:pt>
                <c:pt idx="503">
                  <c:v>184.26379383972827</c:v>
                </c:pt>
                <c:pt idx="504">
                  <c:v>184.26379383972827</c:v>
                </c:pt>
                <c:pt idx="505">
                  <c:v>184.26379383972827</c:v>
                </c:pt>
                <c:pt idx="506">
                  <c:v>184.26379383972827</c:v>
                </c:pt>
                <c:pt idx="507">
                  <c:v>184.26379383972827</c:v>
                </c:pt>
                <c:pt idx="508">
                  <c:v>184.26379383972827</c:v>
                </c:pt>
                <c:pt idx="509">
                  <c:v>184.26379383972827</c:v>
                </c:pt>
                <c:pt idx="510">
                  <c:v>184.26379383972827</c:v>
                </c:pt>
                <c:pt idx="511">
                  <c:v>184.26379383972827</c:v>
                </c:pt>
                <c:pt idx="512">
                  <c:v>184.26379383972827</c:v>
                </c:pt>
                <c:pt idx="513">
                  <c:v>184.26379383972827</c:v>
                </c:pt>
                <c:pt idx="514">
                  <c:v>184.26379383972827</c:v>
                </c:pt>
                <c:pt idx="515">
                  <c:v>184.26379383972827</c:v>
                </c:pt>
                <c:pt idx="516">
                  <c:v>184.26379383972827</c:v>
                </c:pt>
                <c:pt idx="517">
                  <c:v>184.26379383972827</c:v>
                </c:pt>
                <c:pt idx="518">
                  <c:v>184.26379383972827</c:v>
                </c:pt>
                <c:pt idx="519">
                  <c:v>184.26379383972827</c:v>
                </c:pt>
                <c:pt idx="520">
                  <c:v>184.26379383972827</c:v>
                </c:pt>
                <c:pt idx="521">
                  <c:v>184.26379383972827</c:v>
                </c:pt>
                <c:pt idx="522">
                  <c:v>184.26379383972827</c:v>
                </c:pt>
                <c:pt idx="523">
                  <c:v>184.26379383972827</c:v>
                </c:pt>
                <c:pt idx="524">
                  <c:v>184.26379383972827</c:v>
                </c:pt>
                <c:pt idx="525">
                  <c:v>184.26379383972827</c:v>
                </c:pt>
                <c:pt idx="526">
                  <c:v>184.26379383972827</c:v>
                </c:pt>
                <c:pt idx="527">
                  <c:v>184.26379383972827</c:v>
                </c:pt>
                <c:pt idx="528">
                  <c:v>184.26379383972827</c:v>
                </c:pt>
                <c:pt idx="529">
                  <c:v>184.26379383972827</c:v>
                </c:pt>
                <c:pt idx="530">
                  <c:v>184.26379383972827</c:v>
                </c:pt>
                <c:pt idx="531">
                  <c:v>184.26379383972827</c:v>
                </c:pt>
                <c:pt idx="532">
                  <c:v>184.26379383972827</c:v>
                </c:pt>
                <c:pt idx="533">
                  <c:v>184.26379383972827</c:v>
                </c:pt>
                <c:pt idx="534">
                  <c:v>184.26379383972827</c:v>
                </c:pt>
                <c:pt idx="535">
                  <c:v>184.26379383972827</c:v>
                </c:pt>
                <c:pt idx="536">
                  <c:v>184.26379383972827</c:v>
                </c:pt>
                <c:pt idx="537">
                  <c:v>184.26379383972827</c:v>
                </c:pt>
                <c:pt idx="538">
                  <c:v>184.26379383972827</c:v>
                </c:pt>
                <c:pt idx="539">
                  <c:v>184.26379383972827</c:v>
                </c:pt>
                <c:pt idx="540">
                  <c:v>184.26379383972827</c:v>
                </c:pt>
                <c:pt idx="541">
                  <c:v>184.26379383972827</c:v>
                </c:pt>
                <c:pt idx="542">
                  <c:v>184.26379383972827</c:v>
                </c:pt>
                <c:pt idx="543">
                  <c:v>184.26379383972827</c:v>
                </c:pt>
                <c:pt idx="544">
                  <c:v>184.26379383972827</c:v>
                </c:pt>
                <c:pt idx="545">
                  <c:v>184.26379383972827</c:v>
                </c:pt>
                <c:pt idx="546">
                  <c:v>184.26379383972827</c:v>
                </c:pt>
                <c:pt idx="547">
                  <c:v>184.26379383972827</c:v>
                </c:pt>
                <c:pt idx="548">
                  <c:v>184.26379383972827</c:v>
                </c:pt>
                <c:pt idx="549">
                  <c:v>184.26379383972827</c:v>
                </c:pt>
                <c:pt idx="550">
                  <c:v>184.26379383972827</c:v>
                </c:pt>
                <c:pt idx="551">
                  <c:v>184.26379383972827</c:v>
                </c:pt>
                <c:pt idx="552">
                  <c:v>184.26379383972827</c:v>
                </c:pt>
                <c:pt idx="553">
                  <c:v>184.26379383972827</c:v>
                </c:pt>
                <c:pt idx="554">
                  <c:v>184.26379383972827</c:v>
                </c:pt>
                <c:pt idx="555">
                  <c:v>184.26379383972827</c:v>
                </c:pt>
                <c:pt idx="556">
                  <c:v>184.26379383972827</c:v>
                </c:pt>
                <c:pt idx="557">
                  <c:v>184.26379383972827</c:v>
                </c:pt>
                <c:pt idx="558">
                  <c:v>184.26379383972827</c:v>
                </c:pt>
                <c:pt idx="559">
                  <c:v>184.26379383972827</c:v>
                </c:pt>
                <c:pt idx="560">
                  <c:v>184.26379383972827</c:v>
                </c:pt>
                <c:pt idx="561">
                  <c:v>184.26379383972827</c:v>
                </c:pt>
                <c:pt idx="562">
                  <c:v>184.26379383972827</c:v>
                </c:pt>
                <c:pt idx="563">
                  <c:v>184.26379383972827</c:v>
                </c:pt>
                <c:pt idx="564">
                  <c:v>184.26379383972827</c:v>
                </c:pt>
                <c:pt idx="565">
                  <c:v>184.26379383972827</c:v>
                </c:pt>
                <c:pt idx="566">
                  <c:v>184.26379383972827</c:v>
                </c:pt>
                <c:pt idx="567">
                  <c:v>184.26379383972827</c:v>
                </c:pt>
                <c:pt idx="568">
                  <c:v>184.26379383972827</c:v>
                </c:pt>
                <c:pt idx="569">
                  <c:v>184.26379383972827</c:v>
                </c:pt>
                <c:pt idx="570">
                  <c:v>184.26379383972827</c:v>
                </c:pt>
                <c:pt idx="571">
                  <c:v>184.26379383972827</c:v>
                </c:pt>
                <c:pt idx="572">
                  <c:v>184.26379383972827</c:v>
                </c:pt>
                <c:pt idx="573">
                  <c:v>184.26379383972827</c:v>
                </c:pt>
                <c:pt idx="574">
                  <c:v>184.26379383972827</c:v>
                </c:pt>
                <c:pt idx="575">
                  <c:v>184.26379383972827</c:v>
                </c:pt>
                <c:pt idx="576">
                  <c:v>184.26379383972827</c:v>
                </c:pt>
                <c:pt idx="577">
                  <c:v>184.26379383972827</c:v>
                </c:pt>
                <c:pt idx="578">
                  <c:v>184.26379383972827</c:v>
                </c:pt>
                <c:pt idx="579">
                  <c:v>184.26379383972827</c:v>
                </c:pt>
                <c:pt idx="580">
                  <c:v>184.26379383972827</c:v>
                </c:pt>
                <c:pt idx="581">
                  <c:v>184.26379383972827</c:v>
                </c:pt>
                <c:pt idx="582">
                  <c:v>184.26379383972827</c:v>
                </c:pt>
                <c:pt idx="583">
                  <c:v>184.26379383972827</c:v>
                </c:pt>
                <c:pt idx="584">
                  <c:v>184.26379383972827</c:v>
                </c:pt>
                <c:pt idx="585">
                  <c:v>184.26379383972827</c:v>
                </c:pt>
                <c:pt idx="586">
                  <c:v>184.26379383972827</c:v>
                </c:pt>
                <c:pt idx="587">
                  <c:v>184.26379383972827</c:v>
                </c:pt>
                <c:pt idx="588">
                  <c:v>184.26379383972827</c:v>
                </c:pt>
                <c:pt idx="589">
                  <c:v>184.26379383972827</c:v>
                </c:pt>
                <c:pt idx="590">
                  <c:v>184.26379383972827</c:v>
                </c:pt>
                <c:pt idx="591">
                  <c:v>184.26379383972827</c:v>
                </c:pt>
                <c:pt idx="592">
                  <c:v>184.26379383972827</c:v>
                </c:pt>
                <c:pt idx="593">
                  <c:v>184.26379383972827</c:v>
                </c:pt>
                <c:pt idx="594">
                  <c:v>184.26379383972827</c:v>
                </c:pt>
                <c:pt idx="595">
                  <c:v>184.26379383972827</c:v>
                </c:pt>
                <c:pt idx="596">
                  <c:v>184.26379383972827</c:v>
                </c:pt>
                <c:pt idx="597">
                  <c:v>184.26379383972827</c:v>
                </c:pt>
                <c:pt idx="598">
                  <c:v>184.26379383972827</c:v>
                </c:pt>
                <c:pt idx="599">
                  <c:v>184.26379383972827</c:v>
                </c:pt>
                <c:pt idx="600">
                  <c:v>184.26379383972827</c:v>
                </c:pt>
                <c:pt idx="601">
                  <c:v>184.26379383972827</c:v>
                </c:pt>
                <c:pt idx="602">
                  <c:v>184.26379383972827</c:v>
                </c:pt>
                <c:pt idx="603">
                  <c:v>184.26379383972827</c:v>
                </c:pt>
                <c:pt idx="604">
                  <c:v>184.26379383972827</c:v>
                </c:pt>
                <c:pt idx="605">
                  <c:v>184.26379383972827</c:v>
                </c:pt>
                <c:pt idx="606">
                  <c:v>184.26379383972827</c:v>
                </c:pt>
                <c:pt idx="607">
                  <c:v>184.26379383972827</c:v>
                </c:pt>
                <c:pt idx="608">
                  <c:v>184.26379383972827</c:v>
                </c:pt>
                <c:pt idx="609">
                  <c:v>184.26379383972827</c:v>
                </c:pt>
                <c:pt idx="610">
                  <c:v>184.26379383972827</c:v>
                </c:pt>
                <c:pt idx="611">
                  <c:v>184.26379383972827</c:v>
                </c:pt>
                <c:pt idx="612">
                  <c:v>184.26379383972827</c:v>
                </c:pt>
                <c:pt idx="613">
                  <c:v>184.26379383972827</c:v>
                </c:pt>
                <c:pt idx="614">
                  <c:v>184.26379383972827</c:v>
                </c:pt>
                <c:pt idx="615">
                  <c:v>184.26379383972827</c:v>
                </c:pt>
                <c:pt idx="616">
                  <c:v>184.26379383972827</c:v>
                </c:pt>
                <c:pt idx="617">
                  <c:v>184.26379383972827</c:v>
                </c:pt>
                <c:pt idx="618">
                  <c:v>184.26379383972827</c:v>
                </c:pt>
                <c:pt idx="619">
                  <c:v>184.26379383972827</c:v>
                </c:pt>
                <c:pt idx="620">
                  <c:v>184.26379383972827</c:v>
                </c:pt>
                <c:pt idx="621">
                  <c:v>184.26379383972827</c:v>
                </c:pt>
                <c:pt idx="622">
                  <c:v>184.26379383972827</c:v>
                </c:pt>
                <c:pt idx="623">
                  <c:v>184.26379383972827</c:v>
                </c:pt>
                <c:pt idx="624">
                  <c:v>184.26379383972827</c:v>
                </c:pt>
                <c:pt idx="625">
                  <c:v>184.26379383972827</c:v>
                </c:pt>
                <c:pt idx="626">
                  <c:v>184.26379383972827</c:v>
                </c:pt>
                <c:pt idx="627">
                  <c:v>184.26379383972827</c:v>
                </c:pt>
                <c:pt idx="628">
                  <c:v>184.26379383972827</c:v>
                </c:pt>
                <c:pt idx="629">
                  <c:v>184.26379383972827</c:v>
                </c:pt>
                <c:pt idx="630">
                  <c:v>184.26379383972827</c:v>
                </c:pt>
                <c:pt idx="631">
                  <c:v>184.26379383972827</c:v>
                </c:pt>
                <c:pt idx="632">
                  <c:v>184.26379383972827</c:v>
                </c:pt>
                <c:pt idx="633">
                  <c:v>184.26379383972827</c:v>
                </c:pt>
                <c:pt idx="634">
                  <c:v>184.26379383972827</c:v>
                </c:pt>
                <c:pt idx="635">
                  <c:v>184.26379383972827</c:v>
                </c:pt>
                <c:pt idx="636">
                  <c:v>184.26379383972827</c:v>
                </c:pt>
                <c:pt idx="637">
                  <c:v>184.26379383972827</c:v>
                </c:pt>
                <c:pt idx="638">
                  <c:v>184.26379383972827</c:v>
                </c:pt>
                <c:pt idx="639">
                  <c:v>184.26379383972827</c:v>
                </c:pt>
                <c:pt idx="640">
                  <c:v>184.26379383972827</c:v>
                </c:pt>
                <c:pt idx="641">
                  <c:v>184.26379383972827</c:v>
                </c:pt>
                <c:pt idx="642">
                  <c:v>184.26379383972827</c:v>
                </c:pt>
                <c:pt idx="643">
                  <c:v>184.26379383972827</c:v>
                </c:pt>
                <c:pt idx="644">
                  <c:v>184.26379383972827</c:v>
                </c:pt>
                <c:pt idx="645">
                  <c:v>184.26379383972827</c:v>
                </c:pt>
                <c:pt idx="646">
                  <c:v>184.26379383972827</c:v>
                </c:pt>
                <c:pt idx="647">
                  <c:v>184.26379383972827</c:v>
                </c:pt>
                <c:pt idx="648">
                  <c:v>184.26379383972827</c:v>
                </c:pt>
                <c:pt idx="649">
                  <c:v>184.26379383972827</c:v>
                </c:pt>
                <c:pt idx="650">
                  <c:v>184.26379383972827</c:v>
                </c:pt>
                <c:pt idx="651">
                  <c:v>184.26379383972827</c:v>
                </c:pt>
                <c:pt idx="652">
                  <c:v>184.26379383972827</c:v>
                </c:pt>
                <c:pt idx="653">
                  <c:v>184.26379383972827</c:v>
                </c:pt>
                <c:pt idx="654">
                  <c:v>184.26379383972827</c:v>
                </c:pt>
                <c:pt idx="655">
                  <c:v>184.26379383972827</c:v>
                </c:pt>
                <c:pt idx="656">
                  <c:v>184.26379383972827</c:v>
                </c:pt>
                <c:pt idx="657">
                  <c:v>184.26379383972827</c:v>
                </c:pt>
                <c:pt idx="658">
                  <c:v>184.26379383972827</c:v>
                </c:pt>
                <c:pt idx="659">
                  <c:v>184.26379383972827</c:v>
                </c:pt>
                <c:pt idx="660">
                  <c:v>184.26379383972827</c:v>
                </c:pt>
                <c:pt idx="661">
                  <c:v>184.26379383972827</c:v>
                </c:pt>
                <c:pt idx="662">
                  <c:v>184.26379383972827</c:v>
                </c:pt>
                <c:pt idx="663">
                  <c:v>184.26379383972827</c:v>
                </c:pt>
                <c:pt idx="664">
                  <c:v>184.26379383972827</c:v>
                </c:pt>
                <c:pt idx="665">
                  <c:v>184.26379383972827</c:v>
                </c:pt>
                <c:pt idx="666">
                  <c:v>184.26379383972827</c:v>
                </c:pt>
                <c:pt idx="667">
                  <c:v>184.26379383972827</c:v>
                </c:pt>
                <c:pt idx="668">
                  <c:v>184.26379383972827</c:v>
                </c:pt>
                <c:pt idx="669">
                  <c:v>184.26379383972827</c:v>
                </c:pt>
                <c:pt idx="670">
                  <c:v>184.26379383972827</c:v>
                </c:pt>
                <c:pt idx="671">
                  <c:v>184.26379383972827</c:v>
                </c:pt>
                <c:pt idx="672">
                  <c:v>184.26379383972827</c:v>
                </c:pt>
                <c:pt idx="673">
                  <c:v>184.26379383972827</c:v>
                </c:pt>
                <c:pt idx="674">
                  <c:v>184.26379383972827</c:v>
                </c:pt>
                <c:pt idx="675">
                  <c:v>184.26379383972827</c:v>
                </c:pt>
                <c:pt idx="676">
                  <c:v>184.26379383972827</c:v>
                </c:pt>
                <c:pt idx="677">
                  <c:v>184.26379383972827</c:v>
                </c:pt>
                <c:pt idx="678">
                  <c:v>184.26379383972827</c:v>
                </c:pt>
                <c:pt idx="679">
                  <c:v>184.26379383972827</c:v>
                </c:pt>
                <c:pt idx="680">
                  <c:v>184.26379383972827</c:v>
                </c:pt>
                <c:pt idx="681">
                  <c:v>184.26379383972827</c:v>
                </c:pt>
                <c:pt idx="682">
                  <c:v>184.26379383972827</c:v>
                </c:pt>
                <c:pt idx="683">
                  <c:v>184.26379383972827</c:v>
                </c:pt>
                <c:pt idx="684">
                  <c:v>184.26379383972827</c:v>
                </c:pt>
                <c:pt idx="685">
                  <c:v>184.26379383972827</c:v>
                </c:pt>
                <c:pt idx="686">
                  <c:v>184.26379383972827</c:v>
                </c:pt>
                <c:pt idx="687">
                  <c:v>184.26379383972827</c:v>
                </c:pt>
                <c:pt idx="688">
                  <c:v>184.26379383972827</c:v>
                </c:pt>
                <c:pt idx="689">
                  <c:v>184.26379383972827</c:v>
                </c:pt>
                <c:pt idx="690">
                  <c:v>184.26379383972827</c:v>
                </c:pt>
                <c:pt idx="691">
                  <c:v>184.26379383972827</c:v>
                </c:pt>
                <c:pt idx="692">
                  <c:v>184.26379383972827</c:v>
                </c:pt>
                <c:pt idx="693">
                  <c:v>184.26379383972827</c:v>
                </c:pt>
                <c:pt idx="694">
                  <c:v>184.26379383972827</c:v>
                </c:pt>
                <c:pt idx="695">
                  <c:v>184.26379383972827</c:v>
                </c:pt>
                <c:pt idx="696">
                  <c:v>184.26379383972827</c:v>
                </c:pt>
                <c:pt idx="697">
                  <c:v>184.26379383972827</c:v>
                </c:pt>
                <c:pt idx="698">
                  <c:v>184.26379383972827</c:v>
                </c:pt>
                <c:pt idx="699">
                  <c:v>184.26379383972827</c:v>
                </c:pt>
                <c:pt idx="700">
                  <c:v>184.26379383972827</c:v>
                </c:pt>
                <c:pt idx="701">
                  <c:v>184.26379383972827</c:v>
                </c:pt>
                <c:pt idx="702">
                  <c:v>184.26379383972827</c:v>
                </c:pt>
                <c:pt idx="703">
                  <c:v>184.26379383972827</c:v>
                </c:pt>
                <c:pt idx="704">
                  <c:v>184.26379383972827</c:v>
                </c:pt>
                <c:pt idx="705">
                  <c:v>184.26379383972827</c:v>
                </c:pt>
                <c:pt idx="706">
                  <c:v>184.26379383972827</c:v>
                </c:pt>
                <c:pt idx="707">
                  <c:v>184.26379383972827</c:v>
                </c:pt>
                <c:pt idx="708">
                  <c:v>184.26379383972827</c:v>
                </c:pt>
                <c:pt idx="709">
                  <c:v>184.26379383972827</c:v>
                </c:pt>
                <c:pt idx="710">
                  <c:v>184.26379383972827</c:v>
                </c:pt>
                <c:pt idx="711">
                  <c:v>184.26379383972827</c:v>
                </c:pt>
                <c:pt idx="712">
                  <c:v>184.26379383972827</c:v>
                </c:pt>
                <c:pt idx="713">
                  <c:v>184.26379383972827</c:v>
                </c:pt>
                <c:pt idx="714">
                  <c:v>184.26379383972827</c:v>
                </c:pt>
                <c:pt idx="715">
                  <c:v>184.26379383972827</c:v>
                </c:pt>
                <c:pt idx="716">
                  <c:v>184.26379383972827</c:v>
                </c:pt>
                <c:pt idx="717">
                  <c:v>184.26379383972827</c:v>
                </c:pt>
                <c:pt idx="718">
                  <c:v>184.26379383972827</c:v>
                </c:pt>
                <c:pt idx="719">
                  <c:v>184.26379383972827</c:v>
                </c:pt>
                <c:pt idx="720">
                  <c:v>184.26379383972827</c:v>
                </c:pt>
                <c:pt idx="721">
                  <c:v>184.26379383972827</c:v>
                </c:pt>
                <c:pt idx="722">
                  <c:v>184.26379383972827</c:v>
                </c:pt>
                <c:pt idx="723">
                  <c:v>184.26379383972827</c:v>
                </c:pt>
                <c:pt idx="724">
                  <c:v>184.26379383972827</c:v>
                </c:pt>
                <c:pt idx="725">
                  <c:v>184.26379383972827</c:v>
                </c:pt>
                <c:pt idx="726">
                  <c:v>184.26379383972827</c:v>
                </c:pt>
                <c:pt idx="727">
                  <c:v>184.26379383972827</c:v>
                </c:pt>
                <c:pt idx="728">
                  <c:v>184.26379383972827</c:v>
                </c:pt>
                <c:pt idx="729">
                  <c:v>184.26379383972827</c:v>
                </c:pt>
                <c:pt idx="730">
                  <c:v>184.26379383972827</c:v>
                </c:pt>
                <c:pt idx="731">
                  <c:v>184.26379383972827</c:v>
                </c:pt>
                <c:pt idx="732">
                  <c:v>184.26379383972827</c:v>
                </c:pt>
                <c:pt idx="733">
                  <c:v>184.26379383972827</c:v>
                </c:pt>
                <c:pt idx="734">
                  <c:v>184.26379383972827</c:v>
                </c:pt>
                <c:pt idx="735">
                  <c:v>184.26379383972827</c:v>
                </c:pt>
                <c:pt idx="736">
                  <c:v>184.26379383972827</c:v>
                </c:pt>
                <c:pt idx="737">
                  <c:v>184.26379383972827</c:v>
                </c:pt>
                <c:pt idx="738">
                  <c:v>184.26379383972827</c:v>
                </c:pt>
                <c:pt idx="739">
                  <c:v>184.26379383972827</c:v>
                </c:pt>
                <c:pt idx="740">
                  <c:v>184.26379383972827</c:v>
                </c:pt>
                <c:pt idx="741">
                  <c:v>184.26379383972827</c:v>
                </c:pt>
                <c:pt idx="742">
                  <c:v>184.26379383972827</c:v>
                </c:pt>
                <c:pt idx="743">
                  <c:v>184.26379383972827</c:v>
                </c:pt>
                <c:pt idx="744">
                  <c:v>184.26379383972827</c:v>
                </c:pt>
                <c:pt idx="745">
                  <c:v>184.26379383972827</c:v>
                </c:pt>
                <c:pt idx="746">
                  <c:v>184.26379383972827</c:v>
                </c:pt>
                <c:pt idx="747">
                  <c:v>184.26379383972827</c:v>
                </c:pt>
                <c:pt idx="748">
                  <c:v>184.26379383972827</c:v>
                </c:pt>
                <c:pt idx="749">
                  <c:v>184.26379383972827</c:v>
                </c:pt>
                <c:pt idx="750">
                  <c:v>184.26379383972827</c:v>
                </c:pt>
                <c:pt idx="751">
                  <c:v>184.26379383972827</c:v>
                </c:pt>
                <c:pt idx="752">
                  <c:v>184.26379383972827</c:v>
                </c:pt>
                <c:pt idx="753">
                  <c:v>184.26379383972827</c:v>
                </c:pt>
                <c:pt idx="754">
                  <c:v>184.26379383972827</c:v>
                </c:pt>
                <c:pt idx="755">
                  <c:v>184.26379383972827</c:v>
                </c:pt>
                <c:pt idx="756">
                  <c:v>184.26379383972827</c:v>
                </c:pt>
                <c:pt idx="757">
                  <c:v>184.26379383972827</c:v>
                </c:pt>
                <c:pt idx="758">
                  <c:v>184.26379383972827</c:v>
                </c:pt>
                <c:pt idx="759">
                  <c:v>184.26379383972827</c:v>
                </c:pt>
                <c:pt idx="760">
                  <c:v>184.26379383972827</c:v>
                </c:pt>
                <c:pt idx="761">
                  <c:v>184.26379383972827</c:v>
                </c:pt>
                <c:pt idx="762">
                  <c:v>184.26379383972827</c:v>
                </c:pt>
                <c:pt idx="763">
                  <c:v>184.26379383972827</c:v>
                </c:pt>
                <c:pt idx="764">
                  <c:v>184.26379383972827</c:v>
                </c:pt>
                <c:pt idx="765">
                  <c:v>184.26379383972827</c:v>
                </c:pt>
                <c:pt idx="766">
                  <c:v>184.26379383972827</c:v>
                </c:pt>
                <c:pt idx="767">
                  <c:v>184.26379383972827</c:v>
                </c:pt>
                <c:pt idx="768">
                  <c:v>184.26379383972827</c:v>
                </c:pt>
                <c:pt idx="769">
                  <c:v>184.26379383972827</c:v>
                </c:pt>
                <c:pt idx="770">
                  <c:v>184.26379383972827</c:v>
                </c:pt>
                <c:pt idx="771">
                  <c:v>184.26379383972827</c:v>
                </c:pt>
                <c:pt idx="772">
                  <c:v>184.26379383972827</c:v>
                </c:pt>
                <c:pt idx="773">
                  <c:v>184.26379383972827</c:v>
                </c:pt>
                <c:pt idx="774">
                  <c:v>184.26379383972827</c:v>
                </c:pt>
                <c:pt idx="775">
                  <c:v>184.26379383972827</c:v>
                </c:pt>
                <c:pt idx="776">
                  <c:v>184.26379383972827</c:v>
                </c:pt>
                <c:pt idx="777">
                  <c:v>184.26379383972827</c:v>
                </c:pt>
                <c:pt idx="778">
                  <c:v>184.26379383972827</c:v>
                </c:pt>
                <c:pt idx="779">
                  <c:v>184.26379383972827</c:v>
                </c:pt>
                <c:pt idx="780">
                  <c:v>184.26379383972827</c:v>
                </c:pt>
                <c:pt idx="781">
                  <c:v>184.26379383972827</c:v>
                </c:pt>
                <c:pt idx="782">
                  <c:v>184.26379383972827</c:v>
                </c:pt>
                <c:pt idx="783">
                  <c:v>184.26379383972827</c:v>
                </c:pt>
                <c:pt idx="784">
                  <c:v>184.26379383972827</c:v>
                </c:pt>
                <c:pt idx="785">
                  <c:v>184.26379383972827</c:v>
                </c:pt>
                <c:pt idx="786">
                  <c:v>184.26379383972827</c:v>
                </c:pt>
                <c:pt idx="787">
                  <c:v>184.26379383972827</c:v>
                </c:pt>
                <c:pt idx="788">
                  <c:v>184.26379383972827</c:v>
                </c:pt>
                <c:pt idx="789">
                  <c:v>184.26379383972827</c:v>
                </c:pt>
                <c:pt idx="790">
                  <c:v>184.26379383972827</c:v>
                </c:pt>
                <c:pt idx="791">
                  <c:v>184.26379383972827</c:v>
                </c:pt>
                <c:pt idx="792">
                  <c:v>184.26379383972827</c:v>
                </c:pt>
                <c:pt idx="793">
                  <c:v>184.26379383972827</c:v>
                </c:pt>
                <c:pt idx="794">
                  <c:v>184.26379383972827</c:v>
                </c:pt>
                <c:pt idx="795">
                  <c:v>184.26379383972827</c:v>
                </c:pt>
                <c:pt idx="796">
                  <c:v>184.26379383972827</c:v>
                </c:pt>
                <c:pt idx="797">
                  <c:v>184.26379383972827</c:v>
                </c:pt>
                <c:pt idx="798">
                  <c:v>184.26379383972827</c:v>
                </c:pt>
                <c:pt idx="799">
                  <c:v>184.26379383972827</c:v>
                </c:pt>
                <c:pt idx="800">
                  <c:v>184.26379383972827</c:v>
                </c:pt>
                <c:pt idx="801">
                  <c:v>184.26379383972827</c:v>
                </c:pt>
                <c:pt idx="802">
                  <c:v>184.26379383972827</c:v>
                </c:pt>
                <c:pt idx="803">
                  <c:v>184.26379383972827</c:v>
                </c:pt>
                <c:pt idx="804">
                  <c:v>184.26379383972827</c:v>
                </c:pt>
                <c:pt idx="805">
                  <c:v>184.26379383972827</c:v>
                </c:pt>
                <c:pt idx="806">
                  <c:v>184.26379383972827</c:v>
                </c:pt>
                <c:pt idx="807">
                  <c:v>184.26379383972827</c:v>
                </c:pt>
                <c:pt idx="808">
                  <c:v>184.26379383972827</c:v>
                </c:pt>
                <c:pt idx="809">
                  <c:v>184.26379383972827</c:v>
                </c:pt>
                <c:pt idx="810">
                  <c:v>184.26379383972827</c:v>
                </c:pt>
                <c:pt idx="811">
                  <c:v>184.26379383972827</c:v>
                </c:pt>
                <c:pt idx="812">
                  <c:v>184.26379383972827</c:v>
                </c:pt>
                <c:pt idx="813">
                  <c:v>184.26379383972827</c:v>
                </c:pt>
                <c:pt idx="814">
                  <c:v>184.26379383972827</c:v>
                </c:pt>
                <c:pt idx="815">
                  <c:v>184.26379383972827</c:v>
                </c:pt>
                <c:pt idx="816">
                  <c:v>184.26379383972827</c:v>
                </c:pt>
                <c:pt idx="817">
                  <c:v>184.26379383972827</c:v>
                </c:pt>
                <c:pt idx="818">
                  <c:v>184.26379383972827</c:v>
                </c:pt>
                <c:pt idx="819">
                  <c:v>184.26379383972827</c:v>
                </c:pt>
                <c:pt idx="820">
                  <c:v>184.26379383972827</c:v>
                </c:pt>
                <c:pt idx="821">
                  <c:v>184.26379383972827</c:v>
                </c:pt>
                <c:pt idx="822">
                  <c:v>184.26379383972827</c:v>
                </c:pt>
                <c:pt idx="823">
                  <c:v>184.26379383972827</c:v>
                </c:pt>
                <c:pt idx="824">
                  <c:v>184.26379383972827</c:v>
                </c:pt>
                <c:pt idx="825">
                  <c:v>184.26379383972827</c:v>
                </c:pt>
                <c:pt idx="826">
                  <c:v>184.26379383972827</c:v>
                </c:pt>
                <c:pt idx="827">
                  <c:v>184.26379383972827</c:v>
                </c:pt>
                <c:pt idx="828">
                  <c:v>184.26379383972827</c:v>
                </c:pt>
                <c:pt idx="829">
                  <c:v>184.26379383972827</c:v>
                </c:pt>
                <c:pt idx="830">
                  <c:v>184.26379383972827</c:v>
                </c:pt>
                <c:pt idx="831">
                  <c:v>184.26379383972827</c:v>
                </c:pt>
                <c:pt idx="832">
                  <c:v>184.26379383972827</c:v>
                </c:pt>
                <c:pt idx="833">
                  <c:v>184.26379383972827</c:v>
                </c:pt>
                <c:pt idx="834">
                  <c:v>184.26379383972827</c:v>
                </c:pt>
                <c:pt idx="835">
                  <c:v>184.26379383972827</c:v>
                </c:pt>
                <c:pt idx="836">
                  <c:v>184.26379383972827</c:v>
                </c:pt>
                <c:pt idx="837">
                  <c:v>184.26379383972827</c:v>
                </c:pt>
                <c:pt idx="838">
                  <c:v>184.26379383972827</c:v>
                </c:pt>
                <c:pt idx="839">
                  <c:v>184.26379383972827</c:v>
                </c:pt>
                <c:pt idx="840">
                  <c:v>184.26379383972827</c:v>
                </c:pt>
                <c:pt idx="841">
                  <c:v>184.26379383972827</c:v>
                </c:pt>
                <c:pt idx="842">
                  <c:v>184.26379383972827</c:v>
                </c:pt>
                <c:pt idx="843">
                  <c:v>184.26379383972827</c:v>
                </c:pt>
                <c:pt idx="844">
                  <c:v>184.26379383972827</c:v>
                </c:pt>
                <c:pt idx="845">
                  <c:v>184.26379383972827</c:v>
                </c:pt>
                <c:pt idx="846">
                  <c:v>184.26379383972827</c:v>
                </c:pt>
                <c:pt idx="847">
                  <c:v>184.26379383972827</c:v>
                </c:pt>
                <c:pt idx="848">
                  <c:v>184.26379383972827</c:v>
                </c:pt>
                <c:pt idx="849">
                  <c:v>184.26379383972827</c:v>
                </c:pt>
                <c:pt idx="850">
                  <c:v>184.26379383972827</c:v>
                </c:pt>
                <c:pt idx="851">
                  <c:v>184.26379383972827</c:v>
                </c:pt>
                <c:pt idx="852">
                  <c:v>184.26379383972827</c:v>
                </c:pt>
                <c:pt idx="853">
                  <c:v>184.26379383972827</c:v>
                </c:pt>
                <c:pt idx="854">
                  <c:v>184.26379383972827</c:v>
                </c:pt>
                <c:pt idx="855">
                  <c:v>184.26379383972827</c:v>
                </c:pt>
                <c:pt idx="856">
                  <c:v>184.26379383972827</c:v>
                </c:pt>
                <c:pt idx="857">
                  <c:v>184.26379383972827</c:v>
                </c:pt>
                <c:pt idx="858">
                  <c:v>184.26379383972827</c:v>
                </c:pt>
                <c:pt idx="859">
                  <c:v>184.26379383972827</c:v>
                </c:pt>
                <c:pt idx="860">
                  <c:v>184.26379383972827</c:v>
                </c:pt>
                <c:pt idx="861">
                  <c:v>184.26379383972827</c:v>
                </c:pt>
                <c:pt idx="862">
                  <c:v>184.26379383972827</c:v>
                </c:pt>
                <c:pt idx="863">
                  <c:v>184.26379383972827</c:v>
                </c:pt>
                <c:pt idx="864">
                  <c:v>184.26379383972827</c:v>
                </c:pt>
                <c:pt idx="865">
                  <c:v>184.26379383972827</c:v>
                </c:pt>
                <c:pt idx="866">
                  <c:v>184.26379383972827</c:v>
                </c:pt>
                <c:pt idx="867">
                  <c:v>184.26379383972827</c:v>
                </c:pt>
                <c:pt idx="868">
                  <c:v>184.26379383972827</c:v>
                </c:pt>
                <c:pt idx="869">
                  <c:v>184.26379383972827</c:v>
                </c:pt>
                <c:pt idx="870">
                  <c:v>184.26379383972827</c:v>
                </c:pt>
                <c:pt idx="871">
                  <c:v>184.26379383972827</c:v>
                </c:pt>
                <c:pt idx="872">
                  <c:v>184.26379383972827</c:v>
                </c:pt>
                <c:pt idx="873">
                  <c:v>184.26379383972827</c:v>
                </c:pt>
                <c:pt idx="874">
                  <c:v>184.26379383972827</c:v>
                </c:pt>
                <c:pt idx="875">
                  <c:v>184.26379383972827</c:v>
                </c:pt>
                <c:pt idx="876">
                  <c:v>184.26379383972827</c:v>
                </c:pt>
                <c:pt idx="877">
                  <c:v>184.26379383972827</c:v>
                </c:pt>
                <c:pt idx="878">
                  <c:v>184.26379383972827</c:v>
                </c:pt>
                <c:pt idx="879">
                  <c:v>184.26379383972827</c:v>
                </c:pt>
                <c:pt idx="880">
                  <c:v>184.26379383972827</c:v>
                </c:pt>
                <c:pt idx="881">
                  <c:v>184.26379383972827</c:v>
                </c:pt>
                <c:pt idx="882">
                  <c:v>184.26379383972827</c:v>
                </c:pt>
                <c:pt idx="883">
                  <c:v>184.26379383972827</c:v>
                </c:pt>
                <c:pt idx="884">
                  <c:v>184.26379383972827</c:v>
                </c:pt>
                <c:pt idx="885">
                  <c:v>184.26379383972827</c:v>
                </c:pt>
                <c:pt idx="886">
                  <c:v>184.26379383972827</c:v>
                </c:pt>
                <c:pt idx="887">
                  <c:v>184.26379383972827</c:v>
                </c:pt>
                <c:pt idx="888">
                  <c:v>184.26379383972827</c:v>
                </c:pt>
                <c:pt idx="889">
                  <c:v>184.26379383972827</c:v>
                </c:pt>
                <c:pt idx="890">
                  <c:v>184.26379383972827</c:v>
                </c:pt>
                <c:pt idx="891">
                  <c:v>184.26379383972827</c:v>
                </c:pt>
                <c:pt idx="892">
                  <c:v>184.26379383972827</c:v>
                </c:pt>
                <c:pt idx="893">
                  <c:v>184.26379383972827</c:v>
                </c:pt>
                <c:pt idx="894">
                  <c:v>184.26379383972827</c:v>
                </c:pt>
                <c:pt idx="895">
                  <c:v>184.26379383972827</c:v>
                </c:pt>
                <c:pt idx="896">
                  <c:v>184.26379383972827</c:v>
                </c:pt>
                <c:pt idx="897">
                  <c:v>184.26379383972827</c:v>
                </c:pt>
                <c:pt idx="898">
                  <c:v>184.26379383972827</c:v>
                </c:pt>
                <c:pt idx="899">
                  <c:v>184.26379383972827</c:v>
                </c:pt>
                <c:pt idx="900">
                  <c:v>184.26379383972827</c:v>
                </c:pt>
                <c:pt idx="901">
                  <c:v>184.26379383972827</c:v>
                </c:pt>
                <c:pt idx="902">
                  <c:v>184.26379383972827</c:v>
                </c:pt>
                <c:pt idx="903">
                  <c:v>184.26379383972827</c:v>
                </c:pt>
                <c:pt idx="904">
                  <c:v>184.26379383972827</c:v>
                </c:pt>
                <c:pt idx="905">
                  <c:v>184.26379383972827</c:v>
                </c:pt>
                <c:pt idx="906">
                  <c:v>184.26379383972827</c:v>
                </c:pt>
                <c:pt idx="907">
                  <c:v>184.26379383972827</c:v>
                </c:pt>
                <c:pt idx="908">
                  <c:v>184.26379383972827</c:v>
                </c:pt>
                <c:pt idx="909">
                  <c:v>184.26379383972827</c:v>
                </c:pt>
                <c:pt idx="910">
                  <c:v>184.26379383972827</c:v>
                </c:pt>
                <c:pt idx="911">
                  <c:v>184.26379383972827</c:v>
                </c:pt>
                <c:pt idx="912">
                  <c:v>184.26379383972827</c:v>
                </c:pt>
                <c:pt idx="913">
                  <c:v>184.26379383972827</c:v>
                </c:pt>
                <c:pt idx="914">
                  <c:v>184.26379383972827</c:v>
                </c:pt>
                <c:pt idx="915">
                  <c:v>184.26379383972827</c:v>
                </c:pt>
                <c:pt idx="916">
                  <c:v>184.26379383972827</c:v>
                </c:pt>
                <c:pt idx="917">
                  <c:v>184.26379383972827</c:v>
                </c:pt>
                <c:pt idx="918">
                  <c:v>184.26379383972827</c:v>
                </c:pt>
                <c:pt idx="919">
                  <c:v>184.26379383972827</c:v>
                </c:pt>
                <c:pt idx="920">
                  <c:v>184.26379383972827</c:v>
                </c:pt>
                <c:pt idx="921">
                  <c:v>184.26379383972827</c:v>
                </c:pt>
                <c:pt idx="922">
                  <c:v>184.26379383972827</c:v>
                </c:pt>
                <c:pt idx="923">
                  <c:v>184.26379383972827</c:v>
                </c:pt>
                <c:pt idx="924">
                  <c:v>184.26379383972827</c:v>
                </c:pt>
                <c:pt idx="925">
                  <c:v>184.26379383972827</c:v>
                </c:pt>
                <c:pt idx="926">
                  <c:v>184.26379383972827</c:v>
                </c:pt>
                <c:pt idx="927">
                  <c:v>184.26379383972827</c:v>
                </c:pt>
                <c:pt idx="928">
                  <c:v>184.26379383972827</c:v>
                </c:pt>
                <c:pt idx="929">
                  <c:v>184.26379383972827</c:v>
                </c:pt>
                <c:pt idx="930">
                  <c:v>184.26379383972827</c:v>
                </c:pt>
                <c:pt idx="931">
                  <c:v>184.26379383972827</c:v>
                </c:pt>
                <c:pt idx="932">
                  <c:v>184.26379383972827</c:v>
                </c:pt>
                <c:pt idx="933">
                  <c:v>184.26379383972827</c:v>
                </c:pt>
                <c:pt idx="934">
                  <c:v>184.26379383972827</c:v>
                </c:pt>
                <c:pt idx="935">
                  <c:v>184.26379383972827</c:v>
                </c:pt>
                <c:pt idx="936">
                  <c:v>184.26379383972827</c:v>
                </c:pt>
                <c:pt idx="937">
                  <c:v>184.26379383972827</c:v>
                </c:pt>
                <c:pt idx="938">
                  <c:v>184.26379383972827</c:v>
                </c:pt>
                <c:pt idx="939">
                  <c:v>184.26379383972827</c:v>
                </c:pt>
                <c:pt idx="940">
                  <c:v>184.26379383972827</c:v>
                </c:pt>
                <c:pt idx="941">
                  <c:v>184.26379383972827</c:v>
                </c:pt>
                <c:pt idx="942">
                  <c:v>184.26379383972827</c:v>
                </c:pt>
                <c:pt idx="943">
                  <c:v>184.26379383972827</c:v>
                </c:pt>
                <c:pt idx="944">
                  <c:v>184.26379383972827</c:v>
                </c:pt>
                <c:pt idx="945">
                  <c:v>184.26379383972827</c:v>
                </c:pt>
                <c:pt idx="946">
                  <c:v>184.26379383972827</c:v>
                </c:pt>
                <c:pt idx="947">
                  <c:v>184.26379383972827</c:v>
                </c:pt>
                <c:pt idx="948">
                  <c:v>184.26379383972827</c:v>
                </c:pt>
                <c:pt idx="949">
                  <c:v>184.26379383972827</c:v>
                </c:pt>
                <c:pt idx="950">
                  <c:v>184.26379383972827</c:v>
                </c:pt>
                <c:pt idx="951">
                  <c:v>184.26379383972827</c:v>
                </c:pt>
                <c:pt idx="952">
                  <c:v>184.26379383972827</c:v>
                </c:pt>
                <c:pt idx="953">
                  <c:v>184.26379383972827</c:v>
                </c:pt>
                <c:pt idx="954">
                  <c:v>184.26379383972827</c:v>
                </c:pt>
                <c:pt idx="955">
                  <c:v>184.26379383972827</c:v>
                </c:pt>
                <c:pt idx="956">
                  <c:v>184.26379383972827</c:v>
                </c:pt>
                <c:pt idx="957">
                  <c:v>184.26379383972827</c:v>
                </c:pt>
                <c:pt idx="958">
                  <c:v>184.26379383972827</c:v>
                </c:pt>
                <c:pt idx="959">
                  <c:v>184.26379383972827</c:v>
                </c:pt>
                <c:pt idx="960">
                  <c:v>184.26379383972827</c:v>
                </c:pt>
                <c:pt idx="961">
                  <c:v>184.26379383972827</c:v>
                </c:pt>
                <c:pt idx="962">
                  <c:v>184.26379383972827</c:v>
                </c:pt>
                <c:pt idx="963">
                  <c:v>184.26379383972827</c:v>
                </c:pt>
                <c:pt idx="964">
                  <c:v>184.26379383972827</c:v>
                </c:pt>
                <c:pt idx="965">
                  <c:v>184.26379383972827</c:v>
                </c:pt>
                <c:pt idx="966">
                  <c:v>184.26379383972827</c:v>
                </c:pt>
                <c:pt idx="967">
                  <c:v>184.26379383972827</c:v>
                </c:pt>
                <c:pt idx="968">
                  <c:v>184.26379383972827</c:v>
                </c:pt>
                <c:pt idx="969">
                  <c:v>184.26379383972827</c:v>
                </c:pt>
                <c:pt idx="970">
                  <c:v>184.26379383972827</c:v>
                </c:pt>
                <c:pt idx="971">
                  <c:v>184.26379383972827</c:v>
                </c:pt>
                <c:pt idx="972">
                  <c:v>184.26379383972827</c:v>
                </c:pt>
                <c:pt idx="973">
                  <c:v>184.26379383972827</c:v>
                </c:pt>
                <c:pt idx="974">
                  <c:v>184.26379383972827</c:v>
                </c:pt>
                <c:pt idx="975">
                  <c:v>184.26379383972827</c:v>
                </c:pt>
                <c:pt idx="976">
                  <c:v>184.26379383972827</c:v>
                </c:pt>
                <c:pt idx="977">
                  <c:v>184.26379383972827</c:v>
                </c:pt>
                <c:pt idx="978">
                  <c:v>184.26379383972827</c:v>
                </c:pt>
                <c:pt idx="979">
                  <c:v>184.26379383972827</c:v>
                </c:pt>
                <c:pt idx="980">
                  <c:v>184.26379383972827</c:v>
                </c:pt>
                <c:pt idx="981">
                  <c:v>184.26379383972827</c:v>
                </c:pt>
                <c:pt idx="982">
                  <c:v>184.26379383972827</c:v>
                </c:pt>
                <c:pt idx="983">
                  <c:v>184.26379383972827</c:v>
                </c:pt>
                <c:pt idx="984">
                  <c:v>184.26379383972827</c:v>
                </c:pt>
                <c:pt idx="985">
                  <c:v>184.26379383972827</c:v>
                </c:pt>
                <c:pt idx="986">
                  <c:v>184.26379383972827</c:v>
                </c:pt>
                <c:pt idx="987">
                  <c:v>184.26379383972827</c:v>
                </c:pt>
                <c:pt idx="988">
                  <c:v>184.26379383972827</c:v>
                </c:pt>
                <c:pt idx="989">
                  <c:v>184.26379383972827</c:v>
                </c:pt>
                <c:pt idx="990">
                  <c:v>184.26379383972827</c:v>
                </c:pt>
                <c:pt idx="991">
                  <c:v>184.26379383972827</c:v>
                </c:pt>
                <c:pt idx="992">
                  <c:v>184.26379383972827</c:v>
                </c:pt>
                <c:pt idx="993">
                  <c:v>184.26379383972827</c:v>
                </c:pt>
                <c:pt idx="994">
                  <c:v>184.26379383972827</c:v>
                </c:pt>
                <c:pt idx="995">
                  <c:v>184.26379383972827</c:v>
                </c:pt>
                <c:pt idx="996">
                  <c:v>184.26379383972827</c:v>
                </c:pt>
                <c:pt idx="997">
                  <c:v>184.26379383972827</c:v>
                </c:pt>
                <c:pt idx="998">
                  <c:v>184.26379383972827</c:v>
                </c:pt>
                <c:pt idx="999">
                  <c:v>184.26379383972827</c:v>
                </c:pt>
                <c:pt idx="1000">
                  <c:v>184.26379383972827</c:v>
                </c:pt>
              </c:numCache>
            </c:numRef>
          </c:yVal>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16.900099999999973</c:v>
                </c:pt>
                <c:pt idx="351">
                  <c:v>16.900199999999973</c:v>
                </c:pt>
                <c:pt idx="352">
                  <c:v>16.900299999999973</c:v>
                </c:pt>
                <c:pt idx="353">
                  <c:v>16.900399999999973</c:v>
                </c:pt>
                <c:pt idx="354">
                  <c:v>16.900499999999973</c:v>
                </c:pt>
                <c:pt idx="355">
                  <c:v>16.900599999999972</c:v>
                </c:pt>
                <c:pt idx="356">
                  <c:v>16.900699999999972</c:v>
                </c:pt>
                <c:pt idx="357">
                  <c:v>16.900799999999972</c:v>
                </c:pt>
                <c:pt idx="358">
                  <c:v>16.900899999999972</c:v>
                </c:pt>
                <c:pt idx="359">
                  <c:v>16.900999999999971</c:v>
                </c:pt>
                <c:pt idx="360">
                  <c:v>16.901099999999971</c:v>
                </c:pt>
                <c:pt idx="361">
                  <c:v>16.901199999999971</c:v>
                </c:pt>
                <c:pt idx="362">
                  <c:v>16.901299999999971</c:v>
                </c:pt>
                <c:pt idx="363">
                  <c:v>16.90139999999997</c:v>
                </c:pt>
                <c:pt idx="364">
                  <c:v>16.90149999999997</c:v>
                </c:pt>
                <c:pt idx="365">
                  <c:v>16.90159999999997</c:v>
                </c:pt>
                <c:pt idx="366">
                  <c:v>16.90169999999997</c:v>
                </c:pt>
                <c:pt idx="367">
                  <c:v>16.90179999999997</c:v>
                </c:pt>
                <c:pt idx="368">
                  <c:v>16.901899999999969</c:v>
                </c:pt>
                <c:pt idx="369">
                  <c:v>16.901999999999969</c:v>
                </c:pt>
                <c:pt idx="370">
                  <c:v>16.902099999999969</c:v>
                </c:pt>
                <c:pt idx="371">
                  <c:v>16.902199999999969</c:v>
                </c:pt>
                <c:pt idx="372">
                  <c:v>16.902299999999968</c:v>
                </c:pt>
                <c:pt idx="373">
                  <c:v>16.902399999999968</c:v>
                </c:pt>
                <c:pt idx="374">
                  <c:v>16.902499999999968</c:v>
                </c:pt>
                <c:pt idx="375">
                  <c:v>16.902599999999968</c:v>
                </c:pt>
                <c:pt idx="376">
                  <c:v>16.902699999999967</c:v>
                </c:pt>
                <c:pt idx="377">
                  <c:v>16.902799999999967</c:v>
                </c:pt>
                <c:pt idx="378">
                  <c:v>16.902899999999967</c:v>
                </c:pt>
                <c:pt idx="379">
                  <c:v>16.902999999999967</c:v>
                </c:pt>
                <c:pt idx="380">
                  <c:v>16.903099999999966</c:v>
                </c:pt>
                <c:pt idx="381">
                  <c:v>16.903199999999966</c:v>
                </c:pt>
                <c:pt idx="382">
                  <c:v>16.903299999999966</c:v>
                </c:pt>
                <c:pt idx="383">
                  <c:v>16.903399999999966</c:v>
                </c:pt>
                <c:pt idx="384">
                  <c:v>16.903499999999966</c:v>
                </c:pt>
                <c:pt idx="385">
                  <c:v>16.903599999999965</c:v>
                </c:pt>
                <c:pt idx="386">
                  <c:v>16.903699999999965</c:v>
                </c:pt>
                <c:pt idx="387">
                  <c:v>16.903799999999965</c:v>
                </c:pt>
                <c:pt idx="388">
                  <c:v>16.903899999999965</c:v>
                </c:pt>
                <c:pt idx="389">
                  <c:v>16.903999999999964</c:v>
                </c:pt>
                <c:pt idx="390">
                  <c:v>16.904099999999964</c:v>
                </c:pt>
                <c:pt idx="391">
                  <c:v>16.904199999999964</c:v>
                </c:pt>
                <c:pt idx="392">
                  <c:v>16.904299999999964</c:v>
                </c:pt>
                <c:pt idx="393">
                  <c:v>16.904399999999963</c:v>
                </c:pt>
                <c:pt idx="394">
                  <c:v>16.904499999999963</c:v>
                </c:pt>
                <c:pt idx="395">
                  <c:v>16.904599999999963</c:v>
                </c:pt>
                <c:pt idx="396">
                  <c:v>16.904699999999963</c:v>
                </c:pt>
                <c:pt idx="397">
                  <c:v>16.904799999999963</c:v>
                </c:pt>
                <c:pt idx="398">
                  <c:v>16.904899999999962</c:v>
                </c:pt>
                <c:pt idx="399">
                  <c:v>16.904999999999962</c:v>
                </c:pt>
                <c:pt idx="400">
                  <c:v>16.905099999999962</c:v>
                </c:pt>
                <c:pt idx="401">
                  <c:v>16.905199999999962</c:v>
                </c:pt>
                <c:pt idx="402">
                  <c:v>16.905299999999961</c:v>
                </c:pt>
                <c:pt idx="403">
                  <c:v>16.905399999999961</c:v>
                </c:pt>
                <c:pt idx="404">
                  <c:v>16.905499999999961</c:v>
                </c:pt>
                <c:pt idx="405">
                  <c:v>16.905599999999961</c:v>
                </c:pt>
                <c:pt idx="406">
                  <c:v>16.90569999999996</c:v>
                </c:pt>
                <c:pt idx="407">
                  <c:v>16.90579999999996</c:v>
                </c:pt>
                <c:pt idx="408">
                  <c:v>16.90589999999996</c:v>
                </c:pt>
                <c:pt idx="409">
                  <c:v>16.90599999999996</c:v>
                </c:pt>
                <c:pt idx="410">
                  <c:v>16.906099999999959</c:v>
                </c:pt>
                <c:pt idx="411">
                  <c:v>16.906199999999959</c:v>
                </c:pt>
                <c:pt idx="412">
                  <c:v>16.906299999999959</c:v>
                </c:pt>
                <c:pt idx="413">
                  <c:v>16.906399999999959</c:v>
                </c:pt>
                <c:pt idx="414">
                  <c:v>16.906499999999959</c:v>
                </c:pt>
                <c:pt idx="415">
                  <c:v>16.906599999999958</c:v>
                </c:pt>
                <c:pt idx="416">
                  <c:v>16.906699999999958</c:v>
                </c:pt>
                <c:pt idx="417">
                  <c:v>16.906799999999958</c:v>
                </c:pt>
                <c:pt idx="418">
                  <c:v>16.906899999999958</c:v>
                </c:pt>
                <c:pt idx="419">
                  <c:v>16.906999999999957</c:v>
                </c:pt>
                <c:pt idx="420">
                  <c:v>16.907099999999957</c:v>
                </c:pt>
                <c:pt idx="421">
                  <c:v>16.907199999999957</c:v>
                </c:pt>
                <c:pt idx="422">
                  <c:v>16.907299999999957</c:v>
                </c:pt>
                <c:pt idx="423">
                  <c:v>16.907399999999956</c:v>
                </c:pt>
                <c:pt idx="424">
                  <c:v>16.907499999999956</c:v>
                </c:pt>
                <c:pt idx="425">
                  <c:v>16.907599999999956</c:v>
                </c:pt>
                <c:pt idx="426">
                  <c:v>16.907699999999956</c:v>
                </c:pt>
                <c:pt idx="427">
                  <c:v>16.907799999999956</c:v>
                </c:pt>
                <c:pt idx="428">
                  <c:v>16.907899999999955</c:v>
                </c:pt>
                <c:pt idx="429">
                  <c:v>16.907999999999955</c:v>
                </c:pt>
                <c:pt idx="430">
                  <c:v>16.908099999999955</c:v>
                </c:pt>
                <c:pt idx="431">
                  <c:v>16.908199999999955</c:v>
                </c:pt>
                <c:pt idx="432">
                  <c:v>16.908299999999954</c:v>
                </c:pt>
                <c:pt idx="433">
                  <c:v>16.908399999999954</c:v>
                </c:pt>
                <c:pt idx="434">
                  <c:v>16.908499999999954</c:v>
                </c:pt>
                <c:pt idx="435">
                  <c:v>16.908599999999954</c:v>
                </c:pt>
                <c:pt idx="436">
                  <c:v>16.908699999999953</c:v>
                </c:pt>
                <c:pt idx="437">
                  <c:v>16.908799999999953</c:v>
                </c:pt>
                <c:pt idx="438">
                  <c:v>16.908899999999953</c:v>
                </c:pt>
                <c:pt idx="439">
                  <c:v>16.908999999999953</c:v>
                </c:pt>
                <c:pt idx="440">
                  <c:v>16.909099999999953</c:v>
                </c:pt>
                <c:pt idx="441">
                  <c:v>16.909199999999952</c:v>
                </c:pt>
                <c:pt idx="442">
                  <c:v>16.909299999999952</c:v>
                </c:pt>
                <c:pt idx="443">
                  <c:v>16.909399999999952</c:v>
                </c:pt>
                <c:pt idx="444">
                  <c:v>16.909499999999952</c:v>
                </c:pt>
                <c:pt idx="445">
                  <c:v>16.909599999999951</c:v>
                </c:pt>
                <c:pt idx="446">
                  <c:v>16.909699999999951</c:v>
                </c:pt>
                <c:pt idx="447">
                  <c:v>16.909799999999951</c:v>
                </c:pt>
                <c:pt idx="448">
                  <c:v>16.909899999999951</c:v>
                </c:pt>
                <c:pt idx="449">
                  <c:v>16.90999999999995</c:v>
                </c:pt>
                <c:pt idx="450">
                  <c:v>16.91009999999995</c:v>
                </c:pt>
                <c:pt idx="451">
                  <c:v>16.91019999999995</c:v>
                </c:pt>
                <c:pt idx="452">
                  <c:v>16.91029999999995</c:v>
                </c:pt>
                <c:pt idx="453">
                  <c:v>16.910399999999949</c:v>
                </c:pt>
                <c:pt idx="454">
                  <c:v>16.910499999999949</c:v>
                </c:pt>
                <c:pt idx="455">
                  <c:v>16.910599999999949</c:v>
                </c:pt>
                <c:pt idx="456">
                  <c:v>16.910699999999949</c:v>
                </c:pt>
                <c:pt idx="457">
                  <c:v>16.910799999999949</c:v>
                </c:pt>
                <c:pt idx="458">
                  <c:v>16.910899999999948</c:v>
                </c:pt>
                <c:pt idx="459">
                  <c:v>16.910999999999948</c:v>
                </c:pt>
                <c:pt idx="460">
                  <c:v>16.911099999999948</c:v>
                </c:pt>
                <c:pt idx="461">
                  <c:v>16.911199999999948</c:v>
                </c:pt>
                <c:pt idx="462">
                  <c:v>16.911299999999947</c:v>
                </c:pt>
                <c:pt idx="463">
                  <c:v>16.911399999999947</c:v>
                </c:pt>
                <c:pt idx="464">
                  <c:v>16.911499999999947</c:v>
                </c:pt>
                <c:pt idx="465">
                  <c:v>16.911599999999947</c:v>
                </c:pt>
                <c:pt idx="466">
                  <c:v>16.911699999999946</c:v>
                </c:pt>
                <c:pt idx="467">
                  <c:v>16.911799999999946</c:v>
                </c:pt>
                <c:pt idx="468">
                  <c:v>16.911899999999946</c:v>
                </c:pt>
                <c:pt idx="469">
                  <c:v>16.911999999999946</c:v>
                </c:pt>
                <c:pt idx="470">
                  <c:v>16.912099999999946</c:v>
                </c:pt>
                <c:pt idx="471">
                  <c:v>16.912199999999945</c:v>
                </c:pt>
                <c:pt idx="472">
                  <c:v>16.912299999999945</c:v>
                </c:pt>
                <c:pt idx="473">
                  <c:v>16.912399999999945</c:v>
                </c:pt>
                <c:pt idx="474">
                  <c:v>16.912499999999945</c:v>
                </c:pt>
                <c:pt idx="475">
                  <c:v>16.912599999999944</c:v>
                </c:pt>
                <c:pt idx="476">
                  <c:v>16.912699999999944</c:v>
                </c:pt>
                <c:pt idx="477">
                  <c:v>16.912799999999944</c:v>
                </c:pt>
                <c:pt idx="478">
                  <c:v>16.912899999999944</c:v>
                </c:pt>
                <c:pt idx="479">
                  <c:v>16.912999999999943</c:v>
                </c:pt>
                <c:pt idx="480">
                  <c:v>16.913099999999943</c:v>
                </c:pt>
                <c:pt idx="481">
                  <c:v>16.913199999999943</c:v>
                </c:pt>
                <c:pt idx="482">
                  <c:v>16.913299999999943</c:v>
                </c:pt>
                <c:pt idx="483">
                  <c:v>16.913399999999942</c:v>
                </c:pt>
                <c:pt idx="484">
                  <c:v>16.913499999999942</c:v>
                </c:pt>
                <c:pt idx="485">
                  <c:v>16.913599999999942</c:v>
                </c:pt>
                <c:pt idx="486">
                  <c:v>16.913699999999942</c:v>
                </c:pt>
                <c:pt idx="487">
                  <c:v>16.913799999999942</c:v>
                </c:pt>
                <c:pt idx="488">
                  <c:v>16.913899999999941</c:v>
                </c:pt>
                <c:pt idx="489">
                  <c:v>16.913999999999941</c:v>
                </c:pt>
                <c:pt idx="490">
                  <c:v>16.914099999999941</c:v>
                </c:pt>
                <c:pt idx="491">
                  <c:v>16.914199999999941</c:v>
                </c:pt>
                <c:pt idx="492">
                  <c:v>16.91429999999994</c:v>
                </c:pt>
                <c:pt idx="493">
                  <c:v>16.91439999999994</c:v>
                </c:pt>
                <c:pt idx="494">
                  <c:v>16.91449999999994</c:v>
                </c:pt>
                <c:pt idx="495">
                  <c:v>16.91459999999994</c:v>
                </c:pt>
                <c:pt idx="496">
                  <c:v>16.914699999999939</c:v>
                </c:pt>
                <c:pt idx="497">
                  <c:v>16.914799999999939</c:v>
                </c:pt>
                <c:pt idx="498">
                  <c:v>16.914899999999939</c:v>
                </c:pt>
                <c:pt idx="499">
                  <c:v>16.914999999999939</c:v>
                </c:pt>
                <c:pt idx="500">
                  <c:v>16.915099999999939</c:v>
                </c:pt>
                <c:pt idx="501">
                  <c:v>16.915199999999938</c:v>
                </c:pt>
                <c:pt idx="502">
                  <c:v>16.915299999999938</c:v>
                </c:pt>
                <c:pt idx="503">
                  <c:v>16.915399999999938</c:v>
                </c:pt>
                <c:pt idx="504">
                  <c:v>16.915499999999938</c:v>
                </c:pt>
                <c:pt idx="505">
                  <c:v>16.915599999999937</c:v>
                </c:pt>
                <c:pt idx="506">
                  <c:v>16.915699999999937</c:v>
                </c:pt>
                <c:pt idx="507">
                  <c:v>16.915799999999937</c:v>
                </c:pt>
                <c:pt idx="508">
                  <c:v>16.915899999999937</c:v>
                </c:pt>
                <c:pt idx="509">
                  <c:v>16.915999999999936</c:v>
                </c:pt>
                <c:pt idx="510">
                  <c:v>16.916099999999936</c:v>
                </c:pt>
                <c:pt idx="511">
                  <c:v>16.916199999999936</c:v>
                </c:pt>
                <c:pt idx="512">
                  <c:v>16.916299999999936</c:v>
                </c:pt>
                <c:pt idx="513">
                  <c:v>16.916399999999935</c:v>
                </c:pt>
                <c:pt idx="514">
                  <c:v>16.916499999999935</c:v>
                </c:pt>
                <c:pt idx="515">
                  <c:v>16.916599999999935</c:v>
                </c:pt>
                <c:pt idx="516">
                  <c:v>16.916699999999935</c:v>
                </c:pt>
                <c:pt idx="517">
                  <c:v>16.916799999999935</c:v>
                </c:pt>
                <c:pt idx="518">
                  <c:v>16.916899999999934</c:v>
                </c:pt>
                <c:pt idx="519">
                  <c:v>16.916999999999934</c:v>
                </c:pt>
                <c:pt idx="520">
                  <c:v>16.917099999999934</c:v>
                </c:pt>
                <c:pt idx="521">
                  <c:v>16.917199999999934</c:v>
                </c:pt>
                <c:pt idx="522">
                  <c:v>16.917299999999933</c:v>
                </c:pt>
                <c:pt idx="523">
                  <c:v>16.917399999999933</c:v>
                </c:pt>
                <c:pt idx="524">
                  <c:v>16.917499999999933</c:v>
                </c:pt>
                <c:pt idx="525">
                  <c:v>16.917599999999933</c:v>
                </c:pt>
                <c:pt idx="526">
                  <c:v>16.917699999999932</c:v>
                </c:pt>
                <c:pt idx="527">
                  <c:v>16.917799999999932</c:v>
                </c:pt>
                <c:pt idx="528">
                  <c:v>16.917899999999932</c:v>
                </c:pt>
                <c:pt idx="529">
                  <c:v>16.917999999999932</c:v>
                </c:pt>
                <c:pt idx="530">
                  <c:v>16.918099999999932</c:v>
                </c:pt>
                <c:pt idx="531">
                  <c:v>16.918199999999931</c:v>
                </c:pt>
                <c:pt idx="532">
                  <c:v>16.918299999999931</c:v>
                </c:pt>
                <c:pt idx="533">
                  <c:v>16.918399999999931</c:v>
                </c:pt>
                <c:pt idx="534">
                  <c:v>16.918499999999931</c:v>
                </c:pt>
                <c:pt idx="535">
                  <c:v>16.91859999999993</c:v>
                </c:pt>
                <c:pt idx="536">
                  <c:v>16.91869999999993</c:v>
                </c:pt>
                <c:pt idx="537">
                  <c:v>16.91879999999993</c:v>
                </c:pt>
                <c:pt idx="538">
                  <c:v>16.91889999999993</c:v>
                </c:pt>
                <c:pt idx="539">
                  <c:v>16.918999999999929</c:v>
                </c:pt>
                <c:pt idx="540">
                  <c:v>16.919099999999929</c:v>
                </c:pt>
                <c:pt idx="541">
                  <c:v>16.919199999999929</c:v>
                </c:pt>
                <c:pt idx="542">
                  <c:v>16.919299999999929</c:v>
                </c:pt>
                <c:pt idx="543">
                  <c:v>16.919399999999928</c:v>
                </c:pt>
                <c:pt idx="544">
                  <c:v>16.919499999999928</c:v>
                </c:pt>
                <c:pt idx="545">
                  <c:v>16.919599999999928</c:v>
                </c:pt>
                <c:pt idx="546">
                  <c:v>16.919699999999928</c:v>
                </c:pt>
                <c:pt idx="547">
                  <c:v>16.919799999999928</c:v>
                </c:pt>
                <c:pt idx="548">
                  <c:v>16.919899999999927</c:v>
                </c:pt>
                <c:pt idx="549">
                  <c:v>16.919999999999927</c:v>
                </c:pt>
                <c:pt idx="550">
                  <c:v>16.920099999999927</c:v>
                </c:pt>
                <c:pt idx="551">
                  <c:v>16.920199999999927</c:v>
                </c:pt>
                <c:pt idx="552">
                  <c:v>16.920299999999926</c:v>
                </c:pt>
                <c:pt idx="553">
                  <c:v>16.920399999999926</c:v>
                </c:pt>
                <c:pt idx="554">
                  <c:v>16.920499999999926</c:v>
                </c:pt>
                <c:pt idx="555">
                  <c:v>16.920599999999926</c:v>
                </c:pt>
                <c:pt idx="556">
                  <c:v>16.920699999999925</c:v>
                </c:pt>
                <c:pt idx="557">
                  <c:v>16.920799999999925</c:v>
                </c:pt>
                <c:pt idx="558">
                  <c:v>16.920899999999925</c:v>
                </c:pt>
                <c:pt idx="559">
                  <c:v>16.920999999999925</c:v>
                </c:pt>
                <c:pt idx="560">
                  <c:v>16.921099999999925</c:v>
                </c:pt>
                <c:pt idx="561">
                  <c:v>16.921199999999924</c:v>
                </c:pt>
                <c:pt idx="562">
                  <c:v>16.921299999999924</c:v>
                </c:pt>
                <c:pt idx="563">
                  <c:v>16.921399999999924</c:v>
                </c:pt>
                <c:pt idx="564">
                  <c:v>16.921499999999924</c:v>
                </c:pt>
                <c:pt idx="565">
                  <c:v>16.921599999999923</c:v>
                </c:pt>
                <c:pt idx="566">
                  <c:v>16.921699999999923</c:v>
                </c:pt>
                <c:pt idx="567">
                  <c:v>16.921799999999923</c:v>
                </c:pt>
                <c:pt idx="568">
                  <c:v>16.921899999999923</c:v>
                </c:pt>
                <c:pt idx="569">
                  <c:v>16.921999999999922</c:v>
                </c:pt>
                <c:pt idx="570">
                  <c:v>16.922099999999922</c:v>
                </c:pt>
                <c:pt idx="571">
                  <c:v>16.922199999999922</c:v>
                </c:pt>
                <c:pt idx="572">
                  <c:v>16.922299999999922</c:v>
                </c:pt>
                <c:pt idx="573">
                  <c:v>16.922399999999922</c:v>
                </c:pt>
                <c:pt idx="574">
                  <c:v>16.922499999999921</c:v>
                </c:pt>
                <c:pt idx="575">
                  <c:v>16.922599999999921</c:v>
                </c:pt>
                <c:pt idx="576">
                  <c:v>16.922699999999921</c:v>
                </c:pt>
                <c:pt idx="577">
                  <c:v>16.922799999999921</c:v>
                </c:pt>
                <c:pt idx="578">
                  <c:v>16.92289999999992</c:v>
                </c:pt>
                <c:pt idx="579">
                  <c:v>16.92299999999992</c:v>
                </c:pt>
                <c:pt idx="580">
                  <c:v>16.92309999999992</c:v>
                </c:pt>
                <c:pt idx="581">
                  <c:v>16.92319999999992</c:v>
                </c:pt>
                <c:pt idx="582">
                  <c:v>16.923299999999919</c:v>
                </c:pt>
                <c:pt idx="583">
                  <c:v>16.923399999999919</c:v>
                </c:pt>
                <c:pt idx="584">
                  <c:v>16.923499999999919</c:v>
                </c:pt>
                <c:pt idx="585">
                  <c:v>16.923599999999919</c:v>
                </c:pt>
                <c:pt idx="586">
                  <c:v>16.923699999999918</c:v>
                </c:pt>
                <c:pt idx="587">
                  <c:v>16.923799999999918</c:v>
                </c:pt>
                <c:pt idx="588">
                  <c:v>16.923899999999918</c:v>
                </c:pt>
                <c:pt idx="589">
                  <c:v>16.923999999999918</c:v>
                </c:pt>
                <c:pt idx="590">
                  <c:v>16.924099999999918</c:v>
                </c:pt>
                <c:pt idx="591">
                  <c:v>16.924199999999917</c:v>
                </c:pt>
                <c:pt idx="592">
                  <c:v>16.924299999999917</c:v>
                </c:pt>
                <c:pt idx="593">
                  <c:v>16.924399999999917</c:v>
                </c:pt>
                <c:pt idx="594">
                  <c:v>16.924499999999917</c:v>
                </c:pt>
                <c:pt idx="595">
                  <c:v>16.924599999999916</c:v>
                </c:pt>
                <c:pt idx="596">
                  <c:v>16.924699999999916</c:v>
                </c:pt>
                <c:pt idx="597">
                  <c:v>16.924799999999916</c:v>
                </c:pt>
                <c:pt idx="598">
                  <c:v>16.924899999999916</c:v>
                </c:pt>
                <c:pt idx="599">
                  <c:v>16.924999999999915</c:v>
                </c:pt>
                <c:pt idx="600">
                  <c:v>16.925099999999915</c:v>
                </c:pt>
                <c:pt idx="601">
                  <c:v>16.925199999999915</c:v>
                </c:pt>
                <c:pt idx="602">
                  <c:v>16.925299999999915</c:v>
                </c:pt>
                <c:pt idx="603">
                  <c:v>16.925399999999915</c:v>
                </c:pt>
                <c:pt idx="604">
                  <c:v>16.925499999999914</c:v>
                </c:pt>
                <c:pt idx="605">
                  <c:v>16.925599999999914</c:v>
                </c:pt>
                <c:pt idx="606">
                  <c:v>16.925699999999914</c:v>
                </c:pt>
                <c:pt idx="607">
                  <c:v>16.925799999999914</c:v>
                </c:pt>
                <c:pt idx="608">
                  <c:v>16.925899999999913</c:v>
                </c:pt>
                <c:pt idx="609">
                  <c:v>16.925999999999913</c:v>
                </c:pt>
                <c:pt idx="610">
                  <c:v>16.926099999999913</c:v>
                </c:pt>
                <c:pt idx="611">
                  <c:v>16.926199999999913</c:v>
                </c:pt>
                <c:pt idx="612">
                  <c:v>16.926299999999912</c:v>
                </c:pt>
                <c:pt idx="613">
                  <c:v>16.926399999999912</c:v>
                </c:pt>
                <c:pt idx="614">
                  <c:v>16.926499999999912</c:v>
                </c:pt>
                <c:pt idx="615">
                  <c:v>16.926599999999912</c:v>
                </c:pt>
                <c:pt idx="616">
                  <c:v>16.926699999999911</c:v>
                </c:pt>
                <c:pt idx="617">
                  <c:v>16.926799999999911</c:v>
                </c:pt>
                <c:pt idx="618">
                  <c:v>16.926899999999911</c:v>
                </c:pt>
                <c:pt idx="619">
                  <c:v>16.926999999999911</c:v>
                </c:pt>
                <c:pt idx="620">
                  <c:v>16.927099999999911</c:v>
                </c:pt>
                <c:pt idx="621">
                  <c:v>16.92719999999991</c:v>
                </c:pt>
                <c:pt idx="622">
                  <c:v>16.92729999999991</c:v>
                </c:pt>
                <c:pt idx="623">
                  <c:v>16.92739999999991</c:v>
                </c:pt>
                <c:pt idx="624">
                  <c:v>16.92749999999991</c:v>
                </c:pt>
                <c:pt idx="625">
                  <c:v>16.927599999999909</c:v>
                </c:pt>
                <c:pt idx="626">
                  <c:v>16.927699999999909</c:v>
                </c:pt>
                <c:pt idx="627">
                  <c:v>16.927799999999909</c:v>
                </c:pt>
                <c:pt idx="628">
                  <c:v>16.927899999999909</c:v>
                </c:pt>
                <c:pt idx="629">
                  <c:v>16.927999999999908</c:v>
                </c:pt>
                <c:pt idx="630">
                  <c:v>16.928099999999908</c:v>
                </c:pt>
                <c:pt idx="631">
                  <c:v>16.928199999999908</c:v>
                </c:pt>
                <c:pt idx="632">
                  <c:v>16.928299999999908</c:v>
                </c:pt>
                <c:pt idx="633">
                  <c:v>16.928399999999908</c:v>
                </c:pt>
                <c:pt idx="634">
                  <c:v>16.928499999999907</c:v>
                </c:pt>
                <c:pt idx="635">
                  <c:v>16.928599999999907</c:v>
                </c:pt>
                <c:pt idx="636">
                  <c:v>16.928699999999907</c:v>
                </c:pt>
                <c:pt idx="637">
                  <c:v>16.928799999999907</c:v>
                </c:pt>
                <c:pt idx="638">
                  <c:v>16.928899999999906</c:v>
                </c:pt>
                <c:pt idx="639">
                  <c:v>16.928999999999906</c:v>
                </c:pt>
                <c:pt idx="640">
                  <c:v>16.929099999999906</c:v>
                </c:pt>
                <c:pt idx="641">
                  <c:v>16.929199999999906</c:v>
                </c:pt>
                <c:pt idx="642">
                  <c:v>16.929299999999905</c:v>
                </c:pt>
                <c:pt idx="643">
                  <c:v>16.929399999999905</c:v>
                </c:pt>
                <c:pt idx="644">
                  <c:v>16.929499999999905</c:v>
                </c:pt>
                <c:pt idx="645">
                  <c:v>16.929599999999905</c:v>
                </c:pt>
                <c:pt idx="646">
                  <c:v>16.929699999999904</c:v>
                </c:pt>
                <c:pt idx="647">
                  <c:v>16.929799999999904</c:v>
                </c:pt>
                <c:pt idx="648">
                  <c:v>16.929899999999904</c:v>
                </c:pt>
                <c:pt idx="649">
                  <c:v>16.929999999999904</c:v>
                </c:pt>
                <c:pt idx="650">
                  <c:v>16.930099999999904</c:v>
                </c:pt>
                <c:pt idx="651">
                  <c:v>16.930199999999903</c:v>
                </c:pt>
                <c:pt idx="652">
                  <c:v>16.930299999999903</c:v>
                </c:pt>
                <c:pt idx="653">
                  <c:v>16.930399999999903</c:v>
                </c:pt>
                <c:pt idx="654">
                  <c:v>16.930499999999903</c:v>
                </c:pt>
                <c:pt idx="655">
                  <c:v>16.930599999999902</c:v>
                </c:pt>
                <c:pt idx="656">
                  <c:v>16.930699999999902</c:v>
                </c:pt>
                <c:pt idx="657">
                  <c:v>16.930799999999902</c:v>
                </c:pt>
                <c:pt idx="658">
                  <c:v>16.930899999999902</c:v>
                </c:pt>
                <c:pt idx="659">
                  <c:v>16.930999999999901</c:v>
                </c:pt>
                <c:pt idx="660">
                  <c:v>16.931099999999901</c:v>
                </c:pt>
                <c:pt idx="661">
                  <c:v>16.931199999999901</c:v>
                </c:pt>
                <c:pt idx="662">
                  <c:v>16.931299999999901</c:v>
                </c:pt>
                <c:pt idx="663">
                  <c:v>16.931399999999901</c:v>
                </c:pt>
                <c:pt idx="664">
                  <c:v>16.9314999999999</c:v>
                </c:pt>
                <c:pt idx="665">
                  <c:v>16.9315999999999</c:v>
                </c:pt>
                <c:pt idx="666">
                  <c:v>16.9316999999999</c:v>
                </c:pt>
                <c:pt idx="667">
                  <c:v>16.9317999999999</c:v>
                </c:pt>
                <c:pt idx="668">
                  <c:v>16.931899999999899</c:v>
                </c:pt>
                <c:pt idx="669">
                  <c:v>16.931999999999899</c:v>
                </c:pt>
                <c:pt idx="670">
                  <c:v>16.932099999999899</c:v>
                </c:pt>
                <c:pt idx="671">
                  <c:v>16.932199999999899</c:v>
                </c:pt>
                <c:pt idx="672">
                  <c:v>16.932299999999898</c:v>
                </c:pt>
                <c:pt idx="673">
                  <c:v>16.932399999999898</c:v>
                </c:pt>
                <c:pt idx="674">
                  <c:v>16.932499999999898</c:v>
                </c:pt>
                <c:pt idx="675">
                  <c:v>16.932599999999898</c:v>
                </c:pt>
                <c:pt idx="676">
                  <c:v>16.932699999999897</c:v>
                </c:pt>
                <c:pt idx="677">
                  <c:v>16.932799999999897</c:v>
                </c:pt>
                <c:pt idx="678">
                  <c:v>16.932899999999897</c:v>
                </c:pt>
                <c:pt idx="679">
                  <c:v>16.932999999999897</c:v>
                </c:pt>
                <c:pt idx="680">
                  <c:v>16.933099999999897</c:v>
                </c:pt>
                <c:pt idx="681">
                  <c:v>16.933199999999896</c:v>
                </c:pt>
                <c:pt idx="682">
                  <c:v>16.933299999999896</c:v>
                </c:pt>
                <c:pt idx="683">
                  <c:v>16.933399999999896</c:v>
                </c:pt>
                <c:pt idx="684">
                  <c:v>16.933499999999896</c:v>
                </c:pt>
                <c:pt idx="685">
                  <c:v>16.933599999999895</c:v>
                </c:pt>
                <c:pt idx="686">
                  <c:v>16.933699999999895</c:v>
                </c:pt>
                <c:pt idx="687">
                  <c:v>16.933799999999895</c:v>
                </c:pt>
                <c:pt idx="688">
                  <c:v>16.933899999999895</c:v>
                </c:pt>
                <c:pt idx="689">
                  <c:v>16.933999999999894</c:v>
                </c:pt>
                <c:pt idx="690">
                  <c:v>16.934099999999894</c:v>
                </c:pt>
                <c:pt idx="691">
                  <c:v>16.934199999999894</c:v>
                </c:pt>
                <c:pt idx="692">
                  <c:v>16.934299999999894</c:v>
                </c:pt>
                <c:pt idx="693">
                  <c:v>16.934399999999894</c:v>
                </c:pt>
                <c:pt idx="694">
                  <c:v>16.934499999999893</c:v>
                </c:pt>
                <c:pt idx="695">
                  <c:v>16.934599999999893</c:v>
                </c:pt>
                <c:pt idx="696">
                  <c:v>16.934699999999893</c:v>
                </c:pt>
                <c:pt idx="697">
                  <c:v>16.934799999999893</c:v>
                </c:pt>
                <c:pt idx="698">
                  <c:v>16.934899999999892</c:v>
                </c:pt>
                <c:pt idx="699">
                  <c:v>16.934999999999892</c:v>
                </c:pt>
                <c:pt idx="700">
                  <c:v>16.935099999999892</c:v>
                </c:pt>
                <c:pt idx="701">
                  <c:v>16.935199999999892</c:v>
                </c:pt>
                <c:pt idx="702">
                  <c:v>16.935299999999891</c:v>
                </c:pt>
                <c:pt idx="703">
                  <c:v>16.935399999999891</c:v>
                </c:pt>
                <c:pt idx="704">
                  <c:v>16.935499999999891</c:v>
                </c:pt>
                <c:pt idx="705">
                  <c:v>16.935599999999891</c:v>
                </c:pt>
                <c:pt idx="706">
                  <c:v>16.935699999999891</c:v>
                </c:pt>
                <c:pt idx="707">
                  <c:v>16.93579999999989</c:v>
                </c:pt>
                <c:pt idx="708">
                  <c:v>16.93589999999989</c:v>
                </c:pt>
                <c:pt idx="709">
                  <c:v>16.93599999999989</c:v>
                </c:pt>
                <c:pt idx="710">
                  <c:v>16.93609999999989</c:v>
                </c:pt>
                <c:pt idx="711">
                  <c:v>16.936199999999889</c:v>
                </c:pt>
                <c:pt idx="712">
                  <c:v>16.936299999999889</c:v>
                </c:pt>
                <c:pt idx="713">
                  <c:v>16.936399999999889</c:v>
                </c:pt>
                <c:pt idx="714">
                  <c:v>16.936499999999889</c:v>
                </c:pt>
                <c:pt idx="715">
                  <c:v>16.936599999999888</c:v>
                </c:pt>
                <c:pt idx="716">
                  <c:v>16.936699999999888</c:v>
                </c:pt>
                <c:pt idx="717">
                  <c:v>16.936799999999888</c:v>
                </c:pt>
                <c:pt idx="718">
                  <c:v>16.936899999999888</c:v>
                </c:pt>
                <c:pt idx="719">
                  <c:v>16.936999999999887</c:v>
                </c:pt>
                <c:pt idx="720">
                  <c:v>16.937099999999887</c:v>
                </c:pt>
                <c:pt idx="721">
                  <c:v>16.937199999999887</c:v>
                </c:pt>
                <c:pt idx="722">
                  <c:v>16.937299999999887</c:v>
                </c:pt>
                <c:pt idx="723">
                  <c:v>16.937399999999887</c:v>
                </c:pt>
                <c:pt idx="724">
                  <c:v>16.937499999999886</c:v>
                </c:pt>
                <c:pt idx="725">
                  <c:v>16.937599999999886</c:v>
                </c:pt>
                <c:pt idx="726">
                  <c:v>16.937699999999886</c:v>
                </c:pt>
                <c:pt idx="727">
                  <c:v>16.937799999999886</c:v>
                </c:pt>
                <c:pt idx="728">
                  <c:v>16.937899999999885</c:v>
                </c:pt>
                <c:pt idx="729">
                  <c:v>16.937999999999885</c:v>
                </c:pt>
                <c:pt idx="730">
                  <c:v>16.938099999999885</c:v>
                </c:pt>
                <c:pt idx="731">
                  <c:v>16.938199999999885</c:v>
                </c:pt>
                <c:pt idx="732">
                  <c:v>16.938299999999884</c:v>
                </c:pt>
                <c:pt idx="733">
                  <c:v>16.938399999999884</c:v>
                </c:pt>
                <c:pt idx="734">
                  <c:v>16.938499999999884</c:v>
                </c:pt>
                <c:pt idx="735">
                  <c:v>16.938599999999884</c:v>
                </c:pt>
                <c:pt idx="736">
                  <c:v>16.938699999999884</c:v>
                </c:pt>
                <c:pt idx="737">
                  <c:v>16.938799999999883</c:v>
                </c:pt>
                <c:pt idx="738">
                  <c:v>16.938899999999883</c:v>
                </c:pt>
                <c:pt idx="739">
                  <c:v>16.938999999999883</c:v>
                </c:pt>
                <c:pt idx="740">
                  <c:v>16.939099999999883</c:v>
                </c:pt>
                <c:pt idx="741">
                  <c:v>16.939199999999882</c:v>
                </c:pt>
                <c:pt idx="742">
                  <c:v>16.939299999999882</c:v>
                </c:pt>
                <c:pt idx="743">
                  <c:v>16.939399999999882</c:v>
                </c:pt>
                <c:pt idx="744">
                  <c:v>16.939499999999882</c:v>
                </c:pt>
                <c:pt idx="745">
                  <c:v>16.939599999999881</c:v>
                </c:pt>
                <c:pt idx="746">
                  <c:v>16.939699999999881</c:v>
                </c:pt>
                <c:pt idx="747">
                  <c:v>16.939799999999881</c:v>
                </c:pt>
                <c:pt idx="748">
                  <c:v>16.939899999999881</c:v>
                </c:pt>
                <c:pt idx="749">
                  <c:v>16.93999999999988</c:v>
                </c:pt>
                <c:pt idx="750">
                  <c:v>16.94009999999988</c:v>
                </c:pt>
                <c:pt idx="751">
                  <c:v>16.94019999999988</c:v>
                </c:pt>
                <c:pt idx="752">
                  <c:v>16.94029999999988</c:v>
                </c:pt>
                <c:pt idx="753">
                  <c:v>16.94039999999988</c:v>
                </c:pt>
                <c:pt idx="754">
                  <c:v>16.940499999999879</c:v>
                </c:pt>
                <c:pt idx="755">
                  <c:v>16.940599999999879</c:v>
                </c:pt>
                <c:pt idx="756">
                  <c:v>16.940699999999879</c:v>
                </c:pt>
                <c:pt idx="757">
                  <c:v>16.940799999999879</c:v>
                </c:pt>
                <c:pt idx="758">
                  <c:v>16.940899999999878</c:v>
                </c:pt>
                <c:pt idx="759">
                  <c:v>16.940999999999878</c:v>
                </c:pt>
                <c:pt idx="760">
                  <c:v>16.941099999999878</c:v>
                </c:pt>
                <c:pt idx="761">
                  <c:v>16.941199999999878</c:v>
                </c:pt>
                <c:pt idx="762">
                  <c:v>16.941299999999877</c:v>
                </c:pt>
                <c:pt idx="763">
                  <c:v>16.941399999999877</c:v>
                </c:pt>
                <c:pt idx="764">
                  <c:v>16.941499999999877</c:v>
                </c:pt>
                <c:pt idx="765">
                  <c:v>16.941599999999877</c:v>
                </c:pt>
                <c:pt idx="766">
                  <c:v>16.941699999999877</c:v>
                </c:pt>
                <c:pt idx="767">
                  <c:v>16.941799999999876</c:v>
                </c:pt>
                <c:pt idx="768">
                  <c:v>16.941899999999876</c:v>
                </c:pt>
                <c:pt idx="769">
                  <c:v>16.941999999999876</c:v>
                </c:pt>
                <c:pt idx="770">
                  <c:v>16.942099999999876</c:v>
                </c:pt>
                <c:pt idx="771">
                  <c:v>16.942199999999875</c:v>
                </c:pt>
                <c:pt idx="772">
                  <c:v>16.942299999999875</c:v>
                </c:pt>
                <c:pt idx="773">
                  <c:v>16.942399999999875</c:v>
                </c:pt>
                <c:pt idx="774">
                  <c:v>16.942499999999875</c:v>
                </c:pt>
                <c:pt idx="775">
                  <c:v>16.942599999999874</c:v>
                </c:pt>
                <c:pt idx="776">
                  <c:v>16.942699999999874</c:v>
                </c:pt>
                <c:pt idx="777">
                  <c:v>16.942799999999874</c:v>
                </c:pt>
                <c:pt idx="778">
                  <c:v>16.942899999999874</c:v>
                </c:pt>
                <c:pt idx="779">
                  <c:v>16.942999999999873</c:v>
                </c:pt>
                <c:pt idx="780">
                  <c:v>16.943099999999873</c:v>
                </c:pt>
                <c:pt idx="781">
                  <c:v>16.943199999999873</c:v>
                </c:pt>
                <c:pt idx="782">
                  <c:v>16.943299999999873</c:v>
                </c:pt>
                <c:pt idx="783">
                  <c:v>16.943399999999873</c:v>
                </c:pt>
                <c:pt idx="784">
                  <c:v>16.943499999999872</c:v>
                </c:pt>
                <c:pt idx="785">
                  <c:v>16.943599999999872</c:v>
                </c:pt>
                <c:pt idx="786">
                  <c:v>16.943699999999872</c:v>
                </c:pt>
                <c:pt idx="787">
                  <c:v>16.943799999999872</c:v>
                </c:pt>
                <c:pt idx="788">
                  <c:v>16.943899999999871</c:v>
                </c:pt>
                <c:pt idx="789">
                  <c:v>16.943999999999871</c:v>
                </c:pt>
                <c:pt idx="790">
                  <c:v>16.944099999999871</c:v>
                </c:pt>
                <c:pt idx="791">
                  <c:v>16.944199999999871</c:v>
                </c:pt>
                <c:pt idx="792">
                  <c:v>16.94429999999987</c:v>
                </c:pt>
                <c:pt idx="793">
                  <c:v>16.94439999999987</c:v>
                </c:pt>
                <c:pt idx="794">
                  <c:v>16.94449999999987</c:v>
                </c:pt>
                <c:pt idx="795">
                  <c:v>16.94459999999987</c:v>
                </c:pt>
                <c:pt idx="796">
                  <c:v>16.94469999999987</c:v>
                </c:pt>
                <c:pt idx="797">
                  <c:v>16.944799999999869</c:v>
                </c:pt>
                <c:pt idx="798">
                  <c:v>16.944899999999869</c:v>
                </c:pt>
                <c:pt idx="799">
                  <c:v>16.944999999999869</c:v>
                </c:pt>
                <c:pt idx="800">
                  <c:v>16.945099999999869</c:v>
                </c:pt>
                <c:pt idx="801">
                  <c:v>16.945199999999868</c:v>
                </c:pt>
                <c:pt idx="802">
                  <c:v>16.945299999999868</c:v>
                </c:pt>
                <c:pt idx="803">
                  <c:v>16.945399999999868</c:v>
                </c:pt>
                <c:pt idx="804">
                  <c:v>16.945499999999868</c:v>
                </c:pt>
                <c:pt idx="805">
                  <c:v>16.945599999999867</c:v>
                </c:pt>
                <c:pt idx="806">
                  <c:v>16.945699999999867</c:v>
                </c:pt>
                <c:pt idx="807">
                  <c:v>16.945799999999867</c:v>
                </c:pt>
                <c:pt idx="808">
                  <c:v>16.945899999999867</c:v>
                </c:pt>
                <c:pt idx="809">
                  <c:v>16.945999999999867</c:v>
                </c:pt>
                <c:pt idx="810">
                  <c:v>16.946099999999866</c:v>
                </c:pt>
                <c:pt idx="811">
                  <c:v>16.946199999999866</c:v>
                </c:pt>
                <c:pt idx="812">
                  <c:v>16.946299999999866</c:v>
                </c:pt>
                <c:pt idx="813">
                  <c:v>16.946399999999866</c:v>
                </c:pt>
                <c:pt idx="814">
                  <c:v>16.946499999999865</c:v>
                </c:pt>
                <c:pt idx="815">
                  <c:v>16.946599999999865</c:v>
                </c:pt>
                <c:pt idx="816">
                  <c:v>16.946699999999865</c:v>
                </c:pt>
                <c:pt idx="817">
                  <c:v>16.946799999999865</c:v>
                </c:pt>
                <c:pt idx="818">
                  <c:v>16.946899999999864</c:v>
                </c:pt>
                <c:pt idx="819">
                  <c:v>16.946999999999864</c:v>
                </c:pt>
                <c:pt idx="820">
                  <c:v>16.947099999999864</c:v>
                </c:pt>
                <c:pt idx="821">
                  <c:v>16.947199999999864</c:v>
                </c:pt>
                <c:pt idx="822">
                  <c:v>16.947299999999863</c:v>
                </c:pt>
                <c:pt idx="823">
                  <c:v>16.947399999999863</c:v>
                </c:pt>
                <c:pt idx="824">
                  <c:v>16.947499999999863</c:v>
                </c:pt>
                <c:pt idx="825">
                  <c:v>16.947599999999863</c:v>
                </c:pt>
                <c:pt idx="826">
                  <c:v>16.947699999999863</c:v>
                </c:pt>
                <c:pt idx="827">
                  <c:v>16.947799999999862</c:v>
                </c:pt>
                <c:pt idx="828">
                  <c:v>16.947899999999862</c:v>
                </c:pt>
                <c:pt idx="829">
                  <c:v>16.947999999999862</c:v>
                </c:pt>
                <c:pt idx="830">
                  <c:v>16.948099999999862</c:v>
                </c:pt>
                <c:pt idx="831">
                  <c:v>16.948199999999861</c:v>
                </c:pt>
                <c:pt idx="832">
                  <c:v>16.948299999999861</c:v>
                </c:pt>
                <c:pt idx="833">
                  <c:v>16.948399999999861</c:v>
                </c:pt>
                <c:pt idx="834">
                  <c:v>16.948499999999861</c:v>
                </c:pt>
                <c:pt idx="835">
                  <c:v>16.94859999999986</c:v>
                </c:pt>
                <c:pt idx="836">
                  <c:v>16.94869999999986</c:v>
                </c:pt>
                <c:pt idx="837">
                  <c:v>16.94879999999986</c:v>
                </c:pt>
                <c:pt idx="838">
                  <c:v>16.94889999999986</c:v>
                </c:pt>
                <c:pt idx="839">
                  <c:v>16.94899999999986</c:v>
                </c:pt>
                <c:pt idx="840">
                  <c:v>16.949099999999859</c:v>
                </c:pt>
                <c:pt idx="841">
                  <c:v>16.949199999999859</c:v>
                </c:pt>
                <c:pt idx="842">
                  <c:v>16.949299999999859</c:v>
                </c:pt>
                <c:pt idx="843">
                  <c:v>16.949399999999859</c:v>
                </c:pt>
                <c:pt idx="844">
                  <c:v>16.949499999999858</c:v>
                </c:pt>
                <c:pt idx="845">
                  <c:v>16.949599999999858</c:v>
                </c:pt>
                <c:pt idx="846">
                  <c:v>16.949699999999858</c:v>
                </c:pt>
                <c:pt idx="847">
                  <c:v>16.949799999999858</c:v>
                </c:pt>
                <c:pt idx="848">
                  <c:v>16.949899999999857</c:v>
                </c:pt>
                <c:pt idx="849">
                  <c:v>16.949999999999857</c:v>
                </c:pt>
                <c:pt idx="850">
                  <c:v>16.950099999999857</c:v>
                </c:pt>
                <c:pt idx="851">
                  <c:v>16.950199999999857</c:v>
                </c:pt>
                <c:pt idx="852">
                  <c:v>16.950299999999856</c:v>
                </c:pt>
                <c:pt idx="853">
                  <c:v>16.950399999999856</c:v>
                </c:pt>
                <c:pt idx="854">
                  <c:v>16.950499999999856</c:v>
                </c:pt>
                <c:pt idx="855">
                  <c:v>16.950599999999856</c:v>
                </c:pt>
                <c:pt idx="856">
                  <c:v>16.950699999999856</c:v>
                </c:pt>
                <c:pt idx="857">
                  <c:v>16.950799999999855</c:v>
                </c:pt>
                <c:pt idx="858">
                  <c:v>16.950899999999855</c:v>
                </c:pt>
                <c:pt idx="859">
                  <c:v>16.950999999999855</c:v>
                </c:pt>
                <c:pt idx="860">
                  <c:v>16.951099999999855</c:v>
                </c:pt>
                <c:pt idx="861">
                  <c:v>16.951199999999854</c:v>
                </c:pt>
                <c:pt idx="862">
                  <c:v>16.951299999999854</c:v>
                </c:pt>
                <c:pt idx="863">
                  <c:v>16.951399999999854</c:v>
                </c:pt>
                <c:pt idx="864">
                  <c:v>16.951499999999854</c:v>
                </c:pt>
                <c:pt idx="865">
                  <c:v>16.951599999999853</c:v>
                </c:pt>
                <c:pt idx="866">
                  <c:v>16.951699999999853</c:v>
                </c:pt>
                <c:pt idx="867">
                  <c:v>16.951799999999853</c:v>
                </c:pt>
                <c:pt idx="868">
                  <c:v>16.951899999999853</c:v>
                </c:pt>
                <c:pt idx="869">
                  <c:v>16.951999999999853</c:v>
                </c:pt>
                <c:pt idx="870">
                  <c:v>16.952099999999852</c:v>
                </c:pt>
                <c:pt idx="871">
                  <c:v>16.952199999999852</c:v>
                </c:pt>
                <c:pt idx="872">
                  <c:v>16.952299999999852</c:v>
                </c:pt>
                <c:pt idx="873">
                  <c:v>16.952399999999852</c:v>
                </c:pt>
                <c:pt idx="874">
                  <c:v>16.952499999999851</c:v>
                </c:pt>
                <c:pt idx="875">
                  <c:v>16.952599999999851</c:v>
                </c:pt>
                <c:pt idx="876">
                  <c:v>16.952699999999851</c:v>
                </c:pt>
                <c:pt idx="877">
                  <c:v>16.952799999999851</c:v>
                </c:pt>
                <c:pt idx="878">
                  <c:v>16.95289999999985</c:v>
                </c:pt>
                <c:pt idx="879">
                  <c:v>16.95299999999985</c:v>
                </c:pt>
                <c:pt idx="880">
                  <c:v>16.95309999999985</c:v>
                </c:pt>
                <c:pt idx="881">
                  <c:v>16.95319999999985</c:v>
                </c:pt>
                <c:pt idx="882">
                  <c:v>16.953299999999849</c:v>
                </c:pt>
                <c:pt idx="883">
                  <c:v>16.953399999999849</c:v>
                </c:pt>
                <c:pt idx="884">
                  <c:v>16.953499999999849</c:v>
                </c:pt>
                <c:pt idx="885">
                  <c:v>16.953599999999849</c:v>
                </c:pt>
                <c:pt idx="886">
                  <c:v>16.953699999999849</c:v>
                </c:pt>
                <c:pt idx="887">
                  <c:v>16.953799999999848</c:v>
                </c:pt>
                <c:pt idx="888">
                  <c:v>16.953899999999848</c:v>
                </c:pt>
                <c:pt idx="889">
                  <c:v>16.953999999999848</c:v>
                </c:pt>
                <c:pt idx="890">
                  <c:v>16.954099999999848</c:v>
                </c:pt>
                <c:pt idx="891">
                  <c:v>16.954199999999847</c:v>
                </c:pt>
                <c:pt idx="892">
                  <c:v>16.954299999999847</c:v>
                </c:pt>
                <c:pt idx="893">
                  <c:v>16.954399999999847</c:v>
                </c:pt>
                <c:pt idx="894">
                  <c:v>16.954499999999847</c:v>
                </c:pt>
                <c:pt idx="895">
                  <c:v>16.954599999999846</c:v>
                </c:pt>
                <c:pt idx="896">
                  <c:v>16.954699999999846</c:v>
                </c:pt>
                <c:pt idx="897">
                  <c:v>16.954799999999846</c:v>
                </c:pt>
                <c:pt idx="898">
                  <c:v>16.954899999999846</c:v>
                </c:pt>
                <c:pt idx="899">
                  <c:v>16.954999999999846</c:v>
                </c:pt>
                <c:pt idx="900">
                  <c:v>16.955099999999845</c:v>
                </c:pt>
                <c:pt idx="901">
                  <c:v>16.955199999999845</c:v>
                </c:pt>
                <c:pt idx="902">
                  <c:v>16.955299999999845</c:v>
                </c:pt>
                <c:pt idx="903">
                  <c:v>16.955399999999845</c:v>
                </c:pt>
                <c:pt idx="904">
                  <c:v>16.955499999999844</c:v>
                </c:pt>
                <c:pt idx="905">
                  <c:v>16.955599999999844</c:v>
                </c:pt>
                <c:pt idx="906">
                  <c:v>16.955699999999844</c:v>
                </c:pt>
                <c:pt idx="907">
                  <c:v>16.955799999999844</c:v>
                </c:pt>
                <c:pt idx="908">
                  <c:v>16.955899999999843</c:v>
                </c:pt>
                <c:pt idx="909">
                  <c:v>16.955999999999843</c:v>
                </c:pt>
                <c:pt idx="910">
                  <c:v>16.956099999999843</c:v>
                </c:pt>
                <c:pt idx="911">
                  <c:v>16.956199999999843</c:v>
                </c:pt>
                <c:pt idx="912">
                  <c:v>16.956299999999842</c:v>
                </c:pt>
                <c:pt idx="913">
                  <c:v>16.956399999999842</c:v>
                </c:pt>
                <c:pt idx="914">
                  <c:v>16.956499999999842</c:v>
                </c:pt>
                <c:pt idx="915">
                  <c:v>16.956599999999842</c:v>
                </c:pt>
                <c:pt idx="916">
                  <c:v>16.956699999999842</c:v>
                </c:pt>
                <c:pt idx="917">
                  <c:v>16.956799999999841</c:v>
                </c:pt>
                <c:pt idx="918">
                  <c:v>16.956899999999841</c:v>
                </c:pt>
                <c:pt idx="919">
                  <c:v>16.956999999999841</c:v>
                </c:pt>
                <c:pt idx="920">
                  <c:v>16.957099999999841</c:v>
                </c:pt>
                <c:pt idx="921">
                  <c:v>16.95719999999984</c:v>
                </c:pt>
                <c:pt idx="922">
                  <c:v>16.95729999999984</c:v>
                </c:pt>
                <c:pt idx="923">
                  <c:v>16.95739999999984</c:v>
                </c:pt>
                <c:pt idx="924">
                  <c:v>16.95749999999984</c:v>
                </c:pt>
                <c:pt idx="925">
                  <c:v>16.957599999999839</c:v>
                </c:pt>
                <c:pt idx="926">
                  <c:v>16.957699999999839</c:v>
                </c:pt>
                <c:pt idx="927">
                  <c:v>16.957799999999839</c:v>
                </c:pt>
                <c:pt idx="928">
                  <c:v>16.957899999999839</c:v>
                </c:pt>
                <c:pt idx="929">
                  <c:v>16.957999999999839</c:v>
                </c:pt>
                <c:pt idx="930">
                  <c:v>16.958099999999838</c:v>
                </c:pt>
                <c:pt idx="931">
                  <c:v>16.958199999999838</c:v>
                </c:pt>
                <c:pt idx="932">
                  <c:v>16.958299999999838</c:v>
                </c:pt>
                <c:pt idx="933">
                  <c:v>16.958399999999838</c:v>
                </c:pt>
                <c:pt idx="934">
                  <c:v>16.958499999999837</c:v>
                </c:pt>
                <c:pt idx="935">
                  <c:v>16.958599999999837</c:v>
                </c:pt>
                <c:pt idx="936">
                  <c:v>16.958699999999837</c:v>
                </c:pt>
                <c:pt idx="937">
                  <c:v>16.958799999999837</c:v>
                </c:pt>
                <c:pt idx="938">
                  <c:v>16.958899999999836</c:v>
                </c:pt>
                <c:pt idx="939">
                  <c:v>16.958999999999836</c:v>
                </c:pt>
                <c:pt idx="940">
                  <c:v>16.959099999999836</c:v>
                </c:pt>
                <c:pt idx="941">
                  <c:v>16.959199999999836</c:v>
                </c:pt>
                <c:pt idx="942">
                  <c:v>16.959299999999836</c:v>
                </c:pt>
                <c:pt idx="943">
                  <c:v>16.959399999999835</c:v>
                </c:pt>
                <c:pt idx="944">
                  <c:v>16.959499999999835</c:v>
                </c:pt>
                <c:pt idx="945">
                  <c:v>16.959599999999835</c:v>
                </c:pt>
                <c:pt idx="946">
                  <c:v>16.959699999999835</c:v>
                </c:pt>
                <c:pt idx="947">
                  <c:v>16.959799999999834</c:v>
                </c:pt>
                <c:pt idx="948">
                  <c:v>16.959899999999834</c:v>
                </c:pt>
                <c:pt idx="949">
                  <c:v>16.959999999999834</c:v>
                </c:pt>
                <c:pt idx="950">
                  <c:v>16.960099999999834</c:v>
                </c:pt>
                <c:pt idx="951">
                  <c:v>16.960199999999833</c:v>
                </c:pt>
                <c:pt idx="952">
                  <c:v>16.960299999999833</c:v>
                </c:pt>
                <c:pt idx="953">
                  <c:v>16.960399999999833</c:v>
                </c:pt>
                <c:pt idx="954">
                  <c:v>16.960499999999833</c:v>
                </c:pt>
                <c:pt idx="955">
                  <c:v>16.960599999999832</c:v>
                </c:pt>
                <c:pt idx="956">
                  <c:v>16.960699999999832</c:v>
                </c:pt>
                <c:pt idx="957">
                  <c:v>16.960799999999832</c:v>
                </c:pt>
                <c:pt idx="958">
                  <c:v>16.960899999999832</c:v>
                </c:pt>
                <c:pt idx="959">
                  <c:v>16.960999999999832</c:v>
                </c:pt>
                <c:pt idx="960">
                  <c:v>16.961099999999831</c:v>
                </c:pt>
                <c:pt idx="961">
                  <c:v>16.961199999999831</c:v>
                </c:pt>
                <c:pt idx="962">
                  <c:v>16.961299999999831</c:v>
                </c:pt>
                <c:pt idx="963">
                  <c:v>16.961399999999831</c:v>
                </c:pt>
                <c:pt idx="964">
                  <c:v>16.96149999999983</c:v>
                </c:pt>
                <c:pt idx="965">
                  <c:v>16.96159999999983</c:v>
                </c:pt>
                <c:pt idx="966">
                  <c:v>16.96169999999983</c:v>
                </c:pt>
                <c:pt idx="967">
                  <c:v>16.96179999999983</c:v>
                </c:pt>
                <c:pt idx="968">
                  <c:v>16.961899999999829</c:v>
                </c:pt>
                <c:pt idx="969">
                  <c:v>16.961999999999829</c:v>
                </c:pt>
                <c:pt idx="970">
                  <c:v>16.962099999999829</c:v>
                </c:pt>
                <c:pt idx="971">
                  <c:v>16.962199999999829</c:v>
                </c:pt>
                <c:pt idx="972">
                  <c:v>16.962299999999829</c:v>
                </c:pt>
                <c:pt idx="973">
                  <c:v>16.962399999999828</c:v>
                </c:pt>
                <c:pt idx="974">
                  <c:v>16.962499999999828</c:v>
                </c:pt>
                <c:pt idx="975">
                  <c:v>16.962599999999828</c:v>
                </c:pt>
                <c:pt idx="976">
                  <c:v>16.962699999999828</c:v>
                </c:pt>
                <c:pt idx="977">
                  <c:v>16.962799999999827</c:v>
                </c:pt>
                <c:pt idx="978">
                  <c:v>16.962899999999827</c:v>
                </c:pt>
                <c:pt idx="979">
                  <c:v>16.962999999999827</c:v>
                </c:pt>
                <c:pt idx="980">
                  <c:v>16.963099999999827</c:v>
                </c:pt>
                <c:pt idx="981">
                  <c:v>16.963199999999826</c:v>
                </c:pt>
                <c:pt idx="982">
                  <c:v>16.963299999999826</c:v>
                </c:pt>
                <c:pt idx="983">
                  <c:v>16.963399999999826</c:v>
                </c:pt>
                <c:pt idx="984">
                  <c:v>16.963499999999826</c:v>
                </c:pt>
                <c:pt idx="985">
                  <c:v>16.963599999999825</c:v>
                </c:pt>
                <c:pt idx="986">
                  <c:v>16.963699999999825</c:v>
                </c:pt>
                <c:pt idx="987">
                  <c:v>16.963799999999825</c:v>
                </c:pt>
                <c:pt idx="988">
                  <c:v>16.963899999999825</c:v>
                </c:pt>
                <c:pt idx="989">
                  <c:v>16.963999999999825</c:v>
                </c:pt>
                <c:pt idx="990">
                  <c:v>16.964099999999824</c:v>
                </c:pt>
                <c:pt idx="991">
                  <c:v>16.964199999999824</c:v>
                </c:pt>
                <c:pt idx="992">
                  <c:v>16.964299999999824</c:v>
                </c:pt>
                <c:pt idx="993">
                  <c:v>16.964399999999824</c:v>
                </c:pt>
                <c:pt idx="994">
                  <c:v>16.964499999999823</c:v>
                </c:pt>
                <c:pt idx="995">
                  <c:v>16.964599999999823</c:v>
                </c:pt>
                <c:pt idx="996">
                  <c:v>16.964699999999823</c:v>
                </c:pt>
                <c:pt idx="997">
                  <c:v>16.964799999999823</c:v>
                </c:pt>
                <c:pt idx="998">
                  <c:v>16.964899999999822</c:v>
                </c:pt>
                <c:pt idx="999">
                  <c:v>16.964999999999822</c:v>
                </c:pt>
                <c:pt idx="1000">
                  <c:v>16.965099999999822</c:v>
                </c:pt>
              </c:numCache>
            </c:numRef>
          </c:xVal>
          <c:yVal>
            <c:numRef>
              <c:f>Calculs!$K$4:$K$1004</c:f>
              <c:numCache>
                <c:formatCode>0.00</c:formatCode>
                <c:ptCount val="1001"/>
                <c:pt idx="0">
                  <c:v>0</c:v>
                </c:pt>
                <c:pt idx="1">
                  <c:v>1.072892741762712E-3</c:v>
                </c:pt>
                <c:pt idx="2">
                  <c:v>7.2351927811420786E-3</c:v>
                </c:pt>
                <c:pt idx="3">
                  <c:v>2.3530778934193496E-2</c:v>
                </c:pt>
                <c:pt idx="4">
                  <c:v>5.0766950166213465E-2</c:v>
                </c:pt>
                <c:pt idx="5">
                  <c:v>8.635542859419712E-2</c:v>
                </c:pt>
                <c:pt idx="6">
                  <c:v>0.12818107940988069</c:v>
                </c:pt>
                <c:pt idx="7">
                  <c:v>0.17535088098540064</c:v>
                </c:pt>
                <c:pt idx="8">
                  <c:v>0.22789845747226903</c:v>
                </c:pt>
                <c:pt idx="9">
                  <c:v>0.28603749780814081</c:v>
                </c:pt>
                <c:pt idx="10">
                  <c:v>0.34998174114909841</c:v>
                </c:pt>
                <c:pt idx="11">
                  <c:v>0.41987674107719297</c:v>
                </c:pt>
                <c:pt idx="12">
                  <c:v>0.49579979276688169</c:v>
                </c:pt>
                <c:pt idx="13">
                  <c:v>0.57782808871137048</c:v>
                </c:pt>
                <c:pt idx="14">
                  <c:v>0.66603871299013173</c:v>
                </c:pt>
                <c:pt idx="15">
                  <c:v>0.7605086354537719</c:v>
                </c:pt>
                <c:pt idx="16">
                  <c:v>0.86131470582715164</c:v>
                </c:pt>
                <c:pt idx="17">
                  <c:v>0.96853364773170481</c:v>
                </c:pt>
                <c:pt idx="18">
                  <c:v>1.0822420526279484</c:v>
                </c:pt>
                <c:pt idx="19">
                  <c:v>1.2025163736792197</c:v>
                </c:pt>
                <c:pt idx="20">
                  <c:v>1.3294329195377239</c:v>
                </c:pt>
                <c:pt idx="21">
                  <c:v>1.4630678480540187</c:v>
                </c:pt>
                <c:pt idx="22">
                  <c:v>1.6034889803670815</c:v>
                </c:pt>
                <c:pt idx="23">
                  <c:v>1.7507366943596958</c:v>
                </c:pt>
                <c:pt idx="24">
                  <c:v>1.9048320799354088</c:v>
                </c:pt>
                <c:pt idx="25">
                  <c:v>2.0657960170354097</c:v>
                </c:pt>
                <c:pt idx="26">
                  <c:v>2.2336491735297295</c:v>
                </c:pt>
                <c:pt idx="27">
                  <c:v>2.4084120031271685</c:v>
                </c:pt>
                <c:pt idx="28">
                  <c:v>2.5901047433045332</c:v>
                </c:pt>
                <c:pt idx="29">
                  <c:v>2.7787326159599739</c:v>
                </c:pt>
                <c:pt idx="30">
                  <c:v>2.9743000181727588</c:v>
                </c:pt>
                <c:pt idx="31">
                  <c:v>3.1768253225665628</c:v>
                </c:pt>
                <c:pt idx="32">
                  <c:v>3.3863266944319115</c:v>
                </c:pt>
                <c:pt idx="33">
                  <c:v>3.6028220959421331</c:v>
                </c:pt>
                <c:pt idx="34">
                  <c:v>3.8263292829822326</c:v>
                </c:pt>
                <c:pt idx="35">
                  <c:v>4.0568636750422051</c:v>
                </c:pt>
                <c:pt idx="36">
                  <c:v>4.2944192020993182</c:v>
                </c:pt>
                <c:pt idx="37">
                  <c:v>4.5389704290437773</c:v>
                </c:pt>
                <c:pt idx="38">
                  <c:v>4.7904917052703091</c:v>
                </c:pt>
                <c:pt idx="39">
                  <c:v>5.0489571659514167</c:v>
                </c:pt>
                <c:pt idx="40">
                  <c:v>5.3143407334395389</c:v>
                </c:pt>
                <c:pt idx="41">
                  <c:v>5.5866161187868544</c:v>
                </c:pt>
                <c:pt idx="42">
                  <c:v>5.8657568233728172</c:v>
                </c:pt>
                <c:pt idx="43">
                  <c:v>6.1517361406306446</c:v>
                </c:pt>
                <c:pt idx="44">
                  <c:v>6.4445271578649379</c:v>
                </c:pt>
                <c:pt idx="45">
                  <c:v>6.744102758153466</c:v>
                </c:pt>
                <c:pt idx="46">
                  <c:v>7.0504356223268356</c:v>
                </c:pt>
                <c:pt idx="47">
                  <c:v>7.363498231020392</c:v>
                </c:pt>
                <c:pt idx="48">
                  <c:v>7.6832628667932452</c:v>
                </c:pt>
                <c:pt idx="49">
                  <c:v>8.0097016163097514</c:v>
                </c:pt>
                <c:pt idx="50">
                  <c:v>8.3427863725792104</c:v>
                </c:pt>
                <c:pt idx="51">
                  <c:v>8.6824888372498776</c:v>
                </c:pt>
                <c:pt idx="52">
                  <c:v>9.0287805229537099</c:v>
                </c:pt>
                <c:pt idx="53">
                  <c:v>9.3816327556985435</c:v>
                </c:pt>
                <c:pt idx="54">
                  <c:v>9.7410166773046196</c:v>
                </c:pt>
                <c:pt idx="55">
                  <c:v>10.106903247882626</c:v>
                </c:pt>
                <c:pt idx="56">
                  <c:v>10.479263248350573</c:v>
                </c:pt>
                <c:pt idx="57">
                  <c:v>10.858067282987053</c:v>
                </c:pt>
                <c:pt idx="58">
                  <c:v>11.243285782018482</c:v>
                </c:pt>
                <c:pt idx="59">
                  <c:v>11.634889004238197</c:v>
                </c:pt>
                <c:pt idx="60">
                  <c:v>12.032847039655268</c:v>
                </c:pt>
                <c:pt idx="61">
                  <c:v>12.437129812171102</c:v>
                </c:pt>
                <c:pt idx="62">
                  <c:v>12.847707082281946</c:v>
                </c:pt>
                <c:pt idx="63">
                  <c:v>13.264548449805515</c:v>
                </c:pt>
                <c:pt idx="64">
                  <c:v>13.68762335663007</c:v>
                </c:pt>
                <c:pt idx="65">
                  <c:v>14.116901089484308</c:v>
                </c:pt>
                <c:pt idx="66">
                  <c:v>14.552350782726517</c:v>
                </c:pt>
                <c:pt idx="67">
                  <c:v>14.993941421151517</c:v>
                </c:pt>
                <c:pt idx="68">
                  <c:v>15.441641842813945</c:v>
                </c:pt>
                <c:pt idx="69">
                  <c:v>15.895420741866532</c:v>
                </c:pt>
                <c:pt idx="70">
                  <c:v>16.355246671412008</c:v>
                </c:pt>
                <c:pt idx="71">
                  <c:v>16.821088046367397</c:v>
                </c:pt>
                <c:pt idx="72">
                  <c:v>17.292913146339416</c:v>
                </c:pt>
                <c:pt idx="73">
                  <c:v>17.770690118509833</c:v>
                </c:pt>
                <c:pt idx="74">
                  <c:v>18.254386980529581</c:v>
                </c:pt>
                <c:pt idx="75">
                  <c:v>18.74397162342051</c:v>
                </c:pt>
                <c:pt idx="76">
                  <c:v>19.239411814483692</c:v>
                </c:pt>
                <c:pt idx="77">
                  <c:v>19.740675200213207</c:v>
                </c:pt>
                <c:pt idx="78">
                  <c:v>20.247729309214396</c:v>
                </c:pt>
                <c:pt idx="79">
                  <c:v>20.760541555125531</c:v>
                </c:pt>
                <c:pt idx="80">
                  <c:v>21.279079239541964</c:v>
                </c:pt>
                <c:pt idx="81">
                  <c:v>21.803309554941777</c:v>
                </c:pt>
                <c:pt idx="82">
                  <c:v>22.333199587612018</c:v>
                </c:pt>
                <c:pt idx="83">
                  <c:v>22.868716320574592</c:v>
                </c:pt>
                <c:pt idx="84">
                  <c:v>23.409826636510946</c:v>
                </c:pt>
                <c:pt idx="85">
                  <c:v>23.956497320684655</c:v>
                </c:pt>
                <c:pt idx="86">
                  <c:v>24.508695063861097</c:v>
                </c:pt>
                <c:pt idx="87">
                  <c:v>25.066386465223367</c:v>
                </c:pt>
                <c:pt idx="88">
                  <c:v>25.629538035283634</c:v>
                </c:pt>
                <c:pt idx="89">
                  <c:v>26.198116198789158</c:v>
                </c:pt>
                <c:pt idx="90">
                  <c:v>26.772087297622189</c:v>
                </c:pt>
                <c:pt idx="91">
                  <c:v>27.351417593693007</c:v>
                </c:pt>
                <c:pt idx="92">
                  <c:v>27.936073271825379</c:v>
                </c:pt>
                <c:pt idx="93">
                  <c:v>28.526020442633673</c:v>
                </c:pt>
                <c:pt idx="94">
                  <c:v>29.121225145391008</c:v>
                </c:pt>
                <c:pt idx="95">
                  <c:v>29.721653350887667</c:v>
                </c:pt>
                <c:pt idx="96">
                  <c:v>30.327270964279183</c:v>
                </c:pt>
                <c:pt idx="97">
                  <c:v>30.938043827923391</c:v>
                </c:pt>
                <c:pt idx="98">
                  <c:v>31.553937724205856</c:v>
                </c:pt>
                <c:pt idx="99">
                  <c:v>32.17491837835302</c:v>
                </c:pt>
                <c:pt idx="100">
                  <c:v>32.800951461232479</c:v>
                </c:pt>
                <c:pt idx="101">
                  <c:v>33.432002592139817</c:v>
                </c:pt>
                <c:pt idx="102">
                  <c:v>34.068037341571383</c:v>
                </c:pt>
                <c:pt idx="103">
                  <c:v>34.709021233982483</c:v>
                </c:pt>
                <c:pt idx="104">
                  <c:v>35.354919750530435</c:v>
                </c:pt>
                <c:pt idx="105">
                  <c:v>36.005698331801931</c:v>
                </c:pt>
                <c:pt idx="106">
                  <c:v>36.66132238052424</c:v>
                </c:pt>
                <c:pt idx="107">
                  <c:v>37.321757264259674</c:v>
                </c:pt>
                <c:pt idx="108">
                  <c:v>37.986968318082909</c:v>
                </c:pt>
                <c:pt idx="109">
                  <c:v>38.656920847240627</c:v>
                </c:pt>
                <c:pt idx="110">
                  <c:v>39.331580129793032</c:v>
                </c:pt>
                <c:pt idx="111">
                  <c:v>40.010911419236784</c:v>
                </c:pt>
                <c:pt idx="112">
                  <c:v>40.694879947108959</c:v>
                </c:pt>
                <c:pt idx="113">
                  <c:v>41.38345092557153</c:v>
                </c:pt>
                <c:pt idx="114">
                  <c:v>42.076589549976063</c:v>
                </c:pt>
                <c:pt idx="115">
                  <c:v>42.774261001408121</c:v>
                </c:pt>
                <c:pt idx="116">
                  <c:v>43.476430449211072</c:v>
                </c:pt>
                <c:pt idx="117">
                  <c:v>44.183063053488922</c:v>
                </c:pt>
                <c:pt idx="118">
                  <c:v>44.894123967587774</c:v>
                </c:pt>
                <c:pt idx="119">
                  <c:v>45.609578340555593</c:v>
                </c:pt>
                <c:pt idx="120">
                  <c:v>46.329391319579969</c:v>
                </c:pt>
                <c:pt idx="121">
                  <c:v>47.053528052403493</c:v>
                </c:pt>
                <c:pt idx="122">
                  <c:v>47.781953689716495</c:v>
                </c:pt>
                <c:pt idx="123">
                  <c:v>48.51463338752685</c:v>
                </c:pt>
                <c:pt idx="124">
                  <c:v>49.251532309506494</c:v>
                </c:pt>
                <c:pt idx="125">
                  <c:v>49.992615629314471</c:v>
                </c:pt>
                <c:pt idx="126">
                  <c:v>50.737848532896201</c:v>
                </c:pt>
                <c:pt idx="127">
                  <c:v>51.487196220758705</c:v>
                </c:pt>
                <c:pt idx="128">
                  <c:v>52.240623910221601</c:v>
                </c:pt>
                <c:pt idx="129">
                  <c:v>52.998096837643573</c:v>
                </c:pt>
                <c:pt idx="130">
                  <c:v>53.75958026062419</c:v>
                </c:pt>
                <c:pt idx="131">
                  <c:v>54.525039460180786</c:v>
                </c:pt>
                <c:pt idx="132">
                  <c:v>55.294439742900238</c:v>
                </c:pt>
                <c:pt idx="133">
                  <c:v>56.067746443065488</c:v>
                </c:pt>
                <c:pt idx="134">
                  <c:v>56.844924924756583</c:v>
                </c:pt>
                <c:pt idx="135">
                  <c:v>57.625940583926138</c:v>
                </c:pt>
                <c:pt idx="136">
                  <c:v>58.410758850449</c:v>
                </c:pt>
                <c:pt idx="137">
                  <c:v>59.199345190146033</c:v>
                </c:pt>
                <c:pt idx="138">
                  <c:v>59.991665106781845</c:v>
                </c:pt>
                <c:pt idx="139">
                  <c:v>60.78768414403639</c:v>
                </c:pt>
                <c:pt idx="140">
                  <c:v>61.587367887450284</c:v>
                </c:pt>
                <c:pt idx="141">
                  <c:v>62.390681966343777</c:v>
                </c:pt>
                <c:pt idx="142">
                  <c:v>63.197592055709251</c:v>
                </c:pt>
                <c:pt idx="143">
                  <c:v>64.008063878077195</c:v>
                </c:pt>
                <c:pt idx="144">
                  <c:v>64.822063205355548</c:v>
                </c:pt>
                <c:pt idx="145">
                  <c:v>65.639555860642417</c:v>
                </c:pt>
                <c:pt idx="146">
                  <c:v>66.46050772001206</c:v>
                </c:pt>
                <c:pt idx="147">
                  <c:v>67.284884714274057</c:v>
                </c:pt>
                <c:pt idx="148">
                  <c:v>68.112652830705727</c:v>
                </c:pt>
                <c:pt idx="149">
                  <c:v>68.943778114757677</c:v>
                </c:pt>
                <c:pt idx="150">
                  <c:v>69.778226671732568</c:v>
                </c:pt>
                <c:pt idx="151">
                  <c:v>70.615964668436916</c:v>
                </c:pt>
                <c:pt idx="152">
                  <c:v>71.456958334806131</c:v>
                </c:pt>
                <c:pt idx="153">
                  <c:v>72.301173965502642</c:v>
                </c:pt>
                <c:pt idx="154">
                  <c:v>73.148577921487203</c:v>
                </c:pt>
                <c:pt idx="155">
                  <c:v>73.999136631563331</c:v>
                </c:pt>
                <c:pt idx="156">
                  <c:v>74.852816593895056</c:v>
                </c:pt>
                <c:pt idx="157">
                  <c:v>75.709584377497791</c:v>
                </c:pt>
                <c:pt idx="158">
                  <c:v>76.56942584895377</c:v>
                </c:pt>
                <c:pt idx="159">
                  <c:v>77.432350912947911</c:v>
                </c:pt>
                <c:pt idx="160">
                  <c:v>78.298374201905489</c:v>
                </c:pt>
                <c:pt idx="161">
                  <c:v>79.167510250941604</c:v>
                </c:pt>
                <c:pt idx="162">
                  <c:v>80.039773497604742</c:v>
                </c:pt>
                <c:pt idx="163">
                  <c:v>80.915178281623454</c:v>
                </c:pt>
                <c:pt idx="164">
                  <c:v>81.793710585891262</c:v>
                </c:pt>
                <c:pt idx="165">
                  <c:v>82.675285738968839</c:v>
                </c:pt>
                <c:pt idx="166">
                  <c:v>83.559776934887225</c:v>
                </c:pt>
                <c:pt idx="167">
                  <c:v>84.447028980639615</c:v>
                </c:pt>
                <c:pt idx="168">
                  <c:v>85.336743127732262</c:v>
                </c:pt>
                <c:pt idx="169">
                  <c:v>86.228506457019563</c:v>
                </c:pt>
                <c:pt idx="170">
                  <c:v>87.121907639794912</c:v>
                </c:pt>
                <c:pt idx="171">
                  <c:v>88.016536973746426</c:v>
                </c:pt>
                <c:pt idx="172">
                  <c:v>88.911986415933924</c:v>
                </c:pt>
                <c:pt idx="173">
                  <c:v>89.807849612823077</c:v>
                </c:pt>
                <c:pt idx="174">
                  <c:v>90.703721927414378</c:v>
                </c:pt>
                <c:pt idx="175">
                  <c:v>91.599200463506833</c:v>
                </c:pt>
                <c:pt idx="176">
                  <c:v>92.493884087137914</c:v>
                </c:pt>
                <c:pt idx="177">
                  <c:v>93.387373445243014</c:v>
                </c:pt>
                <c:pt idx="178">
                  <c:v>94.279270981578861</c:v>
                </c:pt>
                <c:pt idx="179">
                  <c:v>95.169180949957124</c:v>
                </c:pt>
                <c:pt idx="180">
                  <c:v>96.056814500661389</c:v>
                </c:pt>
                <c:pt idx="181">
                  <c:v>96.941989187631137</c:v>
                </c:pt>
                <c:pt idx="182">
                  <c:v>97.824523393133248</c:v>
                </c:pt>
                <c:pt idx="183">
                  <c:v>98.704236323425704</c:v>
                </c:pt>
                <c:pt idx="184">
                  <c:v>99.581015459762511</c:v>
                </c:pt>
                <c:pt idx="185">
                  <c:v>100.45484513987745</c:v>
                </c:pt>
                <c:pt idx="186">
                  <c:v>101.32573864070235</c:v>
                </c:pt>
                <c:pt idx="187">
                  <c:v>102.19370913345134</c:v>
                </c:pt>
                <c:pt idx="188">
                  <c:v>103.05876968472141</c:v>
                </c:pt>
                <c:pt idx="189">
                  <c:v>103.92093325757882</c:v>
                </c:pt>
                <c:pt idx="190">
                  <c:v>104.78021271263111</c:v>
                </c:pt>
                <c:pt idx="191">
                  <c:v>105.63662080908526</c:v>
                </c:pt>
                <c:pt idx="192">
                  <c:v>106.49017020579207</c:v>
                </c:pt>
                <c:pt idx="193">
                  <c:v>107.34087346227705</c:v>
                </c:pt>
                <c:pt idx="194">
                  <c:v>108.18874303975794</c:v>
                </c:pt>
                <c:pt idx="195">
                  <c:v>109.03379130214917</c:v>
                </c:pt>
                <c:pt idx="196">
                  <c:v>109.87603051705337</c:v>
                </c:pt>
                <c:pt idx="197">
                  <c:v>110.71547285674016</c:v>
                </c:pt>
                <c:pt idx="198">
                  <c:v>111.55213039911251</c:v>
                </c:pt>
                <c:pt idx="199">
                  <c:v>112.38601512866065</c:v>
                </c:pt>
                <c:pt idx="200">
                  <c:v>113.21713893740392</c:v>
                </c:pt>
                <c:pt idx="201">
                  <c:v>121.37743989300272</c:v>
                </c:pt>
                <c:pt idx="202">
                  <c:v>129.26915840943906</c:v>
                </c:pt>
                <c:pt idx="203">
                  <c:v>136.90335100801678</c:v>
                </c:pt>
                <c:pt idx="204">
                  <c:v>144.29026049480095</c:v>
                </c:pt>
                <c:pt idx="205">
                  <c:v>151.43939243205682</c:v>
                </c:pt>
                <c:pt idx="206">
                  <c:v>158.35958270172321</c:v>
                </c:pt>
                <c:pt idx="207">
                  <c:v>165.05905738090735</c:v>
                </c:pt>
                <c:pt idx="208">
                  <c:v>171.54548595799542</c:v>
                </c:pt>
                <c:pt idx="209">
                  <c:v>177.82602876024026</c:v>
                </c:pt>
                <c:pt idx="210">
                  <c:v>183.90737933308407</c:v>
                </c:pt>
                <c:pt idx="211">
                  <c:v>189.79580240284557</c:v>
                </c:pt>
                <c:pt idx="212">
                  <c:v>195.49716796366587</c:v>
                </c:pt>
                <c:pt idx="213">
                  <c:v>201.01698195350619</c:v>
                </c:pt>
                <c:pt idx="214">
                  <c:v>206.36041391991728</c:v>
                </c:pt>
                <c:pt idx="215">
                  <c:v>211.53232202215091</c:v>
                </c:pt>
                <c:pt idx="216">
                  <c:v>216.53727567025916</c:v>
                </c:pt>
                <c:pt idx="217">
                  <c:v>221.37957606274551</c:v>
                </c:pt>
                <c:pt idx="218">
                  <c:v>226.06327485096458</c:v>
                </c:pt>
                <c:pt idx="219">
                  <c:v>230.59219112989055</c:v>
                </c:pt>
                <c:pt idx="220">
                  <c:v>234.96992693032703</c:v>
                </c:pt>
                <c:pt idx="221">
                  <c:v>239.19988136648496</c:v>
                </c:pt>
                <c:pt idx="222">
                  <c:v>243.28526357459015</c:v>
                </c:pt>
                <c:pt idx="223">
                  <c:v>247.22910456236411</c:v>
                </c:pt>
                <c:pt idx="224">
                  <c:v>251.03426807549025</c:v>
                </c:pt>
                <c:pt idx="225">
                  <c:v>254.70346057523042</c:v>
                </c:pt>
                <c:pt idx="226">
                  <c:v>258.23924041094114</c:v>
                </c:pt>
                <c:pt idx="227">
                  <c:v>261.64402626213899</c:v>
                </c:pt>
                <c:pt idx="228">
                  <c:v>264.92010491680662</c:v>
                </c:pt>
                <c:pt idx="229">
                  <c:v>268.06963844565797</c:v>
                </c:pt>
                <c:pt idx="230">
                  <c:v>271.09467082597052</c:v>
                </c:pt>
                <c:pt idx="231">
                  <c:v>273.99713406323673</c:v>
                </c:pt>
                <c:pt idx="232">
                  <c:v>276.77885385419501</c:v>
                </c:pt>
                <c:pt idx="233">
                  <c:v>279.4415548307017</c:v>
                </c:pt>
                <c:pt idx="234">
                  <c:v>281.98686542033994</c:v>
                </c:pt>
                <c:pt idx="235">
                  <c:v>284.41632235657846</c:v>
                </c:pt>
                <c:pt idx="236">
                  <c:v>286.73137486866523</c:v>
                </c:pt>
                <c:pt idx="237">
                  <c:v>288.93338857923601</c:v>
                </c:pt>
                <c:pt idx="238">
                  <c:v>291.02364913583546</c:v>
                </c:pt>
                <c:pt idx="239">
                  <c:v>293.00336560118114</c:v>
                </c:pt>
                <c:pt idx="240">
                  <c:v>294.87367362607557</c:v>
                </c:pt>
                <c:pt idx="241">
                  <c:v>296.63563842841364</c:v>
                </c:pt>
                <c:pt idx="242">
                  <c:v>298.29025760179991</c:v>
                </c:pt>
                <c:pt idx="243">
                  <c:v>299.83846377795135</c:v>
                </c:pt>
                <c:pt idx="244">
                  <c:v>301.28112716841173</c:v>
                </c:pt>
                <c:pt idx="245">
                  <c:v>302.61905801325429</c:v>
                </c:pt>
                <c:pt idx="246">
                  <c:v>303.85300896752813</c:v>
                </c:pt>
                <c:pt idx="247">
                  <c:v>304.98367746033074</c:v>
                </c:pt>
                <c:pt idx="248">
                  <c:v>306.01170806664669</c:v>
                </c:pt>
                <c:pt idx="249">
                  <c:v>306.93769493846571</c:v>
                </c:pt>
                <c:pt idx="250">
                  <c:v>307.76218434896589</c:v>
                </c:pt>
                <c:pt idx="251">
                  <c:v>308.48567741115079</c:v>
                </c:pt>
                <c:pt idx="252">
                  <c:v>309.10863303915647</c:v>
                </c:pt>
                <c:pt idx="253">
                  <c:v>309.6314712246342</c:v>
                </c:pt>
                <c:pt idx="254">
                  <c:v>310.05457669944644</c:v>
                </c:pt>
                <c:pt idx="255">
                  <c:v>310.37830304596787</c:v>
                </c:pt>
                <c:pt idx="256">
                  <c:v>310.60297729410752</c:v>
                </c:pt>
                <c:pt idx="257">
                  <c:v>310.72890500764521</c:v>
                </c:pt>
                <c:pt idx="258">
                  <c:v>310.75637581267</c:v>
                </c:pt>
                <c:pt idx="259">
                  <c:v>310.68566926365179</c:v>
                </c:pt>
                <c:pt idx="260">
                  <c:v>310.5170608885864</c:v>
                </c:pt>
                <c:pt idx="261">
                  <c:v>310.25082821658748</c:v>
                </c:pt>
                <c:pt idx="262">
                  <c:v>309.88725657968848</c:v>
                </c:pt>
                <c:pt idx="263">
                  <c:v>309.42664449891976</c:v>
                </c:pt>
                <c:pt idx="264">
                  <c:v>308.86930850777571</c:v>
                </c:pt>
                <c:pt idx="265">
                  <c:v>308.21558732254641</c:v>
                </c:pt>
                <c:pt idx="266">
                  <c:v>307.4658453257897</c:v>
                </c:pt>
                <c:pt idx="267">
                  <c:v>306.6204753765939</c:v>
                </c:pt>
                <c:pt idx="268">
                  <c:v>305.67990099441533</c:v>
                </c:pt>
                <c:pt idx="269">
                  <c:v>304.64457798197571</c:v>
                </c:pt>
                <c:pt idx="270">
                  <c:v>303.51499555962681</c:v>
                </c:pt>
                <c:pt idx="271">
                  <c:v>302.29167708237981</c:v>
                </c:pt>
                <c:pt idx="272">
                  <c:v>300.97518040485863</c:v>
                </c:pt>
                <c:pt idx="273">
                  <c:v>299.56609795135751</c:v>
                </c:pt>
                <c:pt idx="274">
                  <c:v>298.0650565396615</c:v>
                </c:pt>
                <c:pt idx="275">
                  <c:v>296.47271699929297</c:v>
                </c:pt>
                <c:pt idx="276">
                  <c:v>294.78977361782506</c:v>
                </c:pt>
                <c:pt idx="277">
                  <c:v>293.01695344299378</c:v>
                </c:pt>
                <c:pt idx="278">
                  <c:v>291.15501546349572</c:v>
                </c:pt>
                <c:pt idx="279">
                  <c:v>289.20474968746134</c:v>
                </c:pt>
                <c:pt idx="280">
                  <c:v>287.16697613448918</c:v>
                </c:pt>
                <c:pt idx="281">
                  <c:v>285.04254375467031</c:v>
                </c:pt>
                <c:pt idx="282">
                  <c:v>282.83232928609323</c:v>
                </c:pt>
                <c:pt idx="283">
                  <c:v>280.53723606078285</c:v>
                </c:pt>
                <c:pt idx="284">
                  <c:v>278.1581927678082</c:v>
                </c:pt>
                <c:pt idx="285">
                  <c:v>275.69615218131446</c:v>
                </c:pt>
                <c:pt idx="286">
                  <c:v>273.15208986044325</c:v>
                </c:pt>
                <c:pt idx="287">
                  <c:v>270.52700282745371</c:v>
                </c:pt>
                <c:pt idx="288">
                  <c:v>267.82190822981352</c:v>
                </c:pt>
                <c:pt idx="289">
                  <c:v>265.03784199156678</c:v>
                </c:pt>
                <c:pt idx="290">
                  <c:v>262.17585745888522</c:v>
                </c:pt>
                <c:pt idx="291">
                  <c:v>259.23702404435397</c:v>
                </c:pt>
                <c:pt idx="292">
                  <c:v>256.22242587422426</c:v>
                </c:pt>
                <c:pt idx="293">
                  <c:v>253.13316044257104</c:v>
                </c:pt>
                <c:pt idx="294">
                  <c:v>249.9703372760207</c:v>
                </c:pt>
                <c:pt idx="295">
                  <c:v>246.73507661245498</c:v>
                </c:pt>
                <c:pt idx="296">
                  <c:v>243.42850809685083</c:v>
                </c:pt>
                <c:pt idx="297">
                  <c:v>240.0517694971787</c:v>
                </c:pt>
                <c:pt idx="298">
                  <c:v>236.60600544305149</c:v>
                </c:pt>
                <c:pt idx="299">
                  <c:v>233.09236618959417</c:v>
                </c:pt>
                <c:pt idx="300">
                  <c:v>229.51200640878608</c:v>
                </c:pt>
                <c:pt idx="301">
                  <c:v>225.86608401031683</c:v>
                </c:pt>
                <c:pt idx="302">
                  <c:v>222.15575899379058</c:v>
                </c:pt>
                <c:pt idx="303">
                  <c:v>218.38219233391257</c:v>
                </c:pt>
                <c:pt idx="304">
                  <c:v>214.54654490009733</c:v>
                </c:pt>
                <c:pt idx="305">
                  <c:v>210.64997641174872</c:v>
                </c:pt>
                <c:pt idx="306">
                  <c:v>206.69364443027945</c:v>
                </c:pt>
                <c:pt idx="307">
                  <c:v>202.67870338876145</c:v>
                </c:pt>
                <c:pt idx="308">
                  <c:v>198.60630365992955</c:v>
                </c:pt>
                <c:pt idx="309">
                  <c:v>194.47759066309794</c:v>
                </c:pt>
                <c:pt idx="310">
                  <c:v>190.29370401039509</c:v>
                </c:pt>
                <c:pt idx="311">
                  <c:v>186.05577669257505</c:v>
                </c:pt>
                <c:pt idx="312">
                  <c:v>181.76493430452365</c:v>
                </c:pt>
                <c:pt idx="313">
                  <c:v>177.42229431044723</c:v>
                </c:pt>
                <c:pt idx="314">
                  <c:v>173.0289653486075</c:v>
                </c:pt>
                <c:pt idx="315">
                  <c:v>168.58604657535133</c:v>
                </c:pt>
                <c:pt idx="316">
                  <c:v>164.09462704807689</c:v>
                </c:pt>
                <c:pt idx="317">
                  <c:v>159.55578514667843</c:v>
                </c:pt>
                <c:pt idx="318">
                  <c:v>154.97058803292109</c:v>
                </c:pt>
                <c:pt idx="319">
                  <c:v>150.3400911471133</c:v>
                </c:pt>
                <c:pt idx="320">
                  <c:v>145.66533774136951</c:v>
                </c:pt>
                <c:pt idx="321">
                  <c:v>140.94735844868768</c:v>
                </c:pt>
                <c:pt idx="322">
                  <c:v>136.1871708870049</c:v>
                </c:pt>
                <c:pt idx="323">
                  <c:v>131.38577929734174</c:v>
                </c:pt>
                <c:pt idx="324">
                  <c:v>126.54417421509872</c:v>
                </c:pt>
                <c:pt idx="325">
                  <c:v>121.66333217352781</c:v>
                </c:pt>
                <c:pt idx="326">
                  <c:v>116.74421543836885</c:v>
                </c:pt>
                <c:pt idx="327">
                  <c:v>111.7877717726121</c:v>
                </c:pt>
                <c:pt idx="328">
                  <c:v>106.79493423032601</c:v>
                </c:pt>
                <c:pt idx="329">
                  <c:v>101.7666209784726</c:v>
                </c:pt>
                <c:pt idx="330">
                  <c:v>96.703735145620769</c:v>
                </c:pt>
                <c:pt idx="331">
                  <c:v>91.607164696460373</c:v>
                </c:pt>
                <c:pt idx="332">
                  <c:v>86.477782331017437</c:v>
                </c:pt>
                <c:pt idx="333">
                  <c:v>81.316445407471775</c:v>
                </c:pt>
                <c:pt idx="334">
                  <c:v>76.123995887483105</c:v>
                </c:pt>
                <c:pt idx="335">
                  <c:v>70.901260302940429</c:v>
                </c:pt>
                <c:pt idx="336">
                  <c:v>65.649049743060388</c:v>
                </c:pt>
                <c:pt idx="337">
                  <c:v>60.368159860774938</c:v>
                </c:pt>
                <c:pt idx="338">
                  <c:v>55.059370897365326</c:v>
                </c:pt>
                <c:pt idx="339">
                  <c:v>49.723447724318461</c:v>
                </c:pt>
                <c:pt idx="340">
                  <c:v>44.361139901402865</c:v>
                </c:pt>
                <c:pt idx="341">
                  <c:v>38.973181749984256</c:v>
                </c:pt>
                <c:pt idx="342">
                  <c:v>33.56029244062524</c:v>
                </c:pt>
                <c:pt idx="343">
                  <c:v>28.123176094039209</c:v>
                </c:pt>
                <c:pt idx="344">
                  <c:v>22.662521894495509</c:v>
                </c:pt>
                <c:pt idx="345">
                  <c:v>17.179004214800511</c:v>
                </c:pt>
                <c:pt idx="346">
                  <c:v>11.673282752007784</c:v>
                </c:pt>
                <c:pt idx="347">
                  <c:v>6.146002673039499</c:v>
                </c:pt>
                <c:pt idx="348">
                  <c:v>0.59779476943062004</c:v>
                </c:pt>
                <c:pt idx="349">
                  <c:v>-4.9707243795628928</c:v>
                </c:pt>
                <c:pt idx="350">
                  <c:v>-4.9763029116613193</c:v>
                </c:pt>
                <c:pt idx="351">
                  <c:v>-4.9818814631703825</c:v>
                </c:pt>
                <c:pt idx="352">
                  <c:v>-4.9874600340895032</c:v>
                </c:pt>
                <c:pt idx="353">
                  <c:v>-4.9930386244180998</c:v>
                </c:pt>
                <c:pt idx="354">
                  <c:v>-4.998617234155593</c:v>
                </c:pt>
                <c:pt idx="355">
                  <c:v>-5.0041958633014021</c:v>
                </c:pt>
                <c:pt idx="356">
                  <c:v>-5.0097745118549462</c:v>
                </c:pt>
                <c:pt idx="357">
                  <c:v>-5.0153531798156452</c:v>
                </c:pt>
                <c:pt idx="358">
                  <c:v>-5.0209318671829193</c:v>
                </c:pt>
                <c:pt idx="359">
                  <c:v>-5.0265105739561875</c:v>
                </c:pt>
                <c:pt idx="360">
                  <c:v>-5.0320893001348699</c:v>
                </c:pt>
                <c:pt idx="361">
                  <c:v>-5.0376680457183864</c:v>
                </c:pt>
                <c:pt idx="362">
                  <c:v>-5.0432468107061572</c:v>
                </c:pt>
                <c:pt idx="363">
                  <c:v>-5.0488255950976013</c:v>
                </c:pt>
                <c:pt idx="364">
                  <c:v>-5.0544043988921388</c:v>
                </c:pt>
                <c:pt idx="365">
                  <c:v>-5.0599832220891887</c:v>
                </c:pt>
                <c:pt idx="366">
                  <c:v>-5.0655620646881721</c:v>
                </c:pt>
                <c:pt idx="367">
                  <c:v>-5.0711409266885079</c:v>
                </c:pt>
                <c:pt idx="368">
                  <c:v>-5.0767198080896163</c:v>
                </c:pt>
                <c:pt idx="369">
                  <c:v>-5.0822987088909173</c:v>
                </c:pt>
                <c:pt idx="370">
                  <c:v>-5.0878776290918299</c:v>
                </c:pt>
                <c:pt idx="371">
                  <c:v>-5.0934565686917752</c:v>
                </c:pt>
                <c:pt idx="372">
                  <c:v>-5.0990355276901722</c:v>
                </c:pt>
                <c:pt idx="373">
                  <c:v>-5.104614506086441</c:v>
                </c:pt>
                <c:pt idx="374">
                  <c:v>-5.1101935038800015</c:v>
                </c:pt>
                <c:pt idx="375">
                  <c:v>-5.1157725210702738</c:v>
                </c:pt>
                <c:pt idx="376">
                  <c:v>-5.1213515576566779</c:v>
                </c:pt>
                <c:pt idx="377">
                  <c:v>-5.1269306136386339</c:v>
                </c:pt>
                <c:pt idx="378">
                  <c:v>-5.1325096890155617</c:v>
                </c:pt>
                <c:pt idx="379">
                  <c:v>-5.1380887837868805</c:v>
                </c:pt>
                <c:pt idx="380">
                  <c:v>-5.1436678979520112</c:v>
                </c:pt>
                <c:pt idx="381">
                  <c:v>-5.1492470315103738</c:v>
                </c:pt>
                <c:pt idx="382">
                  <c:v>-5.1548261844613874</c:v>
                </c:pt>
                <c:pt idx="383">
                  <c:v>-5.160405356804473</c:v>
                </c:pt>
                <c:pt idx="384">
                  <c:v>-5.1659845485390505</c:v>
                </c:pt>
                <c:pt idx="385">
                  <c:v>-5.1715637596645392</c:v>
                </c:pt>
                <c:pt idx="386">
                  <c:v>-5.1771429901803598</c:v>
                </c:pt>
                <c:pt idx="387">
                  <c:v>-5.1827222400859325</c:v>
                </c:pt>
                <c:pt idx="388">
                  <c:v>-5.1883015093806772</c:v>
                </c:pt>
                <c:pt idx="389">
                  <c:v>-5.193880798064014</c:v>
                </c:pt>
                <c:pt idx="390">
                  <c:v>-5.1994601061353629</c:v>
                </c:pt>
                <c:pt idx="391">
                  <c:v>-5.2050394335941448</c:v>
                </c:pt>
                <c:pt idx="392">
                  <c:v>-5.2106187804397788</c:v>
                </c:pt>
                <c:pt idx="393">
                  <c:v>-5.2161981466716858</c:v>
                </c:pt>
                <c:pt idx="394">
                  <c:v>-5.2217775322892859</c:v>
                </c:pt>
                <c:pt idx="395">
                  <c:v>-5.227356937291999</c:v>
                </c:pt>
                <c:pt idx="396">
                  <c:v>-5.2329363616792453</c:v>
                </c:pt>
                <c:pt idx="397">
                  <c:v>-5.2385158054504446</c:v>
                </c:pt>
                <c:pt idx="398">
                  <c:v>-5.244095268605018</c:v>
                </c:pt>
                <c:pt idx="399">
                  <c:v>-5.2496747511423854</c:v>
                </c:pt>
                <c:pt idx="400">
                  <c:v>-5.2552542530619668</c:v>
                </c:pt>
                <c:pt idx="401">
                  <c:v>-5.2608337743631832</c:v>
                </c:pt>
                <c:pt idx="402">
                  <c:v>-5.2664133150454546</c:v>
                </c:pt>
                <c:pt idx="403">
                  <c:v>-5.271992875108201</c:v>
                </c:pt>
                <c:pt idx="404">
                  <c:v>-5.2775724545508425</c:v>
                </c:pt>
                <c:pt idx="405">
                  <c:v>-5.2831520533727998</c:v>
                </c:pt>
                <c:pt idx="406">
                  <c:v>-5.2887316715734931</c:v>
                </c:pt>
                <c:pt idx="407">
                  <c:v>-5.2943113091523433</c:v>
                </c:pt>
                <c:pt idx="408">
                  <c:v>-5.2998909661087703</c:v>
                </c:pt>
                <c:pt idx="409">
                  <c:v>-5.3054706424421942</c:v>
                </c:pt>
                <c:pt idx="410">
                  <c:v>-5.311050338152036</c:v>
                </c:pt>
                <c:pt idx="411">
                  <c:v>-5.3166300532377155</c:v>
                </c:pt>
                <c:pt idx="412">
                  <c:v>-5.3222097876986538</c:v>
                </c:pt>
                <c:pt idx="413">
                  <c:v>-5.3277895415342709</c:v>
                </c:pt>
                <c:pt idx="414">
                  <c:v>-5.3333693147439876</c:v>
                </c:pt>
                <c:pt idx="415">
                  <c:v>-5.3389491073272239</c:v>
                </c:pt>
                <c:pt idx="416">
                  <c:v>-5.3445289192834</c:v>
                </c:pt>
                <c:pt idx="417">
                  <c:v>-5.3501087506119376</c:v>
                </c:pt>
                <c:pt idx="418">
                  <c:v>-5.3556886013122558</c:v>
                </c:pt>
                <c:pt idx="419">
                  <c:v>-5.3612684713837764</c:v>
                </c:pt>
                <c:pt idx="420">
                  <c:v>-5.3668483608259194</c:v>
                </c:pt>
                <c:pt idx="421">
                  <c:v>-5.3724282696381049</c:v>
                </c:pt>
                <c:pt idx="422">
                  <c:v>-5.3780081978197538</c:v>
                </c:pt>
                <c:pt idx="423">
                  <c:v>-5.383588145370287</c:v>
                </c:pt>
                <c:pt idx="424">
                  <c:v>-5.3891681122891244</c:v>
                </c:pt>
                <c:pt idx="425">
                  <c:v>-5.394748098575687</c:v>
                </c:pt>
                <c:pt idx="426">
                  <c:v>-5.4003281042293958</c:v>
                </c:pt>
                <c:pt idx="427">
                  <c:v>-5.4059081292496707</c:v>
                </c:pt>
                <c:pt idx="428">
                  <c:v>-5.4114881736359326</c:v>
                </c:pt>
                <c:pt idx="429">
                  <c:v>-5.4170682373876025</c:v>
                </c:pt>
                <c:pt idx="430">
                  <c:v>-5.4226483205041003</c:v>
                </c:pt>
                <c:pt idx="431">
                  <c:v>-5.4282284229848479</c:v>
                </c:pt>
                <c:pt idx="432">
                  <c:v>-5.4338085448292643</c:v>
                </c:pt>
                <c:pt idx="433">
                  <c:v>-5.4393886860367715</c:v>
                </c:pt>
                <c:pt idx="434">
                  <c:v>-5.4449688466067903</c:v>
                </c:pt>
                <c:pt idx="435">
                  <c:v>-5.4505490265387406</c:v>
                </c:pt>
                <c:pt idx="436">
                  <c:v>-5.4561292258320435</c:v>
                </c:pt>
                <c:pt idx="437">
                  <c:v>-5.4617094444861198</c:v>
                </c:pt>
                <c:pt idx="438">
                  <c:v>-5.4672896825003905</c:v>
                </c:pt>
                <c:pt idx="439">
                  <c:v>-5.4728699398742764</c:v>
                </c:pt>
                <c:pt idx="440">
                  <c:v>-5.4784502166071976</c:v>
                </c:pt>
                <c:pt idx="441">
                  <c:v>-5.4840305126985758</c:v>
                </c:pt>
                <c:pt idx="442">
                  <c:v>-5.4896108281478311</c:v>
                </c:pt>
                <c:pt idx="443">
                  <c:v>-5.4951911629543844</c:v>
                </c:pt>
                <c:pt idx="444">
                  <c:v>-5.5007715171176566</c:v>
                </c:pt>
                <c:pt idx="445">
                  <c:v>-5.5063518906370694</c:v>
                </c:pt>
                <c:pt idx="446">
                  <c:v>-5.511932283512043</c:v>
                </c:pt>
                <c:pt idx="447">
                  <c:v>-5.5175126957419982</c:v>
                </c:pt>
                <c:pt idx="448">
                  <c:v>-5.5230931273263559</c:v>
                </c:pt>
                <c:pt idx="449">
                  <c:v>-5.5286735782645371</c:v>
                </c:pt>
                <c:pt idx="450">
                  <c:v>-5.5342540485559626</c:v>
                </c:pt>
                <c:pt idx="451">
                  <c:v>-5.5398345382000533</c:v>
                </c:pt>
                <c:pt idx="452">
                  <c:v>-5.5454150471962311</c:v>
                </c:pt>
                <c:pt idx="453">
                  <c:v>-5.550995575543916</c:v>
                </c:pt>
                <c:pt idx="454">
                  <c:v>-5.5565761232425288</c:v>
                </c:pt>
                <c:pt idx="455">
                  <c:v>-5.5621566902914914</c:v>
                </c:pt>
                <c:pt idx="456">
                  <c:v>-5.5677372766902247</c:v>
                </c:pt>
                <c:pt idx="457">
                  <c:v>-5.5733178824381486</c:v>
                </c:pt>
                <c:pt idx="458">
                  <c:v>-5.5788985075346851</c:v>
                </c:pt>
                <c:pt idx="459">
                  <c:v>-5.5844791519792549</c:v>
                </c:pt>
                <c:pt idx="460">
                  <c:v>-5.59005981577128</c:v>
                </c:pt>
                <c:pt idx="461">
                  <c:v>-5.5956404989101802</c:v>
                </c:pt>
                <c:pt idx="462">
                  <c:v>-5.6012212013953775</c:v>
                </c:pt>
                <c:pt idx="463">
                  <c:v>-5.6068019232262927</c:v>
                </c:pt>
                <c:pt idx="464">
                  <c:v>-5.6123826644023467</c:v>
                </c:pt>
                <c:pt idx="465">
                  <c:v>-5.6179634249229604</c:v>
                </c:pt>
                <c:pt idx="466">
                  <c:v>-5.6235442047875557</c:v>
                </c:pt>
                <c:pt idx="467">
                  <c:v>-5.6291250039955534</c:v>
                </c:pt>
                <c:pt idx="468">
                  <c:v>-5.6347058225463744</c:v>
                </c:pt>
                <c:pt idx="469">
                  <c:v>-5.6402866604394397</c:v>
                </c:pt>
                <c:pt idx="470">
                  <c:v>-5.6458675176741711</c:v>
                </c:pt>
                <c:pt idx="471">
                  <c:v>-5.6514483942499902</c:v>
                </c:pt>
                <c:pt idx="472">
                  <c:v>-5.6570292901663173</c:v>
                </c:pt>
                <c:pt idx="473">
                  <c:v>-5.662610205422574</c:v>
                </c:pt>
                <c:pt idx="474">
                  <c:v>-5.6681911400181813</c:v>
                </c:pt>
                <c:pt idx="475">
                  <c:v>-5.6737720939525609</c:v>
                </c:pt>
                <c:pt idx="476">
                  <c:v>-5.6793530672251338</c:v>
                </c:pt>
                <c:pt idx="477">
                  <c:v>-5.6849340598353217</c:v>
                </c:pt>
                <c:pt idx="478">
                  <c:v>-5.6905150717825457</c:v>
                </c:pt>
                <c:pt idx="479">
                  <c:v>-5.6960961030662274</c:v>
                </c:pt>
                <c:pt idx="480">
                  <c:v>-5.7016771536857878</c:v>
                </c:pt>
                <c:pt idx="481">
                  <c:v>-5.7072582236406477</c:v>
                </c:pt>
                <c:pt idx="482">
                  <c:v>-5.7128393129302291</c:v>
                </c:pt>
                <c:pt idx="483">
                  <c:v>-5.7184204215539536</c:v>
                </c:pt>
                <c:pt idx="484">
                  <c:v>-5.7240015495112422</c:v>
                </c:pt>
                <c:pt idx="485">
                  <c:v>-5.7295826968015158</c:v>
                </c:pt>
                <c:pt idx="486">
                  <c:v>-5.7351638634241962</c:v>
                </c:pt>
                <c:pt idx="487">
                  <c:v>-5.7407450493787051</c:v>
                </c:pt>
                <c:pt idx="488">
                  <c:v>-5.7463262546644645</c:v>
                </c:pt>
                <c:pt idx="489">
                  <c:v>-5.7519074792808951</c:v>
                </c:pt>
                <c:pt idx="490">
                  <c:v>-5.7574887232274179</c:v>
                </c:pt>
                <c:pt idx="491">
                  <c:v>-5.7630699865034556</c:v>
                </c:pt>
                <c:pt idx="492">
                  <c:v>-5.7686512691084291</c:v>
                </c:pt>
                <c:pt idx="493">
                  <c:v>-5.7742325710417592</c:v>
                </c:pt>
                <c:pt idx="494">
                  <c:v>-5.7798138923028679</c:v>
                </c:pt>
                <c:pt idx="495">
                  <c:v>-5.7853952328911777</c:v>
                </c:pt>
                <c:pt idx="496">
                  <c:v>-5.7909765928061088</c:v>
                </c:pt>
                <c:pt idx="497">
                  <c:v>-5.7965579720470837</c:v>
                </c:pt>
                <c:pt idx="498">
                  <c:v>-5.8021393706135234</c:v>
                </c:pt>
                <c:pt idx="499">
                  <c:v>-5.8077207885048496</c:v>
                </c:pt>
                <c:pt idx="500">
                  <c:v>-5.8133022257204843</c:v>
                </c:pt>
                <c:pt idx="501">
                  <c:v>-5.8188836822598482</c:v>
                </c:pt>
                <c:pt idx="502">
                  <c:v>-5.8244651581223641</c:v>
                </c:pt>
                <c:pt idx="503">
                  <c:v>-5.8300466533074529</c:v>
                </c:pt>
                <c:pt idx="504">
                  <c:v>-5.8356281678145363</c:v>
                </c:pt>
                <c:pt idx="505">
                  <c:v>-5.8412097016430362</c:v>
                </c:pt>
                <c:pt idx="506">
                  <c:v>-5.8467912547923744</c:v>
                </c:pt>
                <c:pt idx="507">
                  <c:v>-5.8523728272619717</c:v>
                </c:pt>
                <c:pt idx="508">
                  <c:v>-5.8579544190512509</c:v>
                </c:pt>
                <c:pt idx="509">
                  <c:v>-5.8635360301596329</c:v>
                </c:pt>
                <c:pt idx="510">
                  <c:v>-5.8691176605865403</c:v>
                </c:pt>
                <c:pt idx="511">
                  <c:v>-5.874699310331394</c:v>
                </c:pt>
                <c:pt idx="512">
                  <c:v>-5.8802809793936168</c:v>
                </c:pt>
                <c:pt idx="513">
                  <c:v>-5.8858626677726296</c:v>
                </c:pt>
                <c:pt idx="514">
                  <c:v>-5.891444375467854</c:v>
                </c:pt>
                <c:pt idx="515">
                  <c:v>-5.897026102478713</c:v>
                </c:pt>
                <c:pt idx="516">
                  <c:v>-5.9026078488046272</c:v>
                </c:pt>
                <c:pt idx="517">
                  <c:v>-5.9081896144450186</c:v>
                </c:pt>
                <c:pt idx="518">
                  <c:v>-5.9137713993993097</c:v>
                </c:pt>
                <c:pt idx="519">
                  <c:v>-5.9193532036669216</c:v>
                </c:pt>
                <c:pt idx="520">
                  <c:v>-5.9249350272472769</c:v>
                </c:pt>
                <c:pt idx="521">
                  <c:v>-5.9305168701397974</c:v>
                </c:pt>
                <c:pt idx="522">
                  <c:v>-5.9360987323439041</c:v>
                </c:pt>
                <c:pt idx="523">
                  <c:v>-5.9416806138590195</c:v>
                </c:pt>
                <c:pt idx="524">
                  <c:v>-5.9472625146845655</c:v>
                </c:pt>
                <c:pt idx="525">
                  <c:v>-5.9528444348199647</c:v>
                </c:pt>
                <c:pt idx="526">
                  <c:v>-5.9584263742646382</c:v>
                </c:pt>
                <c:pt idx="527">
                  <c:v>-5.9640083330180085</c:v>
                </c:pt>
                <c:pt idx="528">
                  <c:v>-5.9695903110794966</c:v>
                </c:pt>
                <c:pt idx="529">
                  <c:v>-5.9751723084485251</c:v>
                </c:pt>
                <c:pt idx="530">
                  <c:v>-5.9807543251245168</c:v>
                </c:pt>
                <c:pt idx="531">
                  <c:v>-5.9863363611068925</c:v>
                </c:pt>
                <c:pt idx="532">
                  <c:v>-5.9919184163950749</c:v>
                </c:pt>
                <c:pt idx="533">
                  <c:v>-5.9975004909884859</c:v>
                </c:pt>
                <c:pt idx="534">
                  <c:v>-6.0030825848865472</c:v>
                </c:pt>
                <c:pt idx="535">
                  <c:v>-6.0086646980886815</c:v>
                </c:pt>
                <c:pt idx="536">
                  <c:v>-6.0142468305943106</c:v>
                </c:pt>
                <c:pt idx="537">
                  <c:v>-6.0198289824028564</c:v>
                </c:pt>
                <c:pt idx="538">
                  <c:v>-6.0254111535137413</c:v>
                </c:pt>
                <c:pt idx="539">
                  <c:v>-6.0309933439263874</c:v>
                </c:pt>
                <c:pt idx="540">
                  <c:v>-6.0365755536402164</c:v>
                </c:pt>
                <c:pt idx="541">
                  <c:v>-6.0421577826546509</c:v>
                </c:pt>
                <c:pt idx="542">
                  <c:v>-6.0477400309691127</c:v>
                </c:pt>
                <c:pt idx="543">
                  <c:v>-6.0533222985830246</c:v>
                </c:pt>
                <c:pt idx="544">
                  <c:v>-6.0589045854958083</c:v>
                </c:pt>
                <c:pt idx="545">
                  <c:v>-6.0644868917068866</c:v>
                </c:pt>
                <c:pt idx="546">
                  <c:v>-6.0700692172156812</c:v>
                </c:pt>
                <c:pt idx="547">
                  <c:v>-6.0756515620216138</c:v>
                </c:pt>
                <c:pt idx="548">
                  <c:v>-6.0812339261241073</c:v>
                </c:pt>
                <c:pt idx="549">
                  <c:v>-6.0868163095225842</c:v>
                </c:pt>
                <c:pt idx="550">
                  <c:v>-6.0923987122164664</c:v>
                </c:pt>
                <c:pt idx="551">
                  <c:v>-6.0979811342051766</c:v>
                </c:pt>
                <c:pt idx="552">
                  <c:v>-6.1035635754881366</c:v>
                </c:pt>
                <c:pt idx="553">
                  <c:v>-6.1091460360647689</c:v>
                </c:pt>
                <c:pt idx="554">
                  <c:v>-6.1147285159344955</c:v>
                </c:pt>
                <c:pt idx="555">
                  <c:v>-6.120311015096739</c:v>
                </c:pt>
                <c:pt idx="556">
                  <c:v>-6.1258935335509221</c:v>
                </c:pt>
                <c:pt idx="557">
                  <c:v>-6.1314760712964667</c:v>
                </c:pt>
                <c:pt idx="558">
                  <c:v>-6.1370586283327953</c:v>
                </c:pt>
                <c:pt idx="559">
                  <c:v>-6.1426412046593306</c:v>
                </c:pt>
                <c:pt idx="560">
                  <c:v>-6.1482238002754945</c:v>
                </c:pt>
                <c:pt idx="561">
                  <c:v>-6.1538064151807097</c:v>
                </c:pt>
                <c:pt idx="562">
                  <c:v>-6.1593890493743988</c:v>
                </c:pt>
                <c:pt idx="563">
                  <c:v>-6.1649717028559836</c:v>
                </c:pt>
                <c:pt idx="564">
                  <c:v>-6.1705543756248868</c:v>
                </c:pt>
                <c:pt idx="565">
                  <c:v>-6.1761370676805312</c:v>
                </c:pt>
                <c:pt idx="566">
                  <c:v>-6.1817197790223393</c:v>
                </c:pt>
                <c:pt idx="567">
                  <c:v>-6.1873025096497338</c:v>
                </c:pt>
                <c:pt idx="568">
                  <c:v>-6.1928852595621366</c:v>
                </c:pt>
                <c:pt idx="569">
                  <c:v>-6.1984680287589704</c:v>
                </c:pt>
                <c:pt idx="570">
                  <c:v>-6.2040508172396578</c:v>
                </c:pt>
                <c:pt idx="571">
                  <c:v>-6.2096336250036215</c:v>
                </c:pt>
                <c:pt idx="572">
                  <c:v>-6.2152164520502842</c:v>
                </c:pt>
                <c:pt idx="573">
                  <c:v>-6.2207992983790676</c:v>
                </c:pt>
                <c:pt idx="574">
                  <c:v>-6.2263821639893955</c:v>
                </c:pt>
                <c:pt idx="575">
                  <c:v>-6.2319650488806895</c:v>
                </c:pt>
                <c:pt idx="576">
                  <c:v>-6.2375479530523723</c:v>
                </c:pt>
                <c:pt idx="577">
                  <c:v>-6.2431308765038676</c:v>
                </c:pt>
                <c:pt idx="578">
                  <c:v>-6.248713819234597</c:v>
                </c:pt>
                <c:pt idx="579">
                  <c:v>-6.2542967812439834</c:v>
                </c:pt>
                <c:pt idx="580">
                  <c:v>-6.2598797625314493</c:v>
                </c:pt>
                <c:pt idx="581">
                  <c:v>-6.2654627630964175</c:v>
                </c:pt>
                <c:pt idx="582">
                  <c:v>-6.2710457829383115</c:v>
                </c:pt>
                <c:pt idx="583">
                  <c:v>-6.2766288220565531</c:v>
                </c:pt>
                <c:pt idx="584">
                  <c:v>-6.2822118804505651</c:v>
                </c:pt>
                <c:pt idx="585">
                  <c:v>-6.287794958119771</c:v>
                </c:pt>
                <c:pt idx="586">
                  <c:v>-6.2933780550635925</c:v>
                </c:pt>
                <c:pt idx="587">
                  <c:v>-6.2989611712814533</c:v>
                </c:pt>
                <c:pt idx="588">
                  <c:v>-6.3045443067727751</c:v>
                </c:pt>
                <c:pt idx="589">
                  <c:v>-6.3101274615369816</c:v>
                </c:pt>
                <c:pt idx="590">
                  <c:v>-6.3157106355734953</c:v>
                </c:pt>
                <c:pt idx="591">
                  <c:v>-6.3212938288817391</c:v>
                </c:pt>
                <c:pt idx="592">
                  <c:v>-6.3268770414611355</c:v>
                </c:pt>
                <c:pt idx="593">
                  <c:v>-6.3324602733111073</c:v>
                </c:pt>
                <c:pt idx="594">
                  <c:v>-6.338043524431078</c:v>
                </c:pt>
                <c:pt idx="595">
                  <c:v>-6.3436267948204703</c:v>
                </c:pt>
                <c:pt idx="596">
                  <c:v>-6.3492100844787069</c:v>
                </c:pt>
                <c:pt idx="597">
                  <c:v>-6.3547933934052105</c:v>
                </c:pt>
                <c:pt idx="598">
                  <c:v>-6.3603767215994047</c:v>
                </c:pt>
                <c:pt idx="599">
                  <c:v>-6.3659600690607121</c:v>
                </c:pt>
                <c:pt idx="600">
                  <c:v>-6.3715434357885554</c:v>
                </c:pt>
                <c:pt idx="601">
                  <c:v>-6.3771268217823573</c:v>
                </c:pt>
                <c:pt idx="602">
                  <c:v>-6.3827102270415415</c:v>
                </c:pt>
                <c:pt idx="603">
                  <c:v>-6.3882936515655304</c:v>
                </c:pt>
                <c:pt idx="604">
                  <c:v>-6.3938770953537469</c:v>
                </c:pt>
                <c:pt idx="605">
                  <c:v>-6.3994605584056146</c:v>
                </c:pt>
                <c:pt idx="606">
                  <c:v>-6.405044040720556</c:v>
                </c:pt>
                <c:pt idx="607">
                  <c:v>-6.4106275422979948</c:v>
                </c:pt>
                <c:pt idx="608">
                  <c:v>-6.4162110631373537</c:v>
                </c:pt>
                <c:pt idx="609">
                  <c:v>-6.4217946032380553</c:v>
                </c:pt>
                <c:pt idx="610">
                  <c:v>-6.4273781625995232</c:v>
                </c:pt>
                <c:pt idx="611">
                  <c:v>-6.4329617412211801</c:v>
                </c:pt>
                <c:pt idx="612">
                  <c:v>-6.4385453391024496</c:v>
                </c:pt>
                <c:pt idx="613">
                  <c:v>-6.4441289562427544</c:v>
                </c:pt>
                <c:pt idx="614">
                  <c:v>-6.449712592641518</c:v>
                </c:pt>
                <c:pt idx="615">
                  <c:v>-6.4552962482981631</c:v>
                </c:pt>
                <c:pt idx="616">
                  <c:v>-6.4608799232121132</c:v>
                </c:pt>
                <c:pt idx="617">
                  <c:v>-6.4664636173827912</c:v>
                </c:pt>
                <c:pt idx="618">
                  <c:v>-6.4720473308096205</c:v>
                </c:pt>
                <c:pt idx="619">
                  <c:v>-6.4776310634920247</c:v>
                </c:pt>
                <c:pt idx="620">
                  <c:v>-6.4832148154294265</c:v>
                </c:pt>
                <c:pt idx="621">
                  <c:v>-6.4887985866212485</c:v>
                </c:pt>
                <c:pt idx="622">
                  <c:v>-6.4943823770669153</c:v>
                </c:pt>
                <c:pt idx="623">
                  <c:v>-6.4999661867658487</c:v>
                </c:pt>
                <c:pt idx="624">
                  <c:v>-6.505550015717473</c:v>
                </c:pt>
                <c:pt idx="625">
                  <c:v>-6.5111338639212111</c:v>
                </c:pt>
                <c:pt idx="626">
                  <c:v>-6.5167177313764864</c:v>
                </c:pt>
                <c:pt idx="627">
                  <c:v>-6.5223016180827225</c:v>
                </c:pt>
                <c:pt idx="628">
                  <c:v>-6.5278855240393421</c:v>
                </c:pt>
                <c:pt idx="629">
                  <c:v>-6.5334694492457688</c:v>
                </c:pt>
                <c:pt idx="630">
                  <c:v>-6.5390533937014261</c:v>
                </c:pt>
                <c:pt idx="631">
                  <c:v>-6.5446373574057368</c:v>
                </c:pt>
                <c:pt idx="632">
                  <c:v>-6.5502213403581253</c:v>
                </c:pt>
                <c:pt idx="633">
                  <c:v>-6.5558053425580143</c:v>
                </c:pt>
                <c:pt idx="634">
                  <c:v>-6.5613893640048273</c:v>
                </c:pt>
                <c:pt idx="635">
                  <c:v>-6.5669734046979871</c:v>
                </c:pt>
                <c:pt idx="636">
                  <c:v>-6.572557464636918</c:v>
                </c:pt>
                <c:pt idx="637">
                  <c:v>-6.5781415438210429</c:v>
                </c:pt>
                <c:pt idx="638">
                  <c:v>-6.5837256422497861</c:v>
                </c:pt>
                <c:pt idx="639">
                  <c:v>-6.5893097599225703</c:v>
                </c:pt>
                <c:pt idx="640">
                  <c:v>-6.5948938968388191</c:v>
                </c:pt>
                <c:pt idx="641">
                  <c:v>-6.6004780529979561</c:v>
                </c:pt>
                <c:pt idx="642">
                  <c:v>-6.6060622283994039</c:v>
                </c:pt>
                <c:pt idx="643">
                  <c:v>-6.6116464230425871</c:v>
                </c:pt>
                <c:pt idx="644">
                  <c:v>-6.6172306369269291</c:v>
                </c:pt>
                <c:pt idx="645">
                  <c:v>-6.6228148700518537</c:v>
                </c:pt>
                <c:pt idx="646">
                  <c:v>-6.6283991224167833</c:v>
                </c:pt>
                <c:pt idx="647">
                  <c:v>-6.6339833940211426</c:v>
                </c:pt>
                <c:pt idx="648">
                  <c:v>-6.639567684864355</c:v>
                </c:pt>
                <c:pt idx="649">
                  <c:v>-6.6451519949458433</c:v>
                </c:pt>
                <c:pt idx="650">
                  <c:v>-6.6507363242650319</c:v>
                </c:pt>
                <c:pt idx="651">
                  <c:v>-6.6563206728213444</c:v>
                </c:pt>
                <c:pt idx="652">
                  <c:v>-6.6619050406142044</c:v>
                </c:pt>
                <c:pt idx="653">
                  <c:v>-6.6674894276430354</c:v>
                </c:pt>
                <c:pt idx="654">
                  <c:v>-6.6730738339072611</c:v>
                </c:pt>
                <c:pt idx="655">
                  <c:v>-6.6786582594063049</c:v>
                </c:pt>
                <c:pt idx="656">
                  <c:v>-6.6842427041395904</c:v>
                </c:pt>
                <c:pt idx="657">
                  <c:v>-6.6898271681065422</c:v>
                </c:pt>
                <c:pt idx="658">
                  <c:v>-6.6954116513065829</c:v>
                </c:pt>
                <c:pt idx="659">
                  <c:v>-6.7009961537391369</c:v>
                </c:pt>
                <c:pt idx="660">
                  <c:v>-6.7065806754036279</c:v>
                </c:pt>
                <c:pt idx="661">
                  <c:v>-6.7121652162994794</c:v>
                </c:pt>
                <c:pt idx="662">
                  <c:v>-6.7177497764261158</c:v>
                </c:pt>
                <c:pt idx="663">
                  <c:v>-6.7233343557829599</c:v>
                </c:pt>
                <c:pt idx="664">
                  <c:v>-6.7289189543694361</c:v>
                </c:pt>
                <c:pt idx="665">
                  <c:v>-6.7345035721849689</c:v>
                </c:pt>
                <c:pt idx="666">
                  <c:v>-6.7400882092289809</c:v>
                </c:pt>
                <c:pt idx="667">
                  <c:v>-6.7456728655008966</c:v>
                </c:pt>
                <c:pt idx="668">
                  <c:v>-6.7512575410001396</c:v>
                </c:pt>
                <c:pt idx="669">
                  <c:v>-6.7568422357261335</c:v>
                </c:pt>
                <c:pt idx="670">
                  <c:v>-6.7624269496783027</c:v>
                </c:pt>
                <c:pt idx="671">
                  <c:v>-6.7680116828560708</c:v>
                </c:pt>
                <c:pt idx="672">
                  <c:v>-6.7735964352588622</c:v>
                </c:pt>
                <c:pt idx="673">
                  <c:v>-6.7791812068860997</c:v>
                </c:pt>
                <c:pt idx="674">
                  <c:v>-6.7847659977372086</c:v>
                </c:pt>
                <c:pt idx="675">
                  <c:v>-6.7903508078116115</c:v>
                </c:pt>
                <c:pt idx="676">
                  <c:v>-6.7959356371087329</c:v>
                </c:pt>
                <c:pt idx="677">
                  <c:v>-6.8015204856279974</c:v>
                </c:pt>
                <c:pt idx="678">
                  <c:v>-6.8071053533688284</c:v>
                </c:pt>
                <c:pt idx="679">
                  <c:v>-6.8126902403306504</c:v>
                </c:pt>
                <c:pt idx="680">
                  <c:v>-6.818275146512887</c:v>
                </c:pt>
                <c:pt idx="681">
                  <c:v>-6.8238600719149618</c:v>
                </c:pt>
                <c:pt idx="682">
                  <c:v>-6.8294450165362992</c:v>
                </c:pt>
                <c:pt idx="683">
                  <c:v>-6.8350299803763237</c:v>
                </c:pt>
                <c:pt idx="684">
                  <c:v>-6.8406149634344589</c:v>
                </c:pt>
                <c:pt idx="685">
                  <c:v>-6.8461999657101282</c:v>
                </c:pt>
                <c:pt idx="686">
                  <c:v>-6.8517849872027572</c:v>
                </c:pt>
                <c:pt idx="687">
                  <c:v>-6.8573700279117693</c:v>
                </c:pt>
                <c:pt idx="688">
                  <c:v>-6.8629550878365881</c:v>
                </c:pt>
                <c:pt idx="689">
                  <c:v>-6.8685401669766382</c:v>
                </c:pt>
                <c:pt idx="690">
                  <c:v>-6.8741252653313438</c:v>
                </c:pt>
                <c:pt idx="691">
                  <c:v>-6.8797103829001287</c:v>
                </c:pt>
                <c:pt idx="692">
                  <c:v>-6.8852955196824173</c:v>
                </c:pt>
                <c:pt idx="693">
                  <c:v>-6.890880675677634</c:v>
                </c:pt>
                <c:pt idx="694">
                  <c:v>-6.8964658508852033</c:v>
                </c:pt>
                <c:pt idx="695">
                  <c:v>-6.9020510453045487</c:v>
                </c:pt>
                <c:pt idx="696">
                  <c:v>-6.9076362589350948</c:v>
                </c:pt>
                <c:pt idx="697">
                  <c:v>-6.9132214917762651</c:v>
                </c:pt>
                <c:pt idx="698">
                  <c:v>-6.918806743827485</c:v>
                </c:pt>
                <c:pt idx="699">
                  <c:v>-6.9243920150881779</c:v>
                </c:pt>
                <c:pt idx="700">
                  <c:v>-6.9299773055577685</c:v>
                </c:pt>
                <c:pt idx="701">
                  <c:v>-6.9355626152356811</c:v>
                </c:pt>
                <c:pt idx="702">
                  <c:v>-6.9411479441213402</c:v>
                </c:pt>
                <c:pt idx="703">
                  <c:v>-6.9467332922141694</c:v>
                </c:pt>
                <c:pt idx="704">
                  <c:v>-6.9523186595135931</c:v>
                </c:pt>
                <c:pt idx="705">
                  <c:v>-6.9579040460190367</c:v>
                </c:pt>
                <c:pt idx="706">
                  <c:v>-6.9634894517299237</c:v>
                </c:pt>
                <c:pt idx="707">
                  <c:v>-6.9690748766456787</c:v>
                </c:pt>
                <c:pt idx="708">
                  <c:v>-6.9746603207657261</c:v>
                </c:pt>
                <c:pt idx="709">
                  <c:v>-6.9802457840894894</c:v>
                </c:pt>
                <c:pt idx="710">
                  <c:v>-6.985831266616394</c:v>
                </c:pt>
                <c:pt idx="711">
                  <c:v>-6.9914167683458643</c:v>
                </c:pt>
                <c:pt idx="712">
                  <c:v>-6.9970022892773249</c:v>
                </c:pt>
                <c:pt idx="713">
                  <c:v>-7.0025878294101993</c:v>
                </c:pt>
                <c:pt idx="714">
                  <c:v>-7.0081733887439128</c:v>
                </c:pt>
                <c:pt idx="715">
                  <c:v>-7.0137589672778899</c:v>
                </c:pt>
                <c:pt idx="716">
                  <c:v>-7.0193445650115542</c:v>
                </c:pt>
                <c:pt idx="717">
                  <c:v>-7.0249301819443311</c:v>
                </c:pt>
                <c:pt idx="718">
                  <c:v>-7.0305158180756449</c:v>
                </c:pt>
                <c:pt idx="719">
                  <c:v>-7.0361014734049201</c:v>
                </c:pt>
                <c:pt idx="720">
                  <c:v>-7.0416871479315812</c:v>
                </c:pt>
                <c:pt idx="721">
                  <c:v>-7.0472728416550527</c:v>
                </c:pt>
                <c:pt idx="722">
                  <c:v>-7.05285855457476</c:v>
                </c:pt>
                <c:pt idx="723">
                  <c:v>-7.0584442866901265</c:v>
                </c:pt>
                <c:pt idx="724">
                  <c:v>-7.0640300380005776</c:v>
                </c:pt>
                <c:pt idx="725">
                  <c:v>-7.0696158085055369</c:v>
                </c:pt>
                <c:pt idx="726">
                  <c:v>-7.0752015982044298</c:v>
                </c:pt>
                <c:pt idx="727">
                  <c:v>-7.0807874070966808</c:v>
                </c:pt>
                <c:pt idx="728">
                  <c:v>-7.086373235181715</c:v>
                </c:pt>
                <c:pt idx="729">
                  <c:v>-7.0919590824589562</c:v>
                </c:pt>
                <c:pt idx="730">
                  <c:v>-7.0975449489278297</c:v>
                </c:pt>
                <c:pt idx="731">
                  <c:v>-7.10313083458776</c:v>
                </c:pt>
                <c:pt idx="732">
                  <c:v>-7.1087167394381723</c:v>
                </c:pt>
                <c:pt idx="733">
                  <c:v>-7.1143026634784903</c:v>
                </c:pt>
                <c:pt idx="734">
                  <c:v>-7.1198886067081393</c:v>
                </c:pt>
                <c:pt idx="735">
                  <c:v>-7.1254745691265438</c:v>
                </c:pt>
                <c:pt idx="736">
                  <c:v>-7.1310605507331291</c:v>
                </c:pt>
                <c:pt idx="737">
                  <c:v>-7.1366465515273196</c:v>
                </c:pt>
                <c:pt idx="738">
                  <c:v>-7.14223257150854</c:v>
                </c:pt>
                <c:pt idx="739">
                  <c:v>-7.1478186106762154</c:v>
                </c:pt>
                <c:pt idx="740">
                  <c:v>-7.1534046690297703</c:v>
                </c:pt>
                <c:pt idx="741">
                  <c:v>-7.1589907465686302</c:v>
                </c:pt>
                <c:pt idx="742">
                  <c:v>-7.1645768432922186</c:v>
                </c:pt>
                <c:pt idx="743">
                  <c:v>-7.1701629591999616</c:v>
                </c:pt>
                <c:pt idx="744">
                  <c:v>-7.1757490942912838</c:v>
                </c:pt>
                <c:pt idx="745">
                  <c:v>-7.1813352485656097</c:v>
                </c:pt>
                <c:pt idx="746">
                  <c:v>-7.1869214220223645</c:v>
                </c:pt>
                <c:pt idx="747">
                  <c:v>-7.1925076146609728</c:v>
                </c:pt>
                <c:pt idx="748">
                  <c:v>-7.1980938264808598</c:v>
                </c:pt>
                <c:pt idx="749">
                  <c:v>-7.2036800574814501</c:v>
                </c:pt>
                <c:pt idx="750">
                  <c:v>-7.209266307662169</c:v>
                </c:pt>
                <c:pt idx="751">
                  <c:v>-7.214852577022441</c:v>
                </c:pt>
                <c:pt idx="752">
                  <c:v>-7.2204388655616913</c:v>
                </c:pt>
                <c:pt idx="753">
                  <c:v>-7.2260251732793455</c:v>
                </c:pt>
                <c:pt idx="754">
                  <c:v>-7.2316115001748278</c:v>
                </c:pt>
                <c:pt idx="755">
                  <c:v>-7.2371978462475637</c:v>
                </c:pt>
                <c:pt idx="756">
                  <c:v>-7.2427842114969776</c:v>
                </c:pt>
                <c:pt idx="757">
                  <c:v>-7.2483705959224958</c:v>
                </c:pt>
                <c:pt idx="758">
                  <c:v>-7.2539569995235418</c:v>
                </c:pt>
                <c:pt idx="759">
                  <c:v>-7.2595434222995419</c:v>
                </c:pt>
                <c:pt idx="760">
                  <c:v>-7.2651298642499205</c:v>
                </c:pt>
                <c:pt idx="761">
                  <c:v>-7.270716325374103</c:v>
                </c:pt>
                <c:pt idx="762">
                  <c:v>-7.2763028056715138</c:v>
                </c:pt>
                <c:pt idx="763">
                  <c:v>-7.2818893051415792</c:v>
                </c:pt>
                <c:pt idx="764">
                  <c:v>-7.2874758237837236</c:v>
                </c:pt>
                <c:pt idx="765">
                  <c:v>-7.2930623615973724</c:v>
                </c:pt>
                <c:pt idx="766">
                  <c:v>-7.2986489185819501</c:v>
                </c:pt>
                <c:pt idx="767">
                  <c:v>-7.3042354947368828</c:v>
                </c:pt>
                <c:pt idx="768">
                  <c:v>-7.3098220900615951</c:v>
                </c:pt>
                <c:pt idx="769">
                  <c:v>-7.3154087045555123</c:v>
                </c:pt>
                <c:pt idx="770">
                  <c:v>-7.3209953382180597</c:v>
                </c:pt>
                <c:pt idx="771">
                  <c:v>-7.3265819910486627</c:v>
                </c:pt>
                <c:pt idx="772">
                  <c:v>-7.3321686630467457</c:v>
                </c:pt>
                <c:pt idx="773">
                  <c:v>-7.3377553542117351</c:v>
                </c:pt>
                <c:pt idx="774">
                  <c:v>-7.3433420645430552</c:v>
                </c:pt>
                <c:pt idx="775">
                  <c:v>-7.3489287940401322</c:v>
                </c:pt>
                <c:pt idx="776">
                  <c:v>-7.3545155427023907</c:v>
                </c:pt>
                <c:pt idx="777">
                  <c:v>-7.360102310529256</c:v>
                </c:pt>
                <c:pt idx="778">
                  <c:v>-7.3656890975201543</c:v>
                </c:pt>
                <c:pt idx="779">
                  <c:v>-7.3712759036745101</c:v>
                </c:pt>
                <c:pt idx="780">
                  <c:v>-7.3768627289917488</c:v>
                </c:pt>
                <c:pt idx="781">
                  <c:v>-7.3824495734712956</c:v>
                </c:pt>
                <c:pt idx="782">
                  <c:v>-7.3880364371125768</c:v>
                </c:pt>
                <c:pt idx="783">
                  <c:v>-7.393623319915017</c:v>
                </c:pt>
                <c:pt idx="784">
                  <c:v>-7.3992102218780413</c:v>
                </c:pt>
                <c:pt idx="785">
                  <c:v>-7.4047971430010762</c:v>
                </c:pt>
                <c:pt idx="786">
                  <c:v>-7.4103840832835459</c:v>
                </c:pt>
                <c:pt idx="787">
                  <c:v>-7.4159710427248768</c:v>
                </c:pt>
                <c:pt idx="788">
                  <c:v>-7.4215580213244943</c:v>
                </c:pt>
                <c:pt idx="789">
                  <c:v>-7.4271450190818227</c:v>
                </c:pt>
                <c:pt idx="790">
                  <c:v>-7.4327320359962883</c:v>
                </c:pt>
                <c:pt idx="791">
                  <c:v>-7.4383190720673174</c:v>
                </c:pt>
                <c:pt idx="792">
                  <c:v>-7.4439061272943343</c:v>
                </c:pt>
                <c:pt idx="793">
                  <c:v>-7.4494932016767645</c:v>
                </c:pt>
                <c:pt idx="794">
                  <c:v>-7.4550802952140343</c:v>
                </c:pt>
                <c:pt idx="795">
                  <c:v>-7.4606674079055688</c:v>
                </c:pt>
                <c:pt idx="796">
                  <c:v>-7.4662545397507936</c:v>
                </c:pt>
                <c:pt idx="797">
                  <c:v>-7.4718416907491347</c:v>
                </c:pt>
                <c:pt idx="798">
                  <c:v>-7.4774288609000177</c:v>
                </c:pt>
                <c:pt idx="799">
                  <c:v>-7.4830160502028678</c:v>
                </c:pt>
                <c:pt idx="800">
                  <c:v>-7.4886032586571103</c:v>
                </c:pt>
                <c:pt idx="801">
                  <c:v>-7.4941904862621707</c:v>
                </c:pt>
                <c:pt idx="802">
                  <c:v>-7.4997777330174751</c:v>
                </c:pt>
                <c:pt idx="803">
                  <c:v>-7.5053649989224498</c:v>
                </c:pt>
                <c:pt idx="804">
                  <c:v>-7.5109522839765193</c:v>
                </c:pt>
                <c:pt idx="805">
                  <c:v>-7.5165395881791097</c:v>
                </c:pt>
                <c:pt idx="806">
                  <c:v>-7.5221269115296474</c:v>
                </c:pt>
                <c:pt idx="807">
                  <c:v>-7.5277142540275568</c:v>
                </c:pt>
                <c:pt idx="808">
                  <c:v>-7.533301615672265</c:v>
                </c:pt>
                <c:pt idx="809">
                  <c:v>-7.5388889964631964</c:v>
                </c:pt>
                <c:pt idx="810">
                  <c:v>-7.5444763963997774</c:v>
                </c:pt>
                <c:pt idx="811">
                  <c:v>-7.5500638154814341</c:v>
                </c:pt>
                <c:pt idx="812">
                  <c:v>-7.5556512537075919</c:v>
                </c:pt>
                <c:pt idx="813">
                  <c:v>-7.5612387110776762</c:v>
                </c:pt>
                <c:pt idx="814">
                  <c:v>-7.5668261875911131</c:v>
                </c:pt>
                <c:pt idx="815">
                  <c:v>-7.572413683247329</c:v>
                </c:pt>
                <c:pt idx="816">
                  <c:v>-7.5780011980457491</c:v>
                </c:pt>
                <c:pt idx="817">
                  <c:v>-7.5835887319857997</c:v>
                </c:pt>
                <c:pt idx="818">
                  <c:v>-7.5891762850669062</c:v>
                </c:pt>
                <c:pt idx="819">
                  <c:v>-7.5947638572884948</c:v>
                </c:pt>
                <c:pt idx="820">
                  <c:v>-7.6003514486499908</c:v>
                </c:pt>
                <c:pt idx="821">
                  <c:v>-7.6059390591508205</c:v>
                </c:pt>
                <c:pt idx="822">
                  <c:v>-7.6115266887904101</c:v>
                </c:pt>
                <c:pt idx="823">
                  <c:v>-7.6171143375681849</c:v>
                </c:pt>
                <c:pt idx="824">
                  <c:v>-7.6227020054835712</c:v>
                </c:pt>
                <c:pt idx="825">
                  <c:v>-7.6282896925359944</c:v>
                </c:pt>
                <c:pt idx="826">
                  <c:v>-7.6338773987248816</c:v>
                </c:pt>
                <c:pt idx="827">
                  <c:v>-7.6394651240496581</c:v>
                </c:pt>
                <c:pt idx="828">
                  <c:v>-7.6450528685097492</c:v>
                </c:pt>
                <c:pt idx="829">
                  <c:v>-7.6506406321045821</c:v>
                </c:pt>
                <c:pt idx="830">
                  <c:v>-7.6562284148335822</c:v>
                </c:pt>
                <c:pt idx="831">
                  <c:v>-7.6618162166961756</c:v>
                </c:pt>
                <c:pt idx="832">
                  <c:v>-7.6674040376917887</c:v>
                </c:pt>
                <c:pt idx="833">
                  <c:v>-7.6729918778198467</c:v>
                </c:pt>
                <c:pt idx="834">
                  <c:v>-7.6785797370797759</c:v>
                </c:pt>
                <c:pt idx="835">
                  <c:v>-7.6841676154710035</c:v>
                </c:pt>
                <c:pt idx="836">
                  <c:v>-7.6897555129929547</c:v>
                </c:pt>
                <c:pt idx="837">
                  <c:v>-7.6953434296450549</c:v>
                </c:pt>
                <c:pt idx="838">
                  <c:v>-7.7009313654267313</c:v>
                </c:pt>
                <c:pt idx="839">
                  <c:v>-7.7065193203374101</c:v>
                </c:pt>
                <c:pt idx="840">
                  <c:v>-7.7121072943765165</c:v>
                </c:pt>
                <c:pt idx="841">
                  <c:v>-7.7176952875434779</c:v>
                </c:pt>
                <c:pt idx="842">
                  <c:v>-7.7232832998377194</c:v>
                </c:pt>
                <c:pt idx="843">
                  <c:v>-7.7288713312586674</c:v>
                </c:pt>
                <c:pt idx="844">
                  <c:v>-7.7344593818057481</c:v>
                </c:pt>
                <c:pt idx="845">
                  <c:v>-7.7400474514783877</c:v>
                </c:pt>
                <c:pt idx="846">
                  <c:v>-7.7456355402760133</c:v>
                </c:pt>
                <c:pt idx="847">
                  <c:v>-7.7512236481980503</c:v>
                </c:pt>
                <c:pt idx="848">
                  <c:v>-7.756811775243925</c:v>
                </c:pt>
                <c:pt idx="849">
                  <c:v>-7.7623999214130635</c:v>
                </c:pt>
                <c:pt idx="850">
                  <c:v>-7.767988086704892</c:v>
                </c:pt>
                <c:pt idx="851">
                  <c:v>-7.7735762711188379</c:v>
                </c:pt>
                <c:pt idx="852">
                  <c:v>-7.7791644746543263</c:v>
                </c:pt>
                <c:pt idx="853">
                  <c:v>-7.7847526973107843</c:v>
                </c:pt>
                <c:pt idx="854">
                  <c:v>-7.7903409390876375</c:v>
                </c:pt>
                <c:pt idx="855">
                  <c:v>-7.7959291999843128</c:v>
                </c:pt>
                <c:pt idx="856">
                  <c:v>-7.8015174800002365</c:v>
                </c:pt>
                <c:pt idx="857">
                  <c:v>-7.8071057791348348</c:v>
                </c:pt>
                <c:pt idx="858">
                  <c:v>-7.8126940973875341</c:v>
                </c:pt>
                <c:pt idx="859">
                  <c:v>-7.8182824347577604</c:v>
                </c:pt>
                <c:pt idx="860">
                  <c:v>-7.823870791244941</c:v>
                </c:pt>
                <c:pt idx="861">
                  <c:v>-7.8294591668485021</c:v>
                </c:pt>
                <c:pt idx="862">
                  <c:v>-7.8350475615678699</c:v>
                </c:pt>
                <c:pt idx="863">
                  <c:v>-7.8406359754024706</c:v>
                </c:pt>
                <c:pt idx="864">
                  <c:v>-7.8462244083517314</c:v>
                </c:pt>
                <c:pt idx="865">
                  <c:v>-7.8518128604150776</c:v>
                </c:pt>
                <c:pt idx="866">
                  <c:v>-7.8574013315919364</c:v>
                </c:pt>
                <c:pt idx="867">
                  <c:v>-7.8629898218817349</c:v>
                </c:pt>
                <c:pt idx="868">
                  <c:v>-7.8685783312838984</c:v>
                </c:pt>
                <c:pt idx="869">
                  <c:v>-7.874166859797854</c:v>
                </c:pt>
                <c:pt idx="870">
                  <c:v>-7.8797554074230289</c:v>
                </c:pt>
                <c:pt idx="871">
                  <c:v>-7.8853439741588485</c:v>
                </c:pt>
                <c:pt idx="872">
                  <c:v>-7.8909325600047406</c:v>
                </c:pt>
                <c:pt idx="873">
                  <c:v>-7.8965211649601308</c:v>
                </c:pt>
                <c:pt idx="874">
                  <c:v>-7.9021097890244461</c:v>
                </c:pt>
                <c:pt idx="875">
                  <c:v>-7.9076984321971127</c:v>
                </c:pt>
                <c:pt idx="876">
                  <c:v>-7.9132870944775577</c:v>
                </c:pt>
                <c:pt idx="877">
                  <c:v>-7.9188757758652075</c:v>
                </c:pt>
                <c:pt idx="878">
                  <c:v>-7.9244644763594891</c:v>
                </c:pt>
                <c:pt idx="879">
                  <c:v>-7.9300531959598288</c:v>
                </c:pt>
                <c:pt idx="880">
                  <c:v>-7.9356419346656537</c:v>
                </c:pt>
                <c:pt idx="881">
                  <c:v>-7.94123069247639</c:v>
                </c:pt>
                <c:pt idx="882">
                  <c:v>-7.9468194693914649</c:v>
                </c:pt>
                <c:pt idx="883">
                  <c:v>-7.9524082654103045</c:v>
                </c:pt>
                <c:pt idx="884">
                  <c:v>-7.9579970805323361</c:v>
                </c:pt>
                <c:pt idx="885">
                  <c:v>-7.9635859147569859</c:v>
                </c:pt>
                <c:pt idx="886">
                  <c:v>-7.9691747680836809</c:v>
                </c:pt>
                <c:pt idx="887">
                  <c:v>-7.9747636405118483</c:v>
                </c:pt>
                <c:pt idx="888">
                  <c:v>-7.9803525320409143</c:v>
                </c:pt>
                <c:pt idx="889">
                  <c:v>-7.9859414426703053</c:v>
                </c:pt>
                <c:pt idx="890">
                  <c:v>-7.9915303723994491</c:v>
                </c:pt>
                <c:pt idx="891">
                  <c:v>-7.997119321227772</c:v>
                </c:pt>
                <c:pt idx="892">
                  <c:v>-8.0027082891547003</c:v>
                </c:pt>
                <c:pt idx="893">
                  <c:v>-8.0082972761796629</c:v>
                </c:pt>
                <c:pt idx="894">
                  <c:v>-8.0138862823020851</c:v>
                </c:pt>
                <c:pt idx="895">
                  <c:v>-8.0194753075213931</c:v>
                </c:pt>
                <c:pt idx="896">
                  <c:v>-8.0250643518370151</c:v>
                </c:pt>
                <c:pt idx="897">
                  <c:v>-8.0306534152483771</c:v>
                </c:pt>
                <c:pt idx="898">
                  <c:v>-8.0362424977549072</c:v>
                </c:pt>
                <c:pt idx="899">
                  <c:v>-8.0418315993560316</c:v>
                </c:pt>
                <c:pt idx="900">
                  <c:v>-8.0474207200511767</c:v>
                </c:pt>
                <c:pt idx="901">
                  <c:v>-8.0530098598397704</c:v>
                </c:pt>
                <c:pt idx="902">
                  <c:v>-8.0585990187212388</c:v>
                </c:pt>
                <c:pt idx="903">
                  <c:v>-8.0641881966950102</c:v>
                </c:pt>
                <c:pt idx="904">
                  <c:v>-8.0697773937605106</c:v>
                </c:pt>
                <c:pt idx="905">
                  <c:v>-8.0753666099171664</c:v>
                </c:pt>
                <c:pt idx="906">
                  <c:v>-8.0809558451644055</c:v>
                </c:pt>
                <c:pt idx="907">
                  <c:v>-8.0865450995016559</c:v>
                </c:pt>
                <c:pt idx="908">
                  <c:v>-8.0921343729283421</c:v>
                </c:pt>
                <c:pt idx="909">
                  <c:v>-8.097723665443894</c:v>
                </c:pt>
                <c:pt idx="910">
                  <c:v>-8.1033129770477377</c:v>
                </c:pt>
                <c:pt idx="911">
                  <c:v>-8.1089023077392994</c:v>
                </c:pt>
                <c:pt idx="912">
                  <c:v>-8.1144916575180073</c:v>
                </c:pt>
                <c:pt idx="913">
                  <c:v>-8.1200810263832874</c:v>
                </c:pt>
                <c:pt idx="914">
                  <c:v>-8.1256704143345679</c:v>
                </c:pt>
                <c:pt idx="915">
                  <c:v>-8.131259821371275</c:v>
                </c:pt>
                <c:pt idx="916">
                  <c:v>-8.1368492474928367</c:v>
                </c:pt>
                <c:pt idx="917">
                  <c:v>-8.1424386926986791</c:v>
                </c:pt>
                <c:pt idx="918">
                  <c:v>-8.1480281569882305</c:v>
                </c:pt>
                <c:pt idx="919">
                  <c:v>-8.1536176403609169</c:v>
                </c:pt>
                <c:pt idx="920">
                  <c:v>-8.1592071428161663</c:v>
                </c:pt>
                <c:pt idx="921">
                  <c:v>-8.1647966643534051</c:v>
                </c:pt>
                <c:pt idx="922">
                  <c:v>-8.1703862049720613</c:v>
                </c:pt>
                <c:pt idx="923">
                  <c:v>-8.1759757646715627</c:v>
                </c:pt>
                <c:pt idx="924">
                  <c:v>-8.1815653434513358</c:v>
                </c:pt>
                <c:pt idx="925">
                  <c:v>-8.1871549413108085</c:v>
                </c:pt>
                <c:pt idx="926">
                  <c:v>-8.1927445582494069</c:v>
                </c:pt>
                <c:pt idx="927">
                  <c:v>-8.1983341942665593</c:v>
                </c:pt>
                <c:pt idx="928">
                  <c:v>-8.2039238493616935</c:v>
                </c:pt>
                <c:pt idx="929">
                  <c:v>-8.2095135235342358</c:v>
                </c:pt>
                <c:pt idx="930">
                  <c:v>-8.2151032167836142</c:v>
                </c:pt>
                <c:pt idx="931">
                  <c:v>-8.220692929109255</c:v>
                </c:pt>
                <c:pt idx="932">
                  <c:v>-8.2262826605105879</c:v>
                </c:pt>
                <c:pt idx="933">
                  <c:v>-8.2318724109870374</c:v>
                </c:pt>
                <c:pt idx="934">
                  <c:v>-8.2374621805380333</c:v>
                </c:pt>
                <c:pt idx="935">
                  <c:v>-8.2430519691630018</c:v>
                </c:pt>
                <c:pt idx="936">
                  <c:v>-8.2486417768613691</c:v>
                </c:pt>
                <c:pt idx="937">
                  <c:v>-8.2542316036325651</c:v>
                </c:pt>
                <c:pt idx="938">
                  <c:v>-8.259821449476016</c:v>
                </c:pt>
                <c:pt idx="939">
                  <c:v>-8.2654113143911498</c:v>
                </c:pt>
                <c:pt idx="940">
                  <c:v>-8.2710011983773928</c:v>
                </c:pt>
                <c:pt idx="941">
                  <c:v>-8.2765911014341729</c:v>
                </c:pt>
                <c:pt idx="942">
                  <c:v>-8.2821810235609181</c:v>
                </c:pt>
                <c:pt idx="943">
                  <c:v>-8.2877709647570565</c:v>
                </c:pt>
                <c:pt idx="944">
                  <c:v>-8.2933609250220144</c:v>
                </c:pt>
                <c:pt idx="945">
                  <c:v>-8.2989509043552196</c:v>
                </c:pt>
                <c:pt idx="946">
                  <c:v>-8.3045409027561004</c:v>
                </c:pt>
                <c:pt idx="947">
                  <c:v>-8.3101309202240845</c:v>
                </c:pt>
                <c:pt idx="948">
                  <c:v>-8.3157209567585983</c:v>
                </c:pt>
                <c:pt idx="949">
                  <c:v>-8.3213110123590699</c:v>
                </c:pt>
                <c:pt idx="950">
                  <c:v>-8.3269010870249272</c:v>
                </c:pt>
                <c:pt idx="951">
                  <c:v>-8.3324911807555981</c:v>
                </c:pt>
                <c:pt idx="952">
                  <c:v>-8.3380812935505091</c:v>
                </c:pt>
                <c:pt idx="953">
                  <c:v>-8.343671425409088</c:v>
                </c:pt>
                <c:pt idx="954">
                  <c:v>-8.3492615763307629</c:v>
                </c:pt>
                <c:pt idx="955">
                  <c:v>-8.3548517463149619</c:v>
                </c:pt>
                <c:pt idx="956">
                  <c:v>-8.3604419353611128</c:v>
                </c:pt>
                <c:pt idx="957">
                  <c:v>-8.366032143468642</c:v>
                </c:pt>
                <c:pt idx="958">
                  <c:v>-8.3716223706369792</c:v>
                </c:pt>
                <c:pt idx="959">
                  <c:v>-8.3772126168655507</c:v>
                </c:pt>
                <c:pt idx="960">
                  <c:v>-8.3828028821537846</c:v>
                </c:pt>
                <c:pt idx="961">
                  <c:v>-8.3883931665011087</c:v>
                </c:pt>
                <c:pt idx="962">
                  <c:v>-8.3939834699069493</c:v>
                </c:pt>
                <c:pt idx="963">
                  <c:v>-8.3995737923707363</c:v>
                </c:pt>
                <c:pt idx="964">
                  <c:v>-8.4051641338918959</c:v>
                </c:pt>
                <c:pt idx="965">
                  <c:v>-8.4107544944698578</c:v>
                </c:pt>
                <c:pt idx="966">
                  <c:v>-8.4163448741040483</c:v>
                </c:pt>
                <c:pt idx="967">
                  <c:v>-8.4219352727938954</c:v>
                </c:pt>
                <c:pt idx="968">
                  <c:v>-8.4275256905388272</c:v>
                </c:pt>
                <c:pt idx="969">
                  <c:v>-8.4331161273382715</c:v>
                </c:pt>
                <c:pt idx="970">
                  <c:v>-8.4387065831916566</c:v>
                </c:pt>
                <c:pt idx="971">
                  <c:v>-8.4442970580984102</c:v>
                </c:pt>
                <c:pt idx="972">
                  <c:v>-8.4498875520579606</c:v>
                </c:pt>
                <c:pt idx="973">
                  <c:v>-8.4554780650697356</c:v>
                </c:pt>
                <c:pt idx="974">
                  <c:v>-8.4610685971331616</c:v>
                </c:pt>
                <c:pt idx="975">
                  <c:v>-8.4666591482476683</c:v>
                </c:pt>
                <c:pt idx="976">
                  <c:v>-8.4722497184126819</c:v>
                </c:pt>
                <c:pt idx="977">
                  <c:v>-8.4778403076276323</c:v>
                </c:pt>
                <c:pt idx="978">
                  <c:v>-8.4834309158919474</c:v>
                </c:pt>
                <c:pt idx="979">
                  <c:v>-8.4890215432050535</c:v>
                </c:pt>
                <c:pt idx="980">
                  <c:v>-8.4946121895663804</c:v>
                </c:pt>
                <c:pt idx="981">
                  <c:v>-8.5002028549753543</c:v>
                </c:pt>
                <c:pt idx="982">
                  <c:v>-8.505793539431405</c:v>
                </c:pt>
                <c:pt idx="983">
                  <c:v>-8.5113842429339588</c:v>
                </c:pt>
                <c:pt idx="984">
                  <c:v>-8.5169749654824454</c:v>
                </c:pt>
                <c:pt idx="985">
                  <c:v>-8.5225657070762928</c:v>
                </c:pt>
                <c:pt idx="986">
                  <c:v>-8.5281564677149273</c:v>
                </c:pt>
                <c:pt idx="987">
                  <c:v>-8.5337472473977787</c:v>
                </c:pt>
                <c:pt idx="988">
                  <c:v>-8.5393380461242749</c:v>
                </c:pt>
                <c:pt idx="989">
                  <c:v>-8.5449288638938441</c:v>
                </c:pt>
                <c:pt idx="990">
                  <c:v>-8.5505197007059142</c:v>
                </c:pt>
                <c:pt idx="991">
                  <c:v>-8.5561105565599131</c:v>
                </c:pt>
                <c:pt idx="992">
                  <c:v>-8.5617014314552691</c:v>
                </c:pt>
                <c:pt idx="993">
                  <c:v>-8.5672923253914099</c:v>
                </c:pt>
                <c:pt idx="994">
                  <c:v>-8.5728832383677638</c:v>
                </c:pt>
                <c:pt idx="995">
                  <c:v>-8.5784741703837604</c:v>
                </c:pt>
                <c:pt idx="996">
                  <c:v>-8.5840651214388259</c:v>
                </c:pt>
                <c:pt idx="997">
                  <c:v>-8.5896560915323903</c:v>
                </c:pt>
                <c:pt idx="998">
                  <c:v>-8.5952470806638814</c:v>
                </c:pt>
                <c:pt idx="999">
                  <c:v>-8.6008380888327274</c:v>
                </c:pt>
                <c:pt idx="1000">
                  <c:v>-8.6064291160383561</c:v>
                </c:pt>
              </c:numCache>
            </c:numRef>
          </c:yVal>
        </c:ser>
        <c:axId val="149619072"/>
        <c:axId val="149620992"/>
      </c:scatterChart>
      <c:valAx>
        <c:axId val="149619072"/>
        <c:scaling>
          <c:orientation val="minMax"/>
        </c:scaling>
        <c:axPos val="b"/>
        <c:majorGridlines>
          <c:spPr>
            <a:ln w="3175">
              <a:solidFill>
                <a:srgbClr val="000000"/>
              </a:solidFill>
              <a:prstDash val="sysDash"/>
            </a:ln>
          </c:spPr>
        </c:majorGridlines>
        <c:title>
          <c:tx>
            <c:strRef>
              <c:f>Courbes!$B$146</c:f>
              <c:strCache>
                <c:ptCount val="1"/>
                <c:pt idx="0">
                  <c:v>Temps [s]</c:v>
                </c:pt>
              </c:strCache>
            </c:strRef>
          </c:tx>
          <c:layout/>
          <c:txPr>
            <a:bodyPr/>
            <a:lstStyle/>
            <a:p>
              <a:pPr>
                <a:defRPr sz="1000" b="0" i="0" u="none" strike="noStrike" baseline="0">
                  <a:solidFill>
                    <a:srgbClr val="000000"/>
                  </a:solidFill>
                  <a:latin typeface="Arial"/>
                  <a:ea typeface="Arial"/>
                  <a:cs typeface="Arial"/>
                </a:defRPr>
              </a:pPr>
              <a:endParaRPr lang="fr-FR"/>
            </a:p>
          </c:txPr>
        </c:title>
        <c:numFmt formatCode="0" sourceLinked="0"/>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spPr>
            <a:noFill/>
            <a:ln w="25400">
              <a:noFill/>
            </a:ln>
          </c:spPr>
        </c:title>
        <c:numFmt formatCode="0" sourceLinked="0"/>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c:lang val="fr-FR"/>
  <c:chart>
    <c:title>
      <c:tx>
        <c:strRef>
          <c:f>Propu!$A$2</c:f>
          <c:strCache>
            <c:ptCount val="1"/>
            <c:pt idx="0">
              <c:v>p29-1G 56F31</c:v>
            </c:pt>
          </c:strCache>
        </c:strRef>
      </c:tx>
      <c:layout>
        <c:manualLayout>
          <c:xMode val="edge"/>
          <c:yMode val="edge"/>
          <c:x val="0.47127077646762688"/>
          <c:y val="3.9178592393174498E-2"/>
        </c:manualLayout>
      </c:layout>
      <c:txPr>
        <a:bodyPr/>
        <a:lstStyle/>
        <a:p>
          <a:pPr>
            <a:defRPr sz="1200" b="0" i="0" u="none" strike="noStrike" baseline="0">
              <a:solidFill>
                <a:srgbClr val="000000"/>
              </a:solidFill>
              <a:latin typeface="Arial"/>
              <a:ea typeface="Arial"/>
              <a:cs typeface="Arial"/>
            </a:defRPr>
          </a:pPr>
          <a:endParaRPr lang="fr-FR"/>
        </a:p>
      </c:txPr>
    </c:title>
    <c:plotArea>
      <c:layout>
        <c:manualLayout>
          <c:layoutTarget val="inner"/>
          <c:xMode val="edge"/>
          <c:yMode val="edge"/>
          <c:x val="7.2496559551677733E-2"/>
          <c:y val="5.5426586068345711E-2"/>
          <c:w val="0.88973722710617964"/>
          <c:h val="0.82390179871348956"/>
        </c:manualLayout>
      </c:layout>
      <c:scatterChart>
        <c:scatterStyle val="lineMarker"/>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1E-3</c:v>
                </c:pt>
                <c:pt idx="2">
                  <c:v>2.3E-2</c:v>
                </c:pt>
                <c:pt idx="3">
                  <c:v>0.05</c:v>
                </c:pt>
                <c:pt idx="4">
                  <c:v>5.8999999999999997E-2</c:v>
                </c:pt>
                <c:pt idx="5">
                  <c:v>9.5000000000000001E-2</c:v>
                </c:pt>
                <c:pt idx="6">
                  <c:v>0.21199999999999999</c:v>
                </c:pt>
                <c:pt idx="7">
                  <c:v>0.34399999999999997</c:v>
                </c:pt>
                <c:pt idx="8">
                  <c:v>1.5669999999999999</c:v>
                </c:pt>
                <c:pt idx="9">
                  <c:v>1.631</c:v>
                </c:pt>
                <c:pt idx="10">
                  <c:v>1.663</c:v>
                </c:pt>
                <c:pt idx="11">
                  <c:v>1.7849999999999999</c:v>
                </c:pt>
                <c:pt idx="12">
                  <c:v>1.8280000000000001</c:v>
                </c:pt>
                <c:pt idx="13">
                  <c:v>2</c:v>
                </c:pt>
                <c:pt idx="14">
                  <c:v>2</c:v>
                </c:pt>
                <c:pt idx="15">
                  <c:v>2</c:v>
                </c:pt>
                <c:pt idx="16">
                  <c:v>2</c:v>
                </c:pt>
                <c:pt idx="17">
                  <c:v>2</c:v>
                </c:pt>
                <c:pt idx="18">
                  <c:v>2</c:v>
                </c:pt>
                <c:pt idx="19">
                  <c:v>2</c:v>
                </c:pt>
                <c:pt idx="20">
                  <c:v>2</c:v>
                </c:pt>
                <c:pt idx="21">
                  <c:v>2</c:v>
                </c:pt>
                <c:pt idx="22">
                  <c:v>2</c:v>
                </c:pt>
              </c:numCache>
            </c:numRef>
          </c:xVal>
          <c:yVal>
            <c:numRef>
              <c:f>Propu!$B$4:$X$4</c:f>
              <c:numCache>
                <c:formatCode>General</c:formatCode>
                <c:ptCount val="23"/>
                <c:pt idx="0">
                  <c:v>0</c:v>
                </c:pt>
                <c:pt idx="1">
                  <c:v>3.4830000000000001</c:v>
                </c:pt>
                <c:pt idx="2">
                  <c:v>64.052999999999997</c:v>
                </c:pt>
                <c:pt idx="3">
                  <c:v>31.347000000000001</c:v>
                </c:pt>
                <c:pt idx="4">
                  <c:v>28.459</c:v>
                </c:pt>
                <c:pt idx="5">
                  <c:v>32.027000000000001</c:v>
                </c:pt>
                <c:pt idx="6">
                  <c:v>36.189</c:v>
                </c:pt>
                <c:pt idx="7">
                  <c:v>37.548999999999999</c:v>
                </c:pt>
                <c:pt idx="8">
                  <c:v>26.164999999999999</c:v>
                </c:pt>
                <c:pt idx="9">
                  <c:v>26.93</c:v>
                </c:pt>
                <c:pt idx="10">
                  <c:v>25.315999999999999</c:v>
                </c:pt>
                <c:pt idx="11">
                  <c:v>3.653</c:v>
                </c:pt>
                <c:pt idx="12">
                  <c:v>0</c:v>
                </c:pt>
                <c:pt idx="13">
                  <c:v>0</c:v>
                </c:pt>
                <c:pt idx="14">
                  <c:v>0</c:v>
                </c:pt>
                <c:pt idx="15">
                  <c:v>0</c:v>
                </c:pt>
                <c:pt idx="16">
                  <c:v>0</c:v>
                </c:pt>
                <c:pt idx="17">
                  <c:v>0</c:v>
                </c:pt>
                <c:pt idx="18">
                  <c:v>0</c:v>
                </c:pt>
                <c:pt idx="19">
                  <c:v>0</c:v>
                </c:pt>
                <c:pt idx="20">
                  <c:v>0</c:v>
                </c:pt>
                <c:pt idx="21">
                  <c:v>0</c:v>
                </c:pt>
                <c:pt idx="22">
                  <c:v>0</c:v>
                </c:pt>
              </c:numCache>
            </c:numRef>
          </c:yVal>
        </c:ser>
        <c:axId val="193428480"/>
        <c:axId val="193451520"/>
      </c:scatterChart>
      <c:valAx>
        <c:axId val="193428480"/>
        <c:scaling>
          <c:orientation val="minMax"/>
        </c:scaling>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spPr>
            <a:noFill/>
            <a:ln w="25400">
              <a:noFill/>
            </a:ln>
          </c:spPr>
        </c:title>
        <c:numFmt formatCode="General" sourceLinked="1"/>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spPr>
            <a:noFill/>
            <a:ln w="25400">
              <a:noFill/>
            </a:ln>
          </c:spPr>
        </c:title>
        <c:numFmt formatCode="General" sourceLinked="1"/>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dispBlanksAs val="gap"/>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14.emf"/><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xdr:cNvGrpSpPr>
          <a:grpSpLocks/>
        </xdr:cNvGrpSpPr>
      </xdr:nvGrpSpPr>
      <xdr:grpSpPr bwMode="auto">
        <a:xfrm>
          <a:off x="7727950" y="184150"/>
          <a:ext cx="463550" cy="114300"/>
          <a:chOff x="7067550" y="190500"/>
          <a:chExt cx="438150" cy="114300"/>
        </a:xfrm>
      </xdr:grpSpPr>
      <xdr:pic>
        <xdr:nvPicPr>
          <xdr:cNvPr id="5096999" name="Image 1"/>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5096996" name="Picture 8" descr="logoplasci"/>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37</xdr:row>
      <xdr:rowOff>0</xdr:rowOff>
    </xdr:from>
    <xdr:to>
      <xdr:col>2</xdr:col>
      <xdr:colOff>850900</xdr:colOff>
      <xdr:row>48</xdr:row>
      <xdr:rowOff>69850</xdr:rowOff>
    </xdr:to>
    <xdr:pic>
      <xdr:nvPicPr>
        <xdr:cNvPr id="5096997" name="Image 1"/>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565150</xdr:colOff>
      <xdr:row>9</xdr:row>
      <xdr:rowOff>12700</xdr:rowOff>
    </xdr:to>
    <xdr:pic>
      <xdr:nvPicPr>
        <xdr:cNvPr id="5096998" name="Image 2"/>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9</xdr:col>
      <xdr:colOff>0</xdr:colOff>
      <xdr:row>20</xdr:row>
      <xdr:rowOff>0</xdr:rowOff>
    </xdr:to>
    <xdr:graphicFrame macro="">
      <xdr:nvGraphicFramePr>
        <xdr:cNvPr id="477998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20</xdr:row>
      <xdr:rowOff>0</xdr:rowOff>
    </xdr:to>
    <xdr:graphicFrame macro="">
      <xdr:nvGraphicFramePr>
        <xdr:cNvPr id="4779984"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4779985" name="Picture 8" descr="logoplasci"/>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139700</xdr:colOff>
      <xdr:row>38</xdr:row>
      <xdr:rowOff>120650</xdr:rowOff>
    </xdr:from>
    <xdr:to>
      <xdr:col>3</xdr:col>
      <xdr:colOff>723900</xdr:colOff>
      <xdr:row>46</xdr:row>
      <xdr:rowOff>0</xdr:rowOff>
    </xdr:to>
    <xdr:grpSp>
      <xdr:nvGrpSpPr>
        <xdr:cNvPr id="4779986" name="Groupe 1"/>
        <xdr:cNvGrpSpPr>
          <a:grpSpLocks/>
        </xdr:cNvGrpSpPr>
      </xdr:nvGrpSpPr>
      <xdr:grpSpPr bwMode="auto">
        <a:xfrm>
          <a:off x="1428750" y="6267450"/>
          <a:ext cx="1377950" cy="1200150"/>
          <a:chOff x="1362075" y="6410325"/>
          <a:chExt cx="1319468" cy="1181100"/>
        </a:xfrm>
      </xdr:grpSpPr>
      <xdr:sp macro="" textlink="">
        <xdr:nvSpPr>
          <xdr:cNvPr id="4779991" name="Line 320"/>
          <xdr:cNvSpPr>
            <a:spLocks noChangeShapeType="1"/>
          </xdr:cNvSpPr>
        </xdr:nvSpPr>
        <xdr:spPr bwMode="auto">
          <a:xfrm flipH="1">
            <a:off x="1462415" y="7296150"/>
            <a:ext cx="351189" cy="0"/>
          </a:xfrm>
          <a:prstGeom prst="line">
            <a:avLst/>
          </a:prstGeom>
          <a:noFill/>
          <a:ln w="9525">
            <a:solidFill>
              <a:srgbClr val="000000"/>
            </a:solidFill>
            <a:round/>
            <a:headEnd type="triangle" w="med" len="med"/>
            <a:tailEnd type="triangle" w="med" len="med"/>
          </a:ln>
        </xdr:spPr>
      </xdr:sp>
      <xdr:sp macro="" textlink="">
        <xdr:nvSpPr>
          <xdr:cNvPr id="4779992" name="Rectangle 314"/>
          <xdr:cNvSpPr>
            <a:spLocks noChangeArrowheads="1"/>
          </xdr:cNvSpPr>
        </xdr:nvSpPr>
        <xdr:spPr bwMode="auto">
          <a:xfrm>
            <a:off x="1833672"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xdr:cNvSpPr>
            <a:spLocks noChangeArrowheads="1"/>
          </xdr:cNvSpPr>
        </xdr:nvSpPr>
        <xdr:spPr bwMode="auto">
          <a:xfrm rot="-5400000">
            <a:off x="1838363" y="6388995"/>
            <a:ext cx="482283" cy="1204076"/>
          </a:xfrm>
          <a:prstGeom prst="rect">
            <a:avLst/>
          </a:prstGeom>
          <a:solidFill>
            <a:srgbClr val="F2F2F2"/>
          </a:solidFill>
          <a:ln w="9525">
            <a:solidFill>
              <a:srgbClr val="000000"/>
            </a:solidFill>
            <a:miter lim="800000"/>
            <a:headEnd/>
            <a:tailEnd/>
          </a:ln>
        </xdr:spPr>
      </xdr:sp>
      <xdr:sp macro="" textlink="">
        <xdr:nvSpPr>
          <xdr:cNvPr id="4779994" name="Line 316"/>
          <xdr:cNvSpPr>
            <a:spLocks noChangeShapeType="1"/>
          </xdr:cNvSpPr>
        </xdr:nvSpPr>
        <xdr:spPr bwMode="auto">
          <a:xfrm>
            <a:off x="1833672" y="6744970"/>
            <a:ext cx="0" cy="482283"/>
          </a:xfrm>
          <a:prstGeom prst="line">
            <a:avLst/>
          </a:prstGeom>
          <a:noFill/>
          <a:ln w="9525">
            <a:solidFill>
              <a:srgbClr val="000000"/>
            </a:solidFill>
            <a:round/>
            <a:headEnd/>
            <a:tailEnd/>
          </a:ln>
        </xdr:spPr>
      </xdr:sp>
      <xdr:sp macro="" textlink="">
        <xdr:nvSpPr>
          <xdr:cNvPr id="4779995" name="Line 317"/>
          <xdr:cNvSpPr>
            <a:spLocks noChangeShapeType="1"/>
          </xdr:cNvSpPr>
        </xdr:nvSpPr>
        <xdr:spPr bwMode="auto">
          <a:xfrm>
            <a:off x="2312198" y="6744970"/>
            <a:ext cx="0" cy="482283"/>
          </a:xfrm>
          <a:prstGeom prst="line">
            <a:avLst/>
          </a:prstGeom>
          <a:noFill/>
          <a:ln w="9525">
            <a:solidFill>
              <a:srgbClr val="000000"/>
            </a:solidFill>
            <a:round/>
            <a:headEnd/>
            <a:tailEnd/>
          </a:ln>
        </xdr:spPr>
      </xdr:sp>
      <xdr:sp macro="" textlink="">
        <xdr:nvSpPr>
          <xdr:cNvPr id="4779996" name="Line 319"/>
          <xdr:cNvSpPr>
            <a:spLocks noChangeShapeType="1"/>
          </xdr:cNvSpPr>
        </xdr:nvSpPr>
        <xdr:spPr bwMode="auto">
          <a:xfrm>
            <a:off x="1362075" y="6744970"/>
            <a:ext cx="0" cy="482283"/>
          </a:xfrm>
          <a:prstGeom prst="line">
            <a:avLst/>
          </a:prstGeom>
          <a:noFill/>
          <a:ln w="9525">
            <a:solidFill>
              <a:srgbClr val="000000"/>
            </a:solidFill>
            <a:round/>
            <a:headEnd type="triangle" w="med" len="med"/>
            <a:tailEnd type="triangle" w="med" len="med"/>
          </a:ln>
        </xdr:spPr>
      </xdr:sp>
    </xdr:grpSp>
    <xdr:clientData/>
  </xdr:twoCellAnchor>
  <xdr:twoCellAnchor>
    <xdr:from>
      <xdr:col>2</xdr:col>
      <xdr:colOff>260350</xdr:colOff>
      <xdr:row>49</xdr:row>
      <xdr:rowOff>19050</xdr:rowOff>
    </xdr:from>
    <xdr:to>
      <xdr:col>3</xdr:col>
      <xdr:colOff>514350</xdr:colOff>
      <xdr:row>54</xdr:row>
      <xdr:rowOff>120650</xdr:rowOff>
    </xdr:to>
    <xdr:sp macro="" textlink="">
      <xdr:nvSpPr>
        <xdr:cNvPr id="4779987" name="Oval 323"/>
        <xdr:cNvSpPr>
          <a:spLocks noChangeArrowheads="1"/>
        </xdr:cNvSpPr>
      </xdr:nvSpPr>
      <xdr:spPr bwMode="auto">
        <a:xfrm>
          <a:off x="1549400" y="7981950"/>
          <a:ext cx="1047750" cy="927100"/>
        </a:xfrm>
        <a:prstGeom prst="ellipse">
          <a:avLst/>
        </a:prstGeom>
        <a:solidFill>
          <a:srgbClr val="F2F2F2"/>
        </a:solidFill>
        <a:ln w="9525">
          <a:solidFill>
            <a:srgbClr val="000000"/>
          </a:solidFill>
          <a:round/>
          <a:headEnd/>
          <a:tailEnd/>
        </a:ln>
      </xdr:spPr>
    </xdr:sp>
    <xdr:clientData/>
  </xdr:twoCellAnchor>
  <xdr:twoCellAnchor>
    <xdr:from>
      <xdr:col>2</xdr:col>
      <xdr:colOff>698500</xdr:colOff>
      <xdr:row>51</xdr:row>
      <xdr:rowOff>57150</xdr:rowOff>
    </xdr:from>
    <xdr:to>
      <xdr:col>3</xdr:col>
      <xdr:colOff>88900</xdr:colOff>
      <xdr:row>52</xdr:row>
      <xdr:rowOff>76200</xdr:rowOff>
    </xdr:to>
    <xdr:sp macro="" textlink="">
      <xdr:nvSpPr>
        <xdr:cNvPr id="4779988" name="Oval 323"/>
        <xdr:cNvSpPr>
          <a:spLocks noChangeArrowheads="1"/>
        </xdr:cNvSpPr>
      </xdr:nvSpPr>
      <xdr:spPr bwMode="auto">
        <a:xfrm>
          <a:off x="1987550" y="8350250"/>
          <a:ext cx="184150" cy="184150"/>
        </a:xfrm>
        <a:prstGeom prst="ellipse">
          <a:avLst/>
        </a:prstGeom>
        <a:solidFill>
          <a:srgbClr val="FFFFFF"/>
        </a:solidFill>
        <a:ln w="9525">
          <a:solidFill>
            <a:srgbClr val="000000"/>
          </a:solidFill>
          <a:round/>
          <a:headEnd/>
          <a:tailEnd/>
        </a:ln>
      </xdr:spPr>
    </xdr:sp>
    <xdr:clientData/>
  </xdr:twoCellAnchor>
  <xdr:twoCellAnchor>
    <xdr:from>
      <xdr:col>3</xdr:col>
      <xdr:colOff>0</xdr:colOff>
      <xdr:row>49</xdr:row>
      <xdr:rowOff>19050</xdr:rowOff>
    </xdr:from>
    <xdr:to>
      <xdr:col>3</xdr:col>
      <xdr:colOff>0</xdr:colOff>
      <xdr:row>51</xdr:row>
      <xdr:rowOff>146050</xdr:rowOff>
    </xdr:to>
    <xdr:sp macro="" textlink="">
      <xdr:nvSpPr>
        <xdr:cNvPr id="4779989" name="Line 324"/>
        <xdr:cNvSpPr>
          <a:spLocks noChangeShapeType="1"/>
        </xdr:cNvSpPr>
      </xdr:nvSpPr>
      <xdr:spPr bwMode="auto">
        <a:xfrm>
          <a:off x="2082800" y="7981950"/>
          <a:ext cx="0" cy="457200"/>
        </a:xfrm>
        <a:prstGeom prst="line">
          <a:avLst/>
        </a:prstGeom>
        <a:noFill/>
        <a:ln w="9525">
          <a:solidFill>
            <a:srgbClr val="000000"/>
          </a:solidFill>
          <a:round/>
          <a:headEnd type="triangle" w="med" len="med"/>
          <a:tailEnd type="triangle" w="med" len="med"/>
        </a:ln>
      </xdr:spPr>
    </xdr:sp>
    <xdr:clientData/>
  </xdr:twoCellAnchor>
  <xdr:twoCellAnchor>
    <xdr:from>
      <xdr:col>3</xdr:col>
      <xdr:colOff>0</xdr:colOff>
      <xdr:row>51</xdr:row>
      <xdr:rowOff>146050</xdr:rowOff>
    </xdr:from>
    <xdr:to>
      <xdr:col>3</xdr:col>
      <xdr:colOff>0</xdr:colOff>
      <xdr:row>52</xdr:row>
      <xdr:rowOff>88900</xdr:rowOff>
    </xdr:to>
    <xdr:sp macro="" textlink="">
      <xdr:nvSpPr>
        <xdr:cNvPr id="4779990" name="Line 324"/>
        <xdr:cNvSpPr>
          <a:spLocks noChangeShapeType="1"/>
        </xdr:cNvSpPr>
      </xdr:nvSpPr>
      <xdr:spPr bwMode="auto">
        <a:xfrm flipH="1">
          <a:off x="2082800" y="8439150"/>
          <a:ext cx="0" cy="107950"/>
        </a:xfrm>
        <a:prstGeom prst="line">
          <a:avLst/>
        </a:prstGeom>
        <a:noFill/>
        <a:ln w="9525">
          <a:solidFill>
            <a:srgbClr val="000000"/>
          </a:solidFill>
          <a:round/>
          <a:headEnd type="triangle" w="sm" len="sm"/>
          <a:tailEnd type="triangle" w="sm" len="sm"/>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17</xdr:row>
      <xdr:rowOff>25400</xdr:rowOff>
    </xdr:to>
    <xdr:graphicFrame macro="">
      <xdr:nvGraphicFramePr>
        <xdr:cNvPr id="260435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17</xdr:row>
      <xdr:rowOff>25400</xdr:rowOff>
    </xdr:from>
    <xdr:to>
      <xdr:col>12</xdr:col>
      <xdr:colOff>450850</xdr:colOff>
      <xdr:row>34</xdr:row>
      <xdr:rowOff>19050</xdr:rowOff>
    </xdr:to>
    <xdr:graphicFrame macro="">
      <xdr:nvGraphicFramePr>
        <xdr:cNvPr id="2604354"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17</xdr:row>
      <xdr:rowOff>25400</xdr:rowOff>
    </xdr:from>
    <xdr:to>
      <xdr:col>6</xdr:col>
      <xdr:colOff>450850</xdr:colOff>
      <xdr:row>34</xdr:row>
      <xdr:rowOff>19050</xdr:rowOff>
    </xdr:to>
    <xdr:graphicFrame macro="">
      <xdr:nvGraphicFramePr>
        <xdr:cNvPr id="2604355"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12700</xdr:colOff>
      <xdr:row>44</xdr:row>
      <xdr:rowOff>19050</xdr:rowOff>
    </xdr:to>
    <xdr:pic>
      <xdr:nvPicPr>
        <xdr:cNvPr id="5938" name="Image 1"/>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53</xdr:row>
      <xdr:rowOff>44450</xdr:rowOff>
    </xdr:from>
    <xdr:to>
      <xdr:col>10</xdr:col>
      <xdr:colOff>609600</xdr:colOff>
      <xdr:row>81</xdr:row>
      <xdr:rowOff>25400</xdr:rowOff>
    </xdr:to>
    <xdr:pic>
      <xdr:nvPicPr>
        <xdr:cNvPr id="5939" name="Image 2"/>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984250</xdr:colOff>
      <xdr:row>4</xdr:row>
      <xdr:rowOff>152400</xdr:rowOff>
    </xdr:to>
    <xdr:pic>
      <xdr:nvPicPr>
        <xdr:cNvPr id="5940" name="Picture 8" descr="logoplasci"/>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xdr:cNvGrpSpPr>
          <a:grpSpLocks/>
        </xdr:cNvGrpSpPr>
      </xdr:nvGrpSpPr>
      <xdr:grpSpPr bwMode="auto">
        <a:xfrm>
          <a:off x="4349750" y="13366750"/>
          <a:ext cx="2260600" cy="3714750"/>
          <a:chOff x="3421" y="5379"/>
          <a:chExt cx="2289" cy="5759"/>
        </a:xfrm>
      </xdr:grpSpPr>
      <xdr:grpSp>
        <xdr:nvGrpSpPr>
          <xdr:cNvPr id="5501710" name="Group 233"/>
          <xdr:cNvGrpSpPr>
            <a:grpSpLocks/>
          </xdr:cNvGrpSpPr>
        </xdr:nvGrpSpPr>
        <xdr:grpSpPr bwMode="auto">
          <a:xfrm>
            <a:off x="4047" y="5379"/>
            <a:ext cx="515" cy="4096"/>
            <a:chOff x="4047" y="5379"/>
            <a:chExt cx="515" cy="4096"/>
          </a:xfrm>
        </xdr:grpSpPr>
        <xdr:sp macro="" textlink="">
          <xdr:nvSpPr>
            <xdr:cNvPr id="5501728" name="Arc 234"/>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xdr:cNvGrpSpPr>
              <a:grpSpLocks/>
            </xdr:cNvGrpSpPr>
          </xdr:nvGrpSpPr>
          <xdr:grpSpPr bwMode="auto">
            <a:xfrm>
              <a:off x="4047" y="6306"/>
              <a:ext cx="285" cy="3169"/>
              <a:chOff x="4050" y="6306"/>
              <a:chExt cx="285" cy="3169"/>
            </a:xfrm>
          </xdr:grpSpPr>
          <xdr:sp macro="" textlink="">
            <xdr:nvSpPr>
              <xdr:cNvPr id="5501730" name="Line 236"/>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xdr:cNvGrpSpPr>
            <a:grpSpLocks/>
          </xdr:cNvGrpSpPr>
        </xdr:nvGrpSpPr>
        <xdr:grpSpPr bwMode="auto">
          <a:xfrm flipH="1">
            <a:off x="4560" y="5379"/>
            <a:ext cx="515" cy="4096"/>
            <a:chOff x="4047" y="5379"/>
            <a:chExt cx="515" cy="4096"/>
          </a:xfrm>
        </xdr:grpSpPr>
        <xdr:sp macro="" textlink="">
          <xdr:nvSpPr>
            <xdr:cNvPr id="5501721" name="Arc 242"/>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xdr:cNvGrpSpPr>
              <a:grpSpLocks/>
            </xdr:cNvGrpSpPr>
          </xdr:nvGrpSpPr>
          <xdr:grpSpPr bwMode="auto">
            <a:xfrm>
              <a:off x="4047" y="6306"/>
              <a:ext cx="285" cy="3169"/>
              <a:chOff x="4050" y="6306"/>
              <a:chExt cx="285" cy="3169"/>
            </a:xfrm>
          </xdr:grpSpPr>
          <xdr:sp macro="" textlink="">
            <xdr:nvSpPr>
              <xdr:cNvPr id="5501723" name="Line 244"/>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xdr:cNvGrpSpPr>
          <a:grpSpLocks/>
        </xdr:cNvGrpSpPr>
      </xdr:nvGrpSpPr>
      <xdr:grpSpPr bwMode="auto">
        <a:xfrm>
          <a:off x="13646150" y="184150"/>
          <a:ext cx="2203450" cy="5181600"/>
          <a:chOff x="3421" y="5379"/>
          <a:chExt cx="2289" cy="5759"/>
        </a:xfrm>
      </xdr:grpSpPr>
      <xdr:grpSp>
        <xdr:nvGrpSpPr>
          <xdr:cNvPr id="5501685" name="Group 233"/>
          <xdr:cNvGrpSpPr>
            <a:grpSpLocks/>
          </xdr:cNvGrpSpPr>
        </xdr:nvGrpSpPr>
        <xdr:grpSpPr bwMode="auto">
          <a:xfrm>
            <a:off x="4047" y="5379"/>
            <a:ext cx="515" cy="4096"/>
            <a:chOff x="4047" y="5379"/>
            <a:chExt cx="515" cy="4096"/>
          </a:xfrm>
        </xdr:grpSpPr>
        <xdr:sp macro="" textlink="">
          <xdr:nvSpPr>
            <xdr:cNvPr id="5501703" name="Arc 234"/>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xdr:cNvGrpSpPr>
              <a:grpSpLocks/>
            </xdr:cNvGrpSpPr>
          </xdr:nvGrpSpPr>
          <xdr:grpSpPr bwMode="auto">
            <a:xfrm>
              <a:off x="4047" y="6306"/>
              <a:ext cx="285" cy="3169"/>
              <a:chOff x="4050" y="6306"/>
              <a:chExt cx="285" cy="3169"/>
            </a:xfrm>
          </xdr:grpSpPr>
          <xdr:sp macro="" textlink="">
            <xdr:nvSpPr>
              <xdr:cNvPr id="5501705" name="Line 236"/>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xdr:cNvGrpSpPr>
            <a:grpSpLocks/>
          </xdr:cNvGrpSpPr>
        </xdr:nvGrpSpPr>
        <xdr:grpSpPr bwMode="auto">
          <a:xfrm flipH="1">
            <a:off x="4560" y="5379"/>
            <a:ext cx="515" cy="4096"/>
            <a:chOff x="4047" y="5379"/>
            <a:chExt cx="515" cy="4096"/>
          </a:xfrm>
        </xdr:grpSpPr>
        <xdr:sp macro="" textlink="">
          <xdr:nvSpPr>
            <xdr:cNvPr id="5501696" name="Arc 242"/>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xdr:cNvGrpSpPr>
              <a:grpSpLocks/>
            </xdr:cNvGrpSpPr>
          </xdr:nvGrpSpPr>
          <xdr:grpSpPr bwMode="auto">
            <a:xfrm>
              <a:off x="4047" y="6306"/>
              <a:ext cx="285" cy="3169"/>
              <a:chOff x="4050" y="6306"/>
              <a:chExt cx="285" cy="3169"/>
            </a:xfrm>
          </xdr:grpSpPr>
          <xdr:sp macro="" textlink="">
            <xdr:nvSpPr>
              <xdr:cNvPr id="5501698" name="Line 244"/>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4.bin"/><Relationship Id="rId13" Type="http://schemas.openxmlformats.org/officeDocument/2006/relationships/oleObject" Target="../embeddings/oleObject9.bin"/><Relationship Id="rId18" Type="http://schemas.openxmlformats.org/officeDocument/2006/relationships/oleObject" Target="../embeddings/oleObject14.bin"/><Relationship Id="rId26" Type="http://schemas.openxmlformats.org/officeDocument/2006/relationships/oleObject" Target="../embeddings/oleObject22.bin"/><Relationship Id="rId39" Type="http://schemas.openxmlformats.org/officeDocument/2006/relationships/oleObject" Target="../embeddings/oleObject35.bin"/><Relationship Id="rId3" Type="http://schemas.openxmlformats.org/officeDocument/2006/relationships/printerSettings" Target="../printerSettings/printerSettings5.bin"/><Relationship Id="rId21" Type="http://schemas.openxmlformats.org/officeDocument/2006/relationships/oleObject" Target="../embeddings/oleObject17.bin"/><Relationship Id="rId34" Type="http://schemas.openxmlformats.org/officeDocument/2006/relationships/oleObject" Target="../embeddings/oleObject30.bin"/><Relationship Id="rId7" Type="http://schemas.openxmlformats.org/officeDocument/2006/relationships/oleObject" Target="../embeddings/oleObject3.bin"/><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2" Type="http://schemas.openxmlformats.org/officeDocument/2006/relationships/hyperlink" Target="http://www.planete-sciences.org/espace/basedoc/" TargetMode="External"/><Relationship Id="rId16" Type="http://schemas.openxmlformats.org/officeDocument/2006/relationships/oleObject" Target="../embeddings/oleObject12.bin"/><Relationship Id="rId20" Type="http://schemas.openxmlformats.org/officeDocument/2006/relationships/oleObject" Target="../embeddings/oleObject16.bin"/><Relationship Id="rId29" Type="http://schemas.openxmlformats.org/officeDocument/2006/relationships/oleObject" Target="../embeddings/oleObject25.bin"/><Relationship Id="rId41" Type="http://schemas.openxmlformats.org/officeDocument/2006/relationships/oleObject" Target="../embeddings/oleObject37.bin"/><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5" Type="http://schemas.openxmlformats.org/officeDocument/2006/relationships/vmlDrawing" Target="../drawings/vmlDrawing3.vml"/><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10" Type="http://schemas.openxmlformats.org/officeDocument/2006/relationships/oleObject" Target="../embeddings/oleObject6.bin"/><Relationship Id="rId19" Type="http://schemas.openxmlformats.org/officeDocument/2006/relationships/oleObject" Target="../embeddings/oleObject15.bin"/><Relationship Id="rId31" Type="http://schemas.openxmlformats.org/officeDocument/2006/relationships/oleObject" Target="../embeddings/oleObject27.bin"/><Relationship Id="rId4" Type="http://schemas.openxmlformats.org/officeDocument/2006/relationships/drawing" Target="../drawings/drawing5.xml"/><Relationship Id="rId9" Type="http://schemas.openxmlformats.org/officeDocument/2006/relationships/oleObject" Target="../embeddings/oleObject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comments" Target="../comments3.xml"/><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Feuil2">
    <pageSetUpPr fitToPage="1"/>
  </sheetPr>
  <dimension ref="A1:W361"/>
  <sheetViews>
    <sheetView showGridLines="0" tabSelected="1" zoomScaleNormal="100" zoomScaleSheetLayoutView="100" workbookViewId="0">
      <selection activeCell="C8" sqref="C8:D8"/>
    </sheetView>
  </sheetViews>
  <sheetFormatPr baseColWidth="10" defaultColWidth="11.36328125" defaultRowHeight="13"/>
  <cols>
    <col min="1" max="1" width="2.1796875" style="35" customWidth="1"/>
    <col min="2" max="2" width="16.26953125" style="35" customWidth="1"/>
    <col min="3" max="3" width="12.81640625" style="52" customWidth="1"/>
    <col min="4" max="4" width="12.81640625" style="35" customWidth="1"/>
    <col min="5" max="5" width="4.1796875" style="119" customWidth="1"/>
    <col min="6" max="6" width="10.1796875" style="56" bestFit="1" customWidth="1"/>
    <col min="7" max="7" width="10" style="56" bestFit="1" customWidth="1"/>
    <col min="8" max="9" width="8.6328125" style="56" customWidth="1"/>
    <col min="10" max="10" width="5.36328125" style="35" customWidth="1"/>
    <col min="11" max="11" width="2.1796875" style="35" customWidth="1"/>
    <col min="12" max="12" width="17" style="35" customWidth="1"/>
    <col min="13" max="13" width="8.6328125" style="35" customWidth="1"/>
    <col min="14" max="15" width="4.26953125" style="35" customWidth="1"/>
    <col min="16" max="16" width="8.6328125" style="35" customWidth="1"/>
    <col min="17" max="18" width="2.1796875" style="35" customWidth="1"/>
    <col min="19" max="16384" width="11.36328125" style="35"/>
  </cols>
  <sheetData>
    <row r="1" spans="1:20" ht="12.75" customHeight="1">
      <c r="A1" s="29"/>
      <c r="B1" s="30"/>
      <c r="C1" s="31"/>
      <c r="D1" s="30"/>
      <c r="E1" s="113"/>
      <c r="F1" s="32"/>
      <c r="G1" s="32"/>
      <c r="H1" s="32"/>
      <c r="I1" s="32"/>
      <c r="J1" s="30"/>
      <c r="K1" s="30"/>
      <c r="L1" s="30"/>
      <c r="M1" s="30"/>
      <c r="N1" s="30"/>
      <c r="O1" s="30"/>
      <c r="P1" s="30"/>
      <c r="Q1" s="33"/>
      <c r="R1" s="34"/>
    </row>
    <row r="2" spans="1:20" ht="12.75" customHeight="1">
      <c r="A2" s="36"/>
      <c r="B2" s="34"/>
      <c r="C2" s="669" t="s">
        <v>54</v>
      </c>
      <c r="D2" s="669"/>
      <c r="E2" s="114"/>
      <c r="F2" s="37"/>
      <c r="G2" s="37"/>
      <c r="H2" s="37"/>
      <c r="I2" s="37"/>
      <c r="J2" s="34"/>
      <c r="K2" s="34"/>
      <c r="L2" s="180" t="str">
        <f>"Language/Langue"</f>
        <v>Language/Langue</v>
      </c>
      <c r="M2" s="688" t="s">
        <v>1</v>
      </c>
      <c r="N2" s="688"/>
      <c r="O2" s="688"/>
      <c r="P2" s="689"/>
      <c r="Q2" s="38"/>
      <c r="R2" s="34"/>
    </row>
    <row r="3" spans="1:20" ht="12.75" customHeight="1">
      <c r="A3" s="36"/>
      <c r="B3" s="34"/>
      <c r="C3" s="669"/>
      <c r="D3" s="669"/>
      <c r="E3" s="114"/>
      <c r="F3" s="37"/>
      <c r="G3" s="37"/>
      <c r="H3" s="37"/>
      <c r="I3" s="37"/>
      <c r="J3" s="34"/>
      <c r="K3" s="34"/>
      <c r="L3" s="696"/>
      <c r="M3" s="696"/>
      <c r="N3" s="214"/>
      <c r="O3" s="34"/>
      <c r="P3" s="34"/>
      <c r="Q3" s="38"/>
      <c r="R3" s="34"/>
    </row>
    <row r="4" spans="1:20" ht="12.75" customHeight="1">
      <c r="A4" s="36"/>
      <c r="B4" s="34"/>
      <c r="C4" s="670" t="str">
        <f>IF(Lang="Français","Stabilité de fusée à ailerons",IF(Lang="English","Stability for rocket with fins",""))</f>
        <v>Stabilité de fusée à ailerons</v>
      </c>
      <c r="D4" s="670"/>
      <c r="E4" s="114"/>
      <c r="F4" s="37"/>
      <c r="G4" s="37"/>
      <c r="H4" s="37"/>
      <c r="I4" s="37"/>
      <c r="J4" s="34"/>
      <c r="K4" s="34"/>
      <c r="L4" s="45"/>
      <c r="M4" s="688" t="s">
        <v>555</v>
      </c>
      <c r="N4" s="688"/>
      <c r="O4" s="688"/>
      <c r="P4" s="689"/>
      <c r="Q4" s="38"/>
      <c r="R4" s="34"/>
    </row>
    <row r="5" spans="1:20" ht="12.75" customHeight="1">
      <c r="A5" s="36"/>
      <c r="B5" s="39"/>
      <c r="C5" s="645"/>
      <c r="D5" s="645"/>
      <c r="E5" s="114"/>
      <c r="F5" s="37"/>
      <c r="G5" s="37"/>
      <c r="H5" s="37"/>
      <c r="I5" s="37"/>
      <c r="J5" s="34"/>
      <c r="K5" s="34"/>
      <c r="L5" s="45"/>
      <c r="M5" s="680" t="s">
        <v>157</v>
      </c>
      <c r="N5" s="681"/>
      <c r="O5" s="699" t="s">
        <v>158</v>
      </c>
      <c r="P5" s="699"/>
      <c r="Q5" s="40"/>
      <c r="R5" s="34"/>
    </row>
    <row r="6" spans="1:20" ht="12.75" customHeight="1" thickBot="1">
      <c r="A6" s="36"/>
      <c r="B6" s="111"/>
      <c r="C6" s="658" t="str">
        <f>IF(Lang="Français","Remplir les cases jaunes",IF(Lang="English","Fill-in yellow cells only",""))</f>
        <v>Remplir les cases jaunes</v>
      </c>
      <c r="D6" s="658"/>
      <c r="E6" s="114"/>
      <c r="F6" s="37"/>
      <c r="G6" s="37"/>
      <c r="H6" s="37"/>
      <c r="I6" s="37"/>
      <c r="J6" s="34"/>
      <c r="K6" s="34"/>
      <c r="L6" s="172" t="str">
        <f>IF(Lang="Français","Longueur      'L'",IF(Lang="English","Length      'L'",""))</f>
        <v>Longueur      'L'</v>
      </c>
      <c r="M6" s="659">
        <v>50</v>
      </c>
      <c r="N6" s="660"/>
      <c r="O6" s="678">
        <v>50</v>
      </c>
      <c r="P6" s="678"/>
      <c r="Q6" s="40"/>
      <c r="R6" s="34"/>
    </row>
    <row r="7" spans="1:20" ht="12.75" customHeight="1" thickTop="1" thickBot="1">
      <c r="A7" s="36"/>
      <c r="B7" s="42"/>
      <c r="C7" s="672" t="str">
        <f>IF(Lang="Français","Fusée",IF(Lang="English","Rocket",""))</f>
        <v>Fusée</v>
      </c>
      <c r="D7" s="673"/>
      <c r="E7" s="114"/>
      <c r="F7" s="37"/>
      <c r="G7" s="37"/>
      <c r="H7" s="37"/>
      <c r="I7" s="37"/>
      <c r="J7" s="34"/>
      <c r="K7" s="34"/>
      <c r="L7" s="172" t="str">
        <f>IF(Lang="Français","Diamètre     'D1'",IF(Lang="English","Diameter 'D1'",""))</f>
        <v>Diamètre     'D1'</v>
      </c>
      <c r="M7" s="659">
        <f>D_og</f>
        <v>59</v>
      </c>
      <c r="N7" s="660"/>
      <c r="O7" s="678">
        <f>D2j</f>
        <v>80</v>
      </c>
      <c r="P7" s="678"/>
      <c r="Q7" s="40"/>
      <c r="R7" s="34"/>
    </row>
    <row r="8" spans="1:20" ht="12.75" customHeight="1" thickTop="1">
      <c r="A8" s="36"/>
      <c r="B8" s="171" t="str">
        <f>IF(Lang="Français","Nom",IF(Lang="English","Name",""))</f>
        <v>Nom</v>
      </c>
      <c r="C8" s="661" t="s">
        <v>160</v>
      </c>
      <c r="D8" s="661"/>
      <c r="E8" s="115"/>
      <c r="F8" s="37"/>
      <c r="G8" s="37"/>
      <c r="H8" s="37"/>
      <c r="I8" s="37"/>
      <c r="J8" s="34"/>
      <c r="K8" s="44"/>
      <c r="L8" s="172" t="str">
        <f>IF(Lang="Français","Diamètre     'D2'",IF(Lang="English","Diameter 'D2'",""))</f>
        <v>Diamètre     'D2'</v>
      </c>
      <c r="M8" s="659">
        <v>80</v>
      </c>
      <c r="N8" s="660"/>
      <c r="O8" s="678">
        <f>D_og</f>
        <v>59</v>
      </c>
      <c r="P8" s="678"/>
      <c r="Q8" s="40"/>
      <c r="R8" s="34"/>
    </row>
    <row r="9" spans="1:20" ht="12.75" customHeight="1">
      <c r="A9" s="36"/>
      <c r="B9" s="171" t="s">
        <v>4</v>
      </c>
      <c r="C9" s="662" t="s">
        <v>164</v>
      </c>
      <c r="D9" s="662"/>
      <c r="E9" s="115"/>
      <c r="F9" s="37"/>
      <c r="G9" s="37"/>
      <c r="H9" s="37"/>
      <c r="I9" s="37"/>
      <c r="J9" s="34"/>
      <c r="K9" s="44"/>
      <c r="L9" s="172" t="str">
        <f>IF(Lang="Français","Implantation 'x'",IF(Lang="English","Basement 'x'",""))</f>
        <v>Implantation 'x'</v>
      </c>
      <c r="M9" s="659">
        <v>300</v>
      </c>
      <c r="N9" s="660"/>
      <c r="O9" s="678">
        <v>500</v>
      </c>
      <c r="P9" s="678"/>
      <c r="Q9" s="40"/>
      <c r="R9" s="34"/>
    </row>
    <row r="10" spans="1:20" ht="12.75" customHeight="1">
      <c r="A10" s="36"/>
      <c r="B10" s="172" t="s">
        <v>55</v>
      </c>
      <c r="C10" s="674" t="s">
        <v>546</v>
      </c>
      <c r="D10" s="675"/>
      <c r="E10" s="115"/>
      <c r="F10" s="37"/>
      <c r="G10" s="37"/>
      <c r="H10" s="37"/>
      <c r="I10" s="37"/>
      <c r="J10" s="34"/>
      <c r="K10" s="44"/>
      <c r="L10" s="34"/>
      <c r="M10" s="34"/>
      <c r="N10" s="34"/>
      <c r="O10" s="34"/>
      <c r="P10" s="34"/>
      <c r="Q10" s="40"/>
      <c r="R10" s="34"/>
    </row>
    <row r="11" spans="1:20" ht="12.75" customHeight="1">
      <c r="A11" s="36"/>
      <c r="B11" s="172" t="str">
        <f>IF(Lang="Français","Masse",IF(Lang="English","Weight",""))</f>
        <v>Masse</v>
      </c>
      <c r="C11" s="260">
        <v>359</v>
      </c>
      <c r="D11" s="47" t="s">
        <v>427</v>
      </c>
      <c r="E11" s="116"/>
      <c r="F11" s="37"/>
      <c r="G11" s="37"/>
      <c r="H11" s="37"/>
      <c r="I11" s="37"/>
      <c r="J11" s="34"/>
      <c r="K11" s="45"/>
      <c r="L11" s="136"/>
      <c r="M11" s="262" t="str">
        <f>IF(Lang="Français","Propu plein",IF(Lang="English","Loaded Motor",""))</f>
        <v>Propu plein</v>
      </c>
      <c r="N11" s="697" t="str">
        <f>IF(Lang="Français","Propu vide",IF(Lang="English","Empty Motor",""))</f>
        <v>Propu vide</v>
      </c>
      <c r="O11" s="698"/>
      <c r="P11" s="262" t="str">
        <f>IF(Lang="Français","Sans propu",IF(Lang="English","Without M",""))</f>
        <v>Sans propu</v>
      </c>
      <c r="Q11" s="40"/>
      <c r="R11" s="34"/>
      <c r="S11" s="446"/>
      <c r="T11" s="447" t="str">
        <f>IF(Lang="Français","Propulseur",IF(Lang="English","Motor",""))</f>
        <v>Propulseur</v>
      </c>
    </row>
    <row r="12" spans="1:20" ht="12.75" customHeight="1">
      <c r="A12" s="36"/>
      <c r="B12" s="172" t="str">
        <f>IF(Lang="Français","Centre de Masse",IF(Lang="English","Center of Mass",""))</f>
        <v>Centre de Masse</v>
      </c>
      <c r="C12" s="48">
        <v>639</v>
      </c>
      <c r="D12" s="47" t="s">
        <v>427</v>
      </c>
      <c r="E12" s="114"/>
      <c r="F12" s="37"/>
      <c r="G12" s="37"/>
      <c r="H12" s="37"/>
      <c r="I12" s="37"/>
      <c r="J12" s="34"/>
      <c r="K12" s="34"/>
      <c r="L12" s="137" t="str">
        <f>IF(Lang="Français","Masse propu",IF(Lang="English","Motor Mass",""))</f>
        <v>Masse propu</v>
      </c>
      <c r="M12" s="138">
        <f ca="1">MpropuPlein</f>
        <v>0.10199999999999999</v>
      </c>
      <c r="N12" s="692">
        <f ca="1">MpropuVide</f>
        <v>7.0000000000000007E-2</v>
      </c>
      <c r="O12" s="693"/>
      <c r="P12" s="139" t="s">
        <v>14</v>
      </c>
      <c r="Q12" s="40"/>
      <c r="R12" s="34"/>
      <c r="S12" s="447" t="str">
        <f>IF(Lang="Français","Haut",IF(Lang="English","Top",""))</f>
        <v>Haut</v>
      </c>
      <c r="T12" s="448">
        <f ca="1">XpropuRef-Long_propu</f>
        <v>903</v>
      </c>
    </row>
    <row r="13" spans="1:20" ht="12.75" customHeight="1">
      <c r="A13" s="36"/>
      <c r="B13" s="172" t="str">
        <f>IF(Lang="Français","Longueur totale",IF(Lang="English","Total length",""))</f>
        <v>Longueur totale</v>
      </c>
      <c r="C13" s="659">
        <v>1001</v>
      </c>
      <c r="D13" s="660"/>
      <c r="E13" s="114"/>
      <c r="F13" s="37"/>
      <c r="G13" s="37"/>
      <c r="H13" s="37"/>
      <c r="I13" s="37"/>
      <c r="J13" s="34"/>
      <c r="K13" s="34"/>
      <c r="L13" s="137" t="str">
        <f>IF(Lang="Français","CdM propu",IF(Lang="English","Motor CoM",""))</f>
        <v>CdM propu</v>
      </c>
      <c r="M13" s="140">
        <f ca="1">XpropuPlein</f>
        <v>49</v>
      </c>
      <c r="N13" s="690">
        <f ca="1">XpropuVide</f>
        <v>49</v>
      </c>
      <c r="O13" s="691"/>
      <c r="P13" s="139" t="s">
        <v>14</v>
      </c>
      <c r="Q13" s="40"/>
      <c r="R13" s="34"/>
      <c r="S13" s="447" t="str">
        <f>IF(Lang="Français","Longueur",IF(Lang="English","Length",""))</f>
        <v>Longueur</v>
      </c>
      <c r="T13" s="448">
        <f ca="1">Long_propu</f>
        <v>98</v>
      </c>
    </row>
    <row r="14" spans="1:20" ht="12.75" customHeight="1">
      <c r="A14" s="36"/>
      <c r="B14" s="172" t="str">
        <f>IF(Lang="Français","Diamètre Réf.",IF(Lang="English","Ref. Diameter",""))</f>
        <v>Diamètre Réf.</v>
      </c>
      <c r="C14" s="659">
        <f>D_og</f>
        <v>59</v>
      </c>
      <c r="D14" s="660"/>
      <c r="E14" s="114"/>
      <c r="F14" s="37"/>
      <c r="G14" s="37"/>
      <c r="H14" s="37"/>
      <c r="I14" s="37"/>
      <c r="J14" s="34"/>
      <c r="K14" s="34"/>
      <c r="L14" s="137" t="str">
        <f>IF(Lang="Français","Masse fusée",IF(Lang="English","Rocket Mass",""))</f>
        <v>Masse fusée</v>
      </c>
      <c r="M14" s="141">
        <f ca="1">MasseSans+MpropuPlein</f>
        <v>0.46099999999999997</v>
      </c>
      <c r="N14" s="663">
        <f ca="1">MasseSans+MpropuVide</f>
        <v>0.42899999999999999</v>
      </c>
      <c r="O14" s="664"/>
      <c r="P14" s="138">
        <f>IF(OR(D11="sans propu",D11="without motor"),C11/1000,IF(OR(D11="avec propu vide",D11="with empty motor"),C11/1000-MpropuVide,IF(OR(D11="avec propu plein",D11="with loaded motor"),C11/1000-MpropuPlein,"Erreur")))</f>
        <v>0.35899999999999999</v>
      </c>
      <c r="Q14" s="40"/>
      <c r="R14" s="34"/>
      <c r="S14" s="447" t="str">
        <f>IF(Lang="Français","Bas",IF(Lang="English","Base",""))</f>
        <v>Bas</v>
      </c>
      <c r="T14" s="448">
        <f>XpropuRef</f>
        <v>1001</v>
      </c>
    </row>
    <row r="15" spans="1:20" ht="12.75" customHeight="1" thickBot="1">
      <c r="A15" s="36"/>
      <c r="B15" s="34"/>
      <c r="C15" s="42"/>
      <c r="D15" s="42"/>
      <c r="E15" s="114"/>
      <c r="F15" s="37"/>
      <c r="G15" s="37"/>
      <c r="H15" s="37"/>
      <c r="I15" s="37"/>
      <c r="J15" s="34"/>
      <c r="K15" s="34"/>
      <c r="L15" s="208" t="str">
        <f>IF(Lang="Français","CdM fusée",IF(Lang="English","Rocket CoM",""))</f>
        <v>CdM fusée</v>
      </c>
      <c r="M15" s="209">
        <f ca="1">(XcgSans*MasseSans+(XpropuRef-Long_propu+XpropuPlein)*MpropuPlein)/MassePlein</f>
        <v>708.25379609544473</v>
      </c>
      <c r="N15" s="665">
        <f ca="1">(XcgSans*MasseSans+(XpropuRef-Long_propu+XpropuVide)*MpropuVide)/MasseVide</f>
        <v>690.07226107226109</v>
      </c>
      <c r="O15" s="666"/>
      <c r="P15" s="142">
        <f>IF(OR(D12="sans propu",D12="without motor"),C12,IF(OR(D12="avec propu vide",D12="with empty motor"),(C12*MasseVide-(XpropuRef-Long_propu+XpropuVide)*MpropuVide)/MasseSans,IF(OR(D12="avec propu plein",D12="with loaded motor"),(C12*MassePlein-(XpropuRef-Long_propu+XpropuPlein)*MpropuPlein)/MasseSans,"Erreur")))</f>
        <v>639</v>
      </c>
      <c r="Q15" s="40"/>
      <c r="R15" s="34"/>
    </row>
    <row r="16" spans="1:20" ht="12.75" customHeight="1" thickTop="1" thickBot="1">
      <c r="A16" s="36"/>
      <c r="B16" s="34"/>
      <c r="C16" s="647" t="str">
        <f>IF(Lang="Français","Propulseur",IF(Lang="English","Motor",""))</f>
        <v>Propulseur</v>
      </c>
      <c r="D16" s="648"/>
      <c r="E16" s="114"/>
      <c r="F16" s="37"/>
      <c r="G16" s="37"/>
      <c r="H16" s="37"/>
      <c r="I16" s="37"/>
      <c r="J16" s="34"/>
      <c r="K16" s="34"/>
      <c r="L16" s="123"/>
      <c r="M16" s="123"/>
      <c r="N16" s="123"/>
      <c r="O16" s="123"/>
      <c r="P16" s="123"/>
      <c r="Q16" s="40"/>
      <c r="R16" s="34"/>
      <c r="S16" s="446"/>
      <c r="T16" s="447" t="str">
        <f>IF(RIGHT(Type_masquage,1)=",",IF(Lang="Français","Ailerons","Fins"),IF(Lang="Français","Ailerons bas","Lower Fins"))</f>
        <v>Ailerons bas</v>
      </c>
    </row>
    <row r="17" spans="1:20" ht="12.75" customHeight="1" thickTop="1">
      <c r="A17" s="36"/>
      <c r="B17" s="172" t="s">
        <v>55</v>
      </c>
      <c r="C17" s="649" t="s">
        <v>550</v>
      </c>
      <c r="D17" s="650"/>
      <c r="E17" s="114"/>
      <c r="F17" s="37"/>
      <c r="G17" s="37"/>
      <c r="H17" s="37"/>
      <c r="I17" s="37"/>
      <c r="J17" s="34"/>
      <c r="K17" s="34"/>
      <c r="L17" s="143"/>
      <c r="M17" s="667" t="s">
        <v>56</v>
      </c>
      <c r="N17" s="668"/>
      <c r="O17" s="700" t="s">
        <v>66</v>
      </c>
      <c r="P17" s="700"/>
      <c r="Q17" s="40"/>
      <c r="R17" s="34"/>
      <c r="S17" s="447" t="str">
        <f>IF(Lang="Français","Haut","Top")</f>
        <v>Haut</v>
      </c>
      <c r="T17" s="448">
        <f>X_ail-m_ail</f>
        <v>892</v>
      </c>
    </row>
    <row r="18" spans="1:20" ht="12.75" customHeight="1">
      <c r="A18" s="36"/>
      <c r="B18" s="172" t="str">
        <f>IF(Lang="Français","Position du bas",IF(Lang="English","Basement",""))</f>
        <v>Position du bas</v>
      </c>
      <c r="C18" s="678">
        <f>Long_tot</f>
        <v>1001</v>
      </c>
      <c r="D18" s="678"/>
      <c r="F18" s="37"/>
      <c r="G18" s="37"/>
      <c r="H18" s="37"/>
      <c r="I18" s="37"/>
      <c r="J18" s="34"/>
      <c r="K18" s="50"/>
      <c r="L18" s="137" t="str">
        <f>IF(Lang="Français","Coiffe",IF(Lang="English","Nose Cone",""))</f>
        <v>Coiffe</v>
      </c>
      <c r="M18" s="652">
        <f>IF(LEFT(Forme_ogive,5)="Parab",1/2*Long_ogive,IF(LEFT(Forme_ogive,4)="Ogiv",7/15*Long_ogive,IF(LEFT(Forme_ogive,3)="Con",2/3*Long_ogive)))</f>
        <v>92.866666666666674</v>
      </c>
      <c r="N18" s="653"/>
      <c r="O18" s="651">
        <f>2*POWER(D_og/D_ref, 2)</f>
        <v>2</v>
      </c>
      <c r="P18" s="651"/>
      <c r="Q18" s="40"/>
      <c r="R18" s="34"/>
      <c r="S18" s="447" t="str">
        <f>IF(Lang="Français","Emplanture","Root edge")</f>
        <v>Emplanture</v>
      </c>
      <c r="T18" s="448">
        <f>m_ail</f>
        <v>109</v>
      </c>
    </row>
    <row r="19" spans="1:20" ht="12.75" customHeight="1" thickBot="1">
      <c r="A19" s="36"/>
      <c r="B19" s="493" t="str">
        <f>IF(Propu="Cariacou","Cariacou :"," ")</f>
        <v xml:space="preserve"> </v>
      </c>
      <c r="C19" s="679" t="str">
        <f>IF(Propu="Pandora (Pro24-6G)",IF(Lang="Français","C'Space Seulement",IF(Lang="English","C'Space only","")),"")</f>
        <v/>
      </c>
      <c r="D19" s="679"/>
      <c r="E19" s="114"/>
      <c r="F19" s="37"/>
      <c r="G19" s="37"/>
      <c r="H19" s="37"/>
      <c r="I19" s="37"/>
      <c r="J19" s="34"/>
      <c r="K19" s="34"/>
      <c r="L19" s="137" t="str">
        <f>IF(Lang="Français","Ailerons",IF(Lang="English","Fins",""))</f>
        <v>Ailerons</v>
      </c>
      <c r="M19" s="652">
        <f>(XCpa*Cnail-0.5*XCpi*Cni)/Cnai</f>
        <v>962.7132936507935</v>
      </c>
      <c r="N19" s="653"/>
      <c r="O19" s="654">
        <f>Cnail-Cni/2</f>
        <v>19.497524281832401</v>
      </c>
      <c r="P19" s="655"/>
      <c r="Q19" s="40"/>
      <c r="R19" s="34"/>
      <c r="S19" s="447" t="str">
        <f>IF(Lang="Français","Bas","Base")</f>
        <v>Bas</v>
      </c>
      <c r="T19" s="448">
        <f>X_ail</f>
        <v>1001</v>
      </c>
    </row>
    <row r="20" spans="1:20" ht="12.75" customHeight="1" thickTop="1" thickBot="1">
      <c r="A20" s="36"/>
      <c r="B20" s="51"/>
      <c r="C20" s="656" t="str">
        <f>IF(Lang="Français","Coiffe",IF(Lang="English","Nose Cone",""))</f>
        <v>Coiffe</v>
      </c>
      <c r="D20" s="657"/>
      <c r="E20" s="114"/>
      <c r="F20" s="37"/>
      <c r="G20" s="37"/>
      <c r="H20" s="37"/>
      <c r="I20" s="37"/>
      <c r="J20" s="34"/>
      <c r="K20" s="34"/>
      <c r="L20" s="137" t="str">
        <f>IF(Lang="Français","Ail bas entier",IF(Lang="English","Total Lower Fins",""))</f>
        <v>Ail bas entier</v>
      </c>
      <c r="M20" s="652">
        <f>X_ail-m_ail+p_ail*(m_ail+2*n_ail)/(3*(m_ail+n_ail))+(m_ail+n_ail-m_ail*n_ail/(m_ail+n_ail))/6</f>
        <v>962.71329365079362</v>
      </c>
      <c r="N20" s="653"/>
      <c r="O20" s="651">
        <f>4*Q_ail*POWER((E_ail/D_ref),2)*(1+D_ail/(2*E_ail+D_ail))/(1+SQRT(1+POWER(2*f_ail/(m_ail+n_ail),2)))</f>
        <v>19.497524281832401</v>
      </c>
      <c r="P20" s="651"/>
      <c r="Q20" s="40"/>
      <c r="R20" s="34"/>
    </row>
    <row r="21" spans="1:20" ht="12.75" customHeight="1" thickTop="1">
      <c r="A21" s="36"/>
      <c r="B21" s="172" t="str">
        <f>IF(Lang="Français","Forme",IF(Lang="English","Shape",""))</f>
        <v>Forme</v>
      </c>
      <c r="C21" s="682" t="s">
        <v>553</v>
      </c>
      <c r="D21" s="683"/>
      <c r="E21" s="114"/>
      <c r="F21" s="37"/>
      <c r="G21" s="37"/>
      <c r="H21" s="37"/>
      <c r="I21" s="37"/>
      <c r="J21" s="34"/>
      <c r="K21" s="34"/>
      <c r="L21" s="137" t="str">
        <f>IF(Lang="Français","Ailerons haut",IF(Lang="English","Upper Fins",""))</f>
        <v>Ailerons haut</v>
      </c>
      <c r="M21" s="652">
        <f>IF(LEFT(Type_masquage,1)="M",0, X_can-m_can+p_can*(m_can+2*n_can)/(3*(m_can+n_can))+(m_can+n_can-m_can*n_can/(m_can+n_can))/6)</f>
        <v>0</v>
      </c>
      <c r="N21" s="653"/>
      <c r="O21" s="651">
        <f>IF(LEFT(Type_masquage,1)="M",0, 4*Q_can*POWER((E_can/D_ref),2)*(1+D_can/(2*E_can+D_can))/(1+SQRT(1+POWER(2*f_can/(m_can+n_can),2))))</f>
        <v>0</v>
      </c>
      <c r="P21" s="651"/>
      <c r="Q21" s="40"/>
      <c r="R21" s="34"/>
    </row>
    <row r="22" spans="1:20" ht="12.75" customHeight="1">
      <c r="A22" s="36"/>
      <c r="B22" s="172" t="str">
        <f>IF(Lang="Français","Hauteur",IF(Lang="English","Heigth",""))</f>
        <v>Hauteur</v>
      </c>
      <c r="C22" s="659">
        <v>199</v>
      </c>
      <c r="D22" s="660"/>
      <c r="E22" s="114"/>
      <c r="F22" s="37"/>
      <c r="G22" s="37"/>
      <c r="H22" s="37"/>
      <c r="I22" s="37"/>
      <c r="J22" s="34"/>
      <c r="K22" s="34"/>
      <c r="L22" s="137" t="str">
        <f>IF(Lang="Français","Partie masquée",IF(Lang="English","Interation zone",""))</f>
        <v>Partie masquée</v>
      </c>
      <c r="M22" s="671">
        <f>IF(LEFT(Type_masquage,1)="B", X_int-m_int+p_int*(m_int+2*n_int)/(3*(m_int+n_int))+(m_int+n_int-m_int*n_int/(m_int+n_int))/6, 0 )</f>
        <v>0</v>
      </c>
      <c r="N22" s="671"/>
      <c r="O22" s="654">
        <f>IF(LEFT(Type_masquage,1)="B", 4*Q_int*POWER((E_int/D_ref),2)*(1+D_int/(2*E_int+D_int))/(1+SQRT(1+POWER(2*f_int/(m_int+n_int),2))), 0 )</f>
        <v>0</v>
      </c>
      <c r="P22" s="655"/>
      <c r="Q22" s="40"/>
      <c r="R22" s="34"/>
    </row>
    <row r="23" spans="1:20" ht="12.75" customHeight="1">
      <c r="A23" s="36"/>
      <c r="B23" s="172" t="str">
        <f>IF(Lang="Français","Diamètre",IF(Lang="English","Diameter",""))</f>
        <v>Diamètre</v>
      </c>
      <c r="C23" s="659">
        <v>59</v>
      </c>
      <c r="D23" s="660"/>
      <c r="E23" s="114"/>
      <c r="F23" s="37"/>
      <c r="G23" s="37"/>
      <c r="H23" s="37"/>
      <c r="I23" s="37"/>
      <c r="J23" s="34"/>
      <c r="K23" s="34"/>
      <c r="L23" s="137" t="s">
        <v>157</v>
      </c>
      <c r="M23" s="652">
        <f>IF(OR(RIGHT(Nb_diam,1)=",",D2j=0),0, X_j+l_j/3*(1+1/(1+D1j/D2j)) )</f>
        <v>0</v>
      </c>
      <c r="N23" s="653"/>
      <c r="O23" s="651">
        <f>IF(OR(RIGHT(Nb_diam,1)=",",D2j=0),0,2*(POWER(D2j/D_ref,2)-POWER(D1j/D_ref,2)))</f>
        <v>0</v>
      </c>
      <c r="P23" s="651"/>
      <c r="Q23" s="40"/>
      <c r="R23" s="34"/>
    </row>
    <row r="24" spans="1:20" ht="12.75" customHeight="1" thickBot="1">
      <c r="A24" s="36"/>
      <c r="E24" s="114"/>
      <c r="F24" s="37"/>
      <c r="G24" s="37"/>
      <c r="H24" s="37"/>
      <c r="I24" s="37"/>
      <c r="J24" s="34"/>
      <c r="K24" s="34"/>
      <c r="L24" s="137" t="s">
        <v>158</v>
      </c>
      <c r="M24" s="652">
        <f>IF( OR(RIGHT(Nb_diam,1)=",",D2r=0), 0, X_r+l_r/3*(1+1/(1+D1r/D2r)) )</f>
        <v>0</v>
      </c>
      <c r="N24" s="653"/>
      <c r="O24" s="651">
        <f>IF( OR(RIGHT(Nb_diam,1)=",",D2r=0), 0, 2*(POWER(D2r/D_ref,2)-POWER(D1r/D_ref,2)) )</f>
        <v>0</v>
      </c>
      <c r="P24" s="651"/>
      <c r="Q24" s="40"/>
      <c r="R24" s="34"/>
    </row>
    <row r="25" spans="1:20" ht="12.75" customHeight="1" thickTop="1" thickBot="1">
      <c r="A25" s="36"/>
      <c r="B25" s="41"/>
      <c r="C25" s="211" t="str">
        <f>IF(LEFT(Type_masquage,1)="M",IF(Lang="Français","Ailerons","Fins"),IF(Lang="Français","Ailerons bas","Lower Fins"))</f>
        <v>Ailerons</v>
      </c>
      <c r="D25" s="212" t="str">
        <f>IF(Lang="Français","Ailerons haut",IF(Lang="English","Upper Fins",""))</f>
        <v>Ailerons haut</v>
      </c>
      <c r="E25" s="213" t="s">
        <v>152</v>
      </c>
      <c r="F25" s="37"/>
      <c r="G25" s="37"/>
      <c r="H25" s="37"/>
      <c r="I25" s="37"/>
      <c r="J25" s="34"/>
      <c r="K25" s="53"/>
      <c r="L25" s="54"/>
      <c r="M25" s="54"/>
      <c r="N25" s="54"/>
      <c r="O25" s="34"/>
      <c r="P25" s="34"/>
      <c r="Q25" s="40"/>
      <c r="R25" s="54"/>
      <c r="S25" s="449" t="str">
        <f ca="1">IF(AND(Portee_balistique&gt;200,LEFT(Type_propu,3)="Min"),IF(Lang="Français","Fusée trop lègère !","Rocket too light"),"")</f>
        <v/>
      </c>
    </row>
    <row r="26" spans="1:20" ht="12.75" customHeight="1" thickTop="1">
      <c r="A26" s="36"/>
      <c r="B26" s="41"/>
      <c r="C26" s="676" t="s">
        <v>428</v>
      </c>
      <c r="D26" s="677"/>
      <c r="E26" s="117"/>
      <c r="F26" s="55">
        <f ca="1">TODAY()</f>
        <v>44160</v>
      </c>
      <c r="G26" s="170" t="s">
        <v>63</v>
      </c>
      <c r="H26" s="646" t="str">
        <f>IF(Lang="Français","Résultats",IF(Lang="English","Results",""))</f>
        <v>Résultats</v>
      </c>
      <c r="I26" s="646"/>
      <c r="J26" s="170" t="s">
        <v>64</v>
      </c>
      <c r="K26" s="43"/>
      <c r="L26" s="54"/>
      <c r="M26" s="54"/>
      <c r="N26" s="54"/>
      <c r="O26" s="34"/>
      <c r="P26" s="34"/>
      <c r="Q26" s="40"/>
      <c r="R26" s="54"/>
      <c r="S26" s="449" t="str">
        <f ca="1">IF(AND(Vsortie_de_rampe&lt;18, OR(LEFT(Type_fusee,1)=",",LEFT(Type_fusee,4)="Mini",LEFT(Type_fusee,1)="R")),IF(Lang="Français","Fusée trop lourde ou rampe trop courte !","Rocket too heavy or launch pad too small!"),"")</f>
        <v/>
      </c>
    </row>
    <row r="27" spans="1:20" ht="12.75" customHeight="1">
      <c r="A27" s="36"/>
      <c r="B27" s="628" t="str">
        <f>IF(Lang="Français"," Emplanture  'm'",IF(Lang="English"," Root edge  'm'",""))</f>
        <v xml:space="preserve"> Emplanture  'm'</v>
      </c>
      <c r="C27" s="210">
        <v>109</v>
      </c>
      <c r="D27" s="210">
        <v>70</v>
      </c>
      <c r="E27" s="179">
        <f>m_ail</f>
        <v>109</v>
      </c>
      <c r="F27" s="134" t="s">
        <v>65</v>
      </c>
      <c r="G27" s="133">
        <f>IF(RIGHT(Type_fusee,1)=".",10, IF(OR(LEFT(Type_fusee,1)="R",LEFT(Type_fusee,1)=",",LEFT(Type_fusee,4)="Mini"),10, IF(LEFT(Type_fusee,5)="Micro",10, IF(RIGHT(Type_fusee,1)=" ",1))))</f>
        <v>10</v>
      </c>
      <c r="H27" s="694">
        <f>Long_tot/D_ref</f>
        <v>16.966101694915253</v>
      </c>
      <c r="I27" s="695"/>
      <c r="J27" s="133">
        <f>IF(RIGHT(Type_fusee,1)=".",35, IF(OR(LEFT(Type_fusee,1)="R",LEFT(Type_fusee,1)=",",LEFT(Type_fusee,4)="Mini"),20, IF(LEFT(Type_fusee,5)="Micro",30, IF(RIGHT(Type_fusee,1)=" ",100))))</f>
        <v>20</v>
      </c>
      <c r="K27" s="43"/>
      <c r="L27" s="54"/>
      <c r="M27" s="54"/>
      <c r="N27" s="54"/>
      <c r="O27" s="34"/>
      <c r="P27" s="34"/>
      <c r="Q27" s="40"/>
      <c r="R27" s="54"/>
      <c r="S27" s="449" t="str">
        <f>IF(Finesse&lt;CritFinessemin, IF(Lang="Français","Fusée trop courte !","Rocket too short!"), "" ) &amp; IF(Finesse&gt;CritFinessemax, IF(Lang="Français","Fusée trop longue !","Rocket too long!"), "" )</f>
        <v/>
      </c>
    </row>
    <row r="28" spans="1:20" ht="12.75" customHeight="1">
      <c r="A28" s="36"/>
      <c r="B28" s="628" t="str">
        <f>IF(Lang="Français"," Saumon       'n'",IF(Lang="English"," Tip edge    'n'",""))</f>
        <v xml:space="preserve"> Saumon       'n'</v>
      </c>
      <c r="C28" s="48">
        <v>59</v>
      </c>
      <c r="D28" s="48">
        <v>10</v>
      </c>
      <c r="E28" s="179">
        <f>n_ail+(m_ail-n_ail)*(1-E_int/E_ail)</f>
        <v>83.74747474747474</v>
      </c>
      <c r="F28" s="134" t="str">
        <f>IF(Lang="Français","Portance","Lift")</f>
        <v>Portance</v>
      </c>
      <c r="G28" s="133">
        <f>IF(RIGHT(Type_fusee,1)=".",15,IF(OR(LEFT(Type_fusee,1)="R",LEFT(Type_fusee,1)=",",LEFT(Type_fusee,4)="Mini"),15, IF(LEFT(Type_fusee,5)="Micro",15, IF(RIGHT(Type_fusee,1)=" ",15))))</f>
        <v>15</v>
      </c>
      <c r="H28" s="597">
        <f>Cnai+Cnc+Cno+Cnj+Cnr</f>
        <v>21.497524281832401</v>
      </c>
      <c r="I28" s="597">
        <f>Cnail+Cnc+Cno+Cnj+Cnr</f>
        <v>21.497524281832401</v>
      </c>
      <c r="J28" s="133">
        <f>IF(RIGHT(Type_fusee,1)=".",40, IF(OR(LEFT(Type_fusee,1)="R",LEFT(Type_fusee,1)=",",LEFT(Type_fusee,4)="Mini"),30, IF(LEFT(Type_fusee,5)="Micro",30, IF(RIGHT(Type_fusee,1)=" ",30))))</f>
        <v>30</v>
      </c>
      <c r="K28" s="43"/>
      <c r="L28" s="54"/>
      <c r="M28" s="54"/>
      <c r="N28" s="54"/>
      <c r="O28" s="34"/>
      <c r="P28" s="34"/>
      <c r="Q28" s="40"/>
      <c r="R28" s="54"/>
      <c r="S28" s="449" t="str">
        <f>IF(Cn&lt;CritCnmin, IF(Lang="Français","Ailerons trop petits !","Fins too small!"), "" ) &amp; IF(Cn&gt;CritCnmax, IF(Lang="Français","Ailerons trop grands !","Fins too big!"), "" )</f>
        <v/>
      </c>
    </row>
    <row r="29" spans="1:20" ht="12.75" customHeight="1">
      <c r="A29" s="36"/>
      <c r="B29" s="628" t="str">
        <f>IF(Lang="Français"," Flèche          'p'"," Offset         'p'")</f>
        <v xml:space="preserve"> Flèche          'p'</v>
      </c>
      <c r="C29" s="48">
        <v>109</v>
      </c>
      <c r="D29" s="48">
        <v>40</v>
      </c>
      <c r="E29" s="179">
        <f>p_ail*E_int/E_ail</f>
        <v>55.050505050505052</v>
      </c>
      <c r="F29" s="605" t="str">
        <f>IF(Lang="Français","MargeStat.","StatMargin")</f>
        <v>MargeStat.</v>
      </c>
      <c r="G29" s="599">
        <f>IF(RIGHT(Type_fusee,1)=".",2, IF(OR(LEFT(Type_fusee,1)="R",LEFT(Type_fusee,1)=",",LEFT(Type_fusee,4)="Mini"),1.5, IF(LEFT(Type_fusee,5)="Micro",1, IF(RIGHT(Type_fusee,1)=" ",1))))</f>
        <v>1.5</v>
      </c>
      <c r="H29" s="126">
        <f ca="1">(XCp-XcgPlein)/D_ref</f>
        <v>2.9412578598946553</v>
      </c>
      <c r="I29" s="127">
        <f ca="1">(XCp0-XcgVide)/D_ref</f>
        <v>3.2494194704570898</v>
      </c>
      <c r="J29" s="599">
        <f>IF(RIGHT(Type_fusee,1)=".",6, IF(OR(LEFT(Type_fusee,1)="R",LEFT(Type_fusee,1)=",",LEFT(Type_fusee,4)="Mini"),6, IF(LEFT(Type_fusee,5)="Micro",3, IF(RIGHT(Type_fusee,1)=" ",3))))</f>
        <v>6</v>
      </c>
      <c r="K29" s="43"/>
      <c r="L29" s="34"/>
      <c r="M29" s="34"/>
      <c r="N29" s="34"/>
      <c r="O29" s="34"/>
      <c r="P29" s="34"/>
      <c r="Q29" s="40"/>
      <c r="R29" s="54"/>
      <c r="S29" s="449"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c r="A30" s="36"/>
      <c r="B30" s="628" t="str">
        <f>IF(Lang="Français"," Envergure     'E'",IF(Lang="English"," Span          'E'",""))</f>
        <v xml:space="preserve"> Envergure     'E'</v>
      </c>
      <c r="C30" s="48">
        <v>99</v>
      </c>
      <c r="D30" s="48">
        <v>50</v>
      </c>
      <c r="E30" s="179">
        <f>IF(D_can/2+E_can&lt;=D_ail/2,0, IF(D_can/2+E_can&gt;=D_ail/2+E_ail,E_ail,  D_can/2+E_can - D_ail/2  ) )</f>
        <v>50</v>
      </c>
      <c r="F30" s="606" t="str">
        <f>IF(Lang="Français","Couple","Torque")</f>
        <v>Couple</v>
      </c>
      <c r="G30" s="600">
        <f>IF(RIGHT(Type_fusee,1)=".",40, IF(OR(LEFT(Type_fusee,1)="R",LEFT(Type_fusee,1)=",",LEFT(Type_fusee,4)="Mini"),30, IF(LEFT(Type_fusee,5)="Micro",15, IF(RIGHT(Type_fusee,1)=" ",15))))</f>
        <v>30</v>
      </c>
      <c r="H30" s="128">
        <f ca="1">MS_min*Cn</f>
        <v>63.229762262215758</v>
      </c>
      <c r="I30" s="125">
        <f ca="1">MS_max*Cn0</f>
        <v>69.854473968010268</v>
      </c>
      <c r="J30" s="600">
        <f>IF(RIGHT(Type_fusee,1)=".",100, IF(OR(LEFT(Type_fusee,1)="R",LEFT(Type_fusee,1)=",",LEFT(Type_fusee,4)="Mini"),100, IF(LEFT(Type_fusee,5)="Micro",100, IF(RIGHT(Type_fusee,1)=" ",90))))</f>
        <v>100</v>
      </c>
      <c r="K30" s="43"/>
      <c r="L30" s="34"/>
      <c r="M30" s="34"/>
      <c r="N30" s="34"/>
      <c r="O30" s="34"/>
      <c r="P30" s="34"/>
      <c r="Q30" s="40"/>
      <c r="R30" s="54"/>
      <c r="S30" s="449"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c r="A31" s="36"/>
      <c r="B31" s="629" t="str">
        <f>IF(Lang="Français"," Epaisseur     'ep'",IF(Lang="English"," Thickness  'ep'",""))</f>
        <v xml:space="preserve"> Epaisseur     'ep'</v>
      </c>
      <c r="C31" s="48">
        <v>2</v>
      </c>
      <c r="D31" s="48">
        <v>2</v>
      </c>
      <c r="E31" s="179">
        <f>ep_ail</f>
        <v>2</v>
      </c>
      <c r="F31" s="135" t="s">
        <v>56</v>
      </c>
      <c r="G31" s="132"/>
      <c r="H31" s="598">
        <f>(Cnai*XCpai+Cnc*XCpc+Cnj*XCpj+Cnr*XCpr+Cno*XCpo)/(Cnai+Cnc+Cnr+Cnj+Cno)</f>
        <v>881.7880098292294</v>
      </c>
      <c r="I31" s="598">
        <f>(Cnail*XCpa+Cnc*XCpc+Cnj*XCpj+Cnr*XCpr+Cno*XCpo)/(Cnail+Cnc+Cnr+Cnj+Cno)</f>
        <v>881.7880098292294</v>
      </c>
      <c r="J31" s="131"/>
      <c r="K31" s="43"/>
      <c r="L31" s="34"/>
      <c r="M31" s="34"/>
      <c r="N31" s="34"/>
      <c r="O31" s="34"/>
      <c r="P31" s="34"/>
      <c r="Q31" s="40"/>
      <c r="R31" s="54"/>
      <c r="S31" s="449"/>
    </row>
    <row r="32" spans="1:20" ht="12.75" customHeight="1">
      <c r="A32" s="36"/>
      <c r="B32" s="628" t="str">
        <f>IF(Lang="Français"," Nombre            ",IF(Lang="English"," Number of fins",""))</f>
        <v xml:space="preserve"> Nombre            </v>
      </c>
      <c r="C32" s="49">
        <v>4</v>
      </c>
      <c r="D32" s="49">
        <v>4</v>
      </c>
      <c r="E32" s="179">
        <f>IF(Q_ail=Q_can,Q_ail,FALSE)</f>
        <v>4</v>
      </c>
      <c r="F32" s="135" t="s">
        <v>67</v>
      </c>
      <c r="G32" s="132"/>
      <c r="H32" s="129">
        <f ca="1">(XCp-XcgPlein)/Long_tot*100</f>
        <v>17.336085288090377</v>
      </c>
      <c r="I32" s="130">
        <f ca="1">(XCp-XcgVide)/Long_tot*100</f>
        <v>19.152422453243588</v>
      </c>
      <c r="J32" s="131"/>
      <c r="K32" s="43"/>
      <c r="L32" s="34"/>
      <c r="M32" s="34"/>
      <c r="N32" s="34"/>
      <c r="O32" s="34"/>
      <c r="P32" s="34"/>
      <c r="Q32" s="40"/>
      <c r="R32" s="54"/>
    </row>
    <row r="33" spans="1:23" ht="12.75" customHeight="1">
      <c r="A33" s="36"/>
      <c r="B33" s="628" t="str">
        <f>IF(Lang="Français"," Position du bas",IF(Lang="English"," Basement",""))</f>
        <v xml:space="preserve"> Position du bas</v>
      </c>
      <c r="C33" s="48">
        <f>Long_tot</f>
        <v>1001</v>
      </c>
      <c r="D33" s="48">
        <v>700</v>
      </c>
      <c r="E33" s="179">
        <f>X_ail</f>
        <v>1001</v>
      </c>
      <c r="F33" s="37"/>
      <c r="G33" s="34"/>
      <c r="H33" s="684" t="str">
        <f ca="1">IF(AND(CritCnmin&lt;Cn,Cn0&lt;CritCnmax,CritMsmin&lt;MS_min,MS_max&lt;CritMsmax,CritMsCnmin&lt;MS_Cn_min,MS_Cn_max&lt;CritMsCnmax),"STABLE",IF(OR(Cn&lt;CritCnmin,MS_min&lt;CritMsmin,MS_Cn_min&lt;CritMsCnmin),"INSTABLE",IF(Lang="Français","SURSTABLE","OVERSTABLE")))</f>
        <v>STABLE</v>
      </c>
      <c r="I33" s="685"/>
      <c r="J33" s="46"/>
      <c r="K33" s="43"/>
      <c r="L33" s="34"/>
      <c r="M33" s="34"/>
      <c r="N33" s="34"/>
      <c r="O33" s="34"/>
      <c r="P33" s="34"/>
      <c r="Q33" s="40"/>
      <c r="R33" s="54"/>
    </row>
    <row r="34" spans="1:23" ht="12.75" customHeight="1">
      <c r="A34" s="36"/>
      <c r="B34" s="628" t="str">
        <f>IF(Lang="Français"," Diamètre         ",IF(Lang="English"," Diameter at Fins",""))</f>
        <v xml:space="preserve"> Diamètre         </v>
      </c>
      <c r="C34" s="48">
        <f>D_ref</f>
        <v>59</v>
      </c>
      <c r="D34" s="48">
        <f>D_ref</f>
        <v>59</v>
      </c>
      <c r="E34" s="179">
        <f>D_ail</f>
        <v>59</v>
      </c>
      <c r="F34" s="37"/>
      <c r="G34" s="34"/>
      <c r="H34" s="686"/>
      <c r="I34" s="687"/>
      <c r="J34" s="34"/>
      <c r="K34" s="43"/>
      <c r="L34" s="34"/>
      <c r="M34" s="34"/>
      <c r="N34" s="34"/>
      <c r="O34" s="34"/>
      <c r="P34" s="34"/>
      <c r="Q34" s="40"/>
      <c r="R34" s="54"/>
    </row>
    <row r="35" spans="1:23" ht="12.75" customHeight="1">
      <c r="A35" s="36"/>
      <c r="B35" s="628" t="str">
        <f>IF(Lang="Français"," Ligne mi-corde f",IF(Lang="English"," Mid-chord line f",""))</f>
        <v xml:space="preserve"> Ligne mi-corde f</v>
      </c>
      <c r="C35" s="178">
        <f>SQRT(POWER(p_ail+n_ail/2-m_ail/2,2)+POWER(E_ail,2))</f>
        <v>129.8345100502944</v>
      </c>
      <c r="D35" s="178">
        <f>SQRT(POWER(p_can+n_can/2-m_can/2,2)+POWER(E_can,2))</f>
        <v>50.990195135927848</v>
      </c>
      <c r="E35" s="179">
        <f>SQRT(POWER(p_int+n_int/2-m_int/2,2)+POWER(E_int,2))</f>
        <v>65.572984873886057</v>
      </c>
      <c r="F35" s="37"/>
      <c r="G35" s="37"/>
      <c r="H35" s="37"/>
      <c r="I35" s="37"/>
      <c r="J35" s="34"/>
      <c r="K35" s="43"/>
      <c r="L35" s="34"/>
      <c r="M35" s="34"/>
      <c r="N35" s="34"/>
      <c r="O35" s="34"/>
      <c r="P35" s="34"/>
      <c r="Q35" s="40"/>
      <c r="R35" s="54"/>
      <c r="W35" s="35" t="str">
        <f>RIGHT(Type_fusee,1="R")</f>
        <v/>
      </c>
    </row>
    <row r="36" spans="1:23" ht="12.75" customHeight="1" thickBot="1">
      <c r="A36" s="57"/>
      <c r="B36" s="216" t="str">
        <f>IF(Lang="Français","Commentaire libre :",IF(Lang="English","Free comment:",""))</f>
        <v>Commentaire libre :</v>
      </c>
      <c r="C36" s="58"/>
      <c r="D36" s="59"/>
      <c r="E36" s="118"/>
      <c r="F36" s="89"/>
      <c r="G36" s="89"/>
      <c r="H36" s="89"/>
      <c r="I36" s="89"/>
      <c r="J36" s="60"/>
      <c r="K36" s="59"/>
      <c r="L36" s="450" t="s">
        <v>273</v>
      </c>
      <c r="M36" s="453" t="str">
        <f>IF(ROUND(SUM(Propu!5:1228),0)=395253,"propu OK","propu NOK")</f>
        <v>propu OK</v>
      </c>
      <c r="N36" s="452" t="str">
        <f>IF(Lang="Français","fichier initial","Initial file")</f>
        <v>fichier initial</v>
      </c>
      <c r="O36" s="453"/>
      <c r="P36" s="451"/>
      <c r="Q36" s="341" t="s">
        <v>549</v>
      </c>
      <c r="R36" s="54"/>
    </row>
    <row r="37" spans="1:23" ht="12.75" customHeight="1">
      <c r="R37" s="61"/>
    </row>
    <row r="38" spans="1:23">
      <c r="L38" s="265" t="str">
        <f>IF(Lang="Français","Maintenant que votre fusée est stable, vérifiez sa trajectoire via la feuille","Now your rocket is stable, check its trajectory on sheet")</f>
        <v>Maintenant que votre fusée est stable, vérifiez sa trajectoire via la feuille</v>
      </c>
      <c r="M38" s="569" t="s">
        <v>183</v>
      </c>
    </row>
    <row r="39" spans="1:23">
      <c r="H39" s="264"/>
      <c r="O39" s="56"/>
      <c r="P39" s="56"/>
    </row>
    <row r="40" spans="1:23">
      <c r="F40" s="35"/>
      <c r="H40" s="61"/>
      <c r="I40" s="62"/>
      <c r="J40" s="61"/>
      <c r="N40" s="61"/>
      <c r="Q40" s="61"/>
      <c r="S40" s="595"/>
    </row>
    <row r="41" spans="1:23">
      <c r="F41" s="35"/>
      <c r="G41" s="592"/>
      <c r="H41" s="593"/>
      <c r="I41" s="62"/>
      <c r="J41" s="61"/>
      <c r="N41" s="61"/>
      <c r="Q41" s="61"/>
      <c r="R41" s="61"/>
    </row>
    <row r="42" spans="1:23">
      <c r="F42" s="35"/>
      <c r="H42" s="61"/>
      <c r="I42" s="62"/>
      <c r="J42" s="61"/>
      <c r="N42" s="61"/>
      <c r="Q42" s="61"/>
      <c r="R42" s="61"/>
    </row>
    <row r="43" spans="1:23">
      <c r="F43" s="35"/>
      <c r="H43" s="61"/>
      <c r="I43" s="62"/>
      <c r="J43" s="61"/>
      <c r="N43" s="61"/>
      <c r="Q43" s="61"/>
      <c r="R43" s="61"/>
    </row>
    <row r="44" spans="1:23">
      <c r="F44" s="35"/>
      <c r="H44" s="61"/>
      <c r="I44" s="62"/>
      <c r="J44" s="61"/>
      <c r="N44" s="61"/>
      <c r="O44" s="34"/>
      <c r="P44" s="34"/>
      <c r="Q44" s="61"/>
      <c r="R44" s="61"/>
    </row>
    <row r="45" spans="1:23">
      <c r="F45" s="35"/>
      <c r="H45" s="61"/>
      <c r="I45" s="62"/>
      <c r="J45" s="61"/>
      <c r="N45" s="61"/>
      <c r="O45" s="34"/>
      <c r="P45" s="34"/>
      <c r="Q45" s="61"/>
      <c r="R45" s="61"/>
    </row>
    <row r="46" spans="1:23">
      <c r="F46" s="35"/>
      <c r="H46" s="61"/>
      <c r="I46" s="62"/>
      <c r="J46" s="61"/>
      <c r="L46" s="61"/>
      <c r="M46" s="61"/>
      <c r="N46" s="61"/>
      <c r="O46" s="34"/>
      <c r="P46" s="34"/>
      <c r="Q46" s="61"/>
      <c r="R46" s="61"/>
    </row>
    <row r="47" spans="1:23">
      <c r="F47" s="35"/>
      <c r="H47" s="61"/>
      <c r="I47" s="62"/>
      <c r="J47" s="61"/>
      <c r="L47" s="61"/>
      <c r="M47" s="61"/>
      <c r="N47" s="61"/>
      <c r="O47" s="34"/>
      <c r="P47" s="34"/>
      <c r="Q47" s="61"/>
      <c r="R47" s="61"/>
    </row>
    <row r="48" spans="1:23">
      <c r="F48" s="35"/>
      <c r="H48" s="61"/>
      <c r="I48" s="62"/>
      <c r="J48" s="61"/>
      <c r="L48" s="61"/>
      <c r="M48" s="61"/>
      <c r="N48" s="61"/>
      <c r="O48" s="34"/>
      <c r="P48" s="34"/>
      <c r="Q48" s="61"/>
      <c r="R48" s="61"/>
    </row>
    <row r="49" spans="2:18">
      <c r="F49" s="35"/>
      <c r="H49" s="61"/>
      <c r="I49" s="62"/>
      <c r="J49" s="61"/>
      <c r="L49" s="61"/>
      <c r="M49" s="61"/>
      <c r="N49" s="61"/>
      <c r="O49" s="34"/>
      <c r="P49" s="34"/>
      <c r="Q49" s="61"/>
      <c r="R49" s="61"/>
    </row>
    <row r="50" spans="2:18">
      <c r="F50" s="35"/>
      <c r="H50" s="61"/>
      <c r="I50" s="62"/>
      <c r="J50" s="61"/>
      <c r="L50" s="61"/>
      <c r="M50" s="61"/>
      <c r="N50" s="61"/>
      <c r="O50" s="34"/>
      <c r="P50" s="34"/>
      <c r="Q50" s="61"/>
      <c r="R50" s="61"/>
    </row>
    <row r="51" spans="2:18">
      <c r="F51" s="35"/>
      <c r="H51" s="61"/>
      <c r="I51" s="62"/>
      <c r="J51" s="61"/>
      <c r="L51" s="61"/>
      <c r="M51" s="61"/>
      <c r="N51" s="61"/>
      <c r="O51" s="34"/>
      <c r="P51" s="34"/>
      <c r="Q51" s="61"/>
      <c r="R51" s="61"/>
    </row>
    <row r="52" spans="2:18">
      <c r="H52" s="61"/>
      <c r="I52" s="62"/>
      <c r="J52" s="61"/>
      <c r="L52" s="61"/>
      <c r="M52" s="61"/>
      <c r="N52" s="61"/>
      <c r="O52" s="34"/>
      <c r="P52" s="34"/>
      <c r="Q52" s="61"/>
      <c r="R52" s="61"/>
    </row>
    <row r="53" spans="2:18">
      <c r="H53" s="61"/>
      <c r="I53" s="62"/>
      <c r="J53" s="61"/>
      <c r="L53" s="61"/>
      <c r="M53" s="61"/>
      <c r="N53" s="61"/>
      <c r="Q53" s="61"/>
      <c r="R53" s="61"/>
    </row>
    <row r="54" spans="2:18">
      <c r="H54" s="61"/>
      <c r="I54" s="62"/>
      <c r="J54" s="61"/>
      <c r="L54" s="61"/>
      <c r="M54" s="61"/>
      <c r="N54" s="61"/>
      <c r="Q54" s="61"/>
      <c r="R54" s="61"/>
    </row>
    <row r="55" spans="2:18">
      <c r="H55" s="61"/>
      <c r="I55" s="62"/>
      <c r="J55" s="61"/>
      <c r="L55" s="61"/>
      <c r="M55" s="61"/>
      <c r="N55" s="61"/>
      <c r="Q55" s="61"/>
      <c r="R55" s="61"/>
    </row>
    <row r="56" spans="2:18">
      <c r="C56" s="35"/>
      <c r="H56" s="61"/>
      <c r="I56" s="62"/>
      <c r="J56" s="61"/>
      <c r="L56" s="61"/>
      <c r="M56" s="61"/>
      <c r="N56" s="61"/>
      <c r="Q56" s="61"/>
      <c r="R56" s="61"/>
    </row>
    <row r="57" spans="2:18">
      <c r="H57" s="61"/>
      <c r="I57" s="62"/>
      <c r="J57" s="61"/>
      <c r="L57" s="61"/>
      <c r="M57" s="61"/>
      <c r="N57" s="61"/>
      <c r="Q57" s="61"/>
      <c r="R57" s="61"/>
    </row>
    <row r="58" spans="2:18">
      <c r="B58" s="52"/>
      <c r="H58" s="61"/>
      <c r="I58" s="62"/>
      <c r="J58" s="61"/>
      <c r="L58" s="61"/>
      <c r="M58" s="61"/>
      <c r="N58" s="61"/>
      <c r="Q58" s="61"/>
      <c r="R58" s="61"/>
    </row>
    <row r="59" spans="2:18">
      <c r="B59" s="52"/>
      <c r="H59" s="61"/>
      <c r="I59" s="62"/>
      <c r="J59" s="61"/>
      <c r="L59" s="61"/>
      <c r="M59" s="61"/>
      <c r="N59" s="61"/>
      <c r="Q59" s="61"/>
      <c r="R59" s="61"/>
    </row>
    <row r="60" spans="2:18">
      <c r="B60" s="52"/>
      <c r="H60" s="61"/>
      <c r="I60" s="62"/>
      <c r="J60" s="61"/>
      <c r="L60" s="61"/>
      <c r="M60" s="61"/>
      <c r="N60" s="61"/>
      <c r="Q60" s="61"/>
      <c r="R60" s="61"/>
    </row>
    <row r="61" spans="2:18">
      <c r="B61" s="52"/>
      <c r="H61" s="61"/>
      <c r="I61" s="62"/>
      <c r="J61" s="61"/>
      <c r="L61" s="61"/>
      <c r="M61" s="61"/>
      <c r="N61" s="61"/>
      <c r="Q61" s="61"/>
      <c r="R61" s="61"/>
    </row>
    <row r="62" spans="2:18">
      <c r="B62" s="52"/>
      <c r="H62" s="61"/>
      <c r="I62" s="62"/>
      <c r="J62" s="61"/>
      <c r="L62" s="61"/>
      <c r="M62" s="61"/>
      <c r="N62" s="61"/>
      <c r="Q62" s="61"/>
      <c r="R62" s="61"/>
    </row>
    <row r="63" spans="2:18">
      <c r="B63" s="52"/>
      <c r="H63" s="61"/>
      <c r="I63" s="62"/>
      <c r="J63" s="61"/>
      <c r="L63" s="61"/>
      <c r="M63" s="61"/>
      <c r="N63" s="61"/>
      <c r="Q63" s="61"/>
      <c r="R63" s="61"/>
    </row>
    <row r="64" spans="2:18">
      <c r="B64" s="52"/>
      <c r="H64" s="61"/>
      <c r="I64" s="62"/>
      <c r="J64" s="61"/>
      <c r="L64" s="61"/>
      <c r="M64" s="61"/>
      <c r="N64" s="61"/>
      <c r="Q64" s="61"/>
      <c r="R64" s="61"/>
    </row>
    <row r="65" spans="2:18">
      <c r="B65" s="52"/>
      <c r="H65" s="61"/>
      <c r="I65" s="62"/>
      <c r="J65" s="61"/>
      <c r="L65" s="61"/>
      <c r="M65" s="61"/>
      <c r="N65" s="61"/>
      <c r="Q65" s="61"/>
      <c r="R65" s="61"/>
    </row>
    <row r="66" spans="2:18">
      <c r="B66" s="52"/>
      <c r="H66" s="61"/>
      <c r="I66" s="62"/>
      <c r="J66" s="61"/>
      <c r="L66" s="61"/>
      <c r="M66" s="61"/>
      <c r="N66" s="61"/>
      <c r="Q66" s="61"/>
      <c r="R66" s="61"/>
    </row>
    <row r="67" spans="2:18">
      <c r="C67" s="35"/>
      <c r="H67" s="61"/>
      <c r="I67" s="62"/>
      <c r="J67" s="61"/>
      <c r="L67" s="61"/>
      <c r="M67" s="61"/>
      <c r="N67" s="61"/>
      <c r="Q67" s="61"/>
      <c r="R67" s="61"/>
    </row>
    <row r="68" spans="2:18">
      <c r="C68" s="35"/>
      <c r="H68" s="61"/>
      <c r="I68" s="62"/>
      <c r="J68" s="61"/>
      <c r="L68" s="61"/>
      <c r="M68" s="61"/>
      <c r="N68" s="61"/>
      <c r="Q68" s="61"/>
      <c r="R68" s="61"/>
    </row>
    <row r="69" spans="2:18">
      <c r="C69" s="35"/>
      <c r="H69" s="61"/>
      <c r="I69" s="62"/>
      <c r="J69" s="61"/>
      <c r="L69" s="61"/>
      <c r="M69" s="61"/>
      <c r="N69" s="61"/>
      <c r="Q69" s="61"/>
      <c r="R69" s="61"/>
    </row>
    <row r="70" spans="2:18">
      <c r="C70" s="35"/>
      <c r="H70" s="61"/>
      <c r="I70" s="62"/>
      <c r="J70" s="61"/>
      <c r="L70" s="61"/>
      <c r="M70" s="61"/>
      <c r="N70" s="61"/>
      <c r="Q70" s="61"/>
      <c r="R70" s="61"/>
    </row>
    <row r="71" spans="2:18">
      <c r="C71" s="35"/>
      <c r="H71" s="61"/>
      <c r="I71" s="62"/>
      <c r="J71" s="61"/>
      <c r="L71" s="61"/>
      <c r="M71" s="61"/>
      <c r="N71" s="61"/>
      <c r="Q71" s="61"/>
      <c r="R71" s="61"/>
    </row>
    <row r="72" spans="2:18">
      <c r="C72" s="35"/>
      <c r="H72" s="61"/>
      <c r="I72" s="62"/>
      <c r="J72" s="61"/>
      <c r="L72" s="61"/>
      <c r="M72" s="61"/>
      <c r="N72" s="61"/>
      <c r="Q72" s="61"/>
      <c r="R72" s="61"/>
    </row>
    <row r="73" spans="2:18">
      <c r="C73" s="35"/>
      <c r="H73" s="61"/>
      <c r="I73" s="62"/>
      <c r="J73" s="61"/>
      <c r="L73" s="61"/>
      <c r="M73" s="61"/>
      <c r="N73" s="61"/>
      <c r="Q73" s="61"/>
      <c r="R73" s="61"/>
    </row>
    <row r="74" spans="2:18">
      <c r="C74" s="35"/>
      <c r="H74" s="61"/>
      <c r="I74" s="62"/>
      <c r="J74" s="61"/>
      <c r="L74" s="61"/>
      <c r="M74" s="61"/>
      <c r="N74" s="61"/>
      <c r="Q74" s="61"/>
      <c r="R74" s="61"/>
    </row>
    <row r="75" spans="2:18">
      <c r="C75" s="35"/>
      <c r="H75" s="61"/>
      <c r="I75" s="62"/>
      <c r="J75" s="61"/>
      <c r="L75" s="61"/>
      <c r="M75" s="61"/>
      <c r="N75" s="61"/>
      <c r="Q75" s="61"/>
      <c r="R75" s="61"/>
    </row>
    <row r="76" spans="2:18">
      <c r="C76" s="35"/>
      <c r="H76" s="61"/>
      <c r="I76" s="62"/>
      <c r="J76" s="61"/>
      <c r="L76" s="61"/>
      <c r="M76" s="61"/>
      <c r="N76" s="61"/>
      <c r="Q76" s="61"/>
      <c r="R76" s="61"/>
    </row>
    <row r="77" spans="2:18">
      <c r="C77" s="35"/>
      <c r="H77" s="61"/>
      <c r="I77" s="62"/>
      <c r="J77" s="61"/>
      <c r="L77" s="61"/>
      <c r="M77" s="61"/>
      <c r="N77" s="61"/>
      <c r="Q77" s="61"/>
      <c r="R77" s="61"/>
    </row>
    <row r="78" spans="2:18">
      <c r="C78" s="35"/>
      <c r="H78" s="61"/>
      <c r="I78" s="62"/>
      <c r="J78" s="61"/>
      <c r="L78" s="61"/>
      <c r="M78" s="61"/>
      <c r="N78" s="61"/>
      <c r="Q78" s="61"/>
      <c r="R78" s="61"/>
    </row>
    <row r="79" spans="2:18">
      <c r="C79" s="35"/>
      <c r="H79" s="61"/>
      <c r="I79" s="62"/>
      <c r="J79" s="61"/>
      <c r="L79" s="61"/>
      <c r="M79" s="61"/>
      <c r="N79" s="61"/>
      <c r="Q79" s="61"/>
      <c r="R79" s="61"/>
    </row>
    <row r="80" spans="2:18">
      <c r="C80" s="35"/>
      <c r="H80" s="61"/>
      <c r="I80" s="62"/>
      <c r="J80" s="61"/>
      <c r="L80" s="61"/>
      <c r="M80" s="61"/>
      <c r="N80" s="61"/>
      <c r="Q80" s="61"/>
      <c r="R80" s="61"/>
    </row>
    <row r="81" spans="2:18">
      <c r="C81" s="35"/>
      <c r="H81" s="61"/>
      <c r="I81" s="62"/>
      <c r="J81" s="61"/>
      <c r="L81" s="61"/>
      <c r="M81" s="61"/>
      <c r="N81" s="61"/>
      <c r="Q81" s="61"/>
      <c r="R81" s="61"/>
    </row>
    <row r="82" spans="2:18">
      <c r="C82" s="35"/>
      <c r="H82" s="61"/>
      <c r="I82" s="62"/>
      <c r="J82" s="61"/>
      <c r="L82" s="61"/>
      <c r="M82" s="61"/>
      <c r="N82" s="61"/>
      <c r="Q82" s="61"/>
      <c r="R82" s="61"/>
    </row>
    <row r="83" spans="2:18">
      <c r="C83" s="35"/>
      <c r="H83" s="61"/>
      <c r="I83" s="62"/>
      <c r="J83" s="61"/>
      <c r="L83" s="61"/>
      <c r="M83" s="61"/>
      <c r="N83" s="61"/>
      <c r="Q83" s="61"/>
      <c r="R83" s="61"/>
    </row>
    <row r="84" spans="2:18">
      <c r="C84" s="35"/>
      <c r="H84" s="61"/>
      <c r="I84" s="62"/>
      <c r="J84" s="61"/>
      <c r="L84" s="61"/>
      <c r="M84" s="61"/>
      <c r="N84" s="61"/>
      <c r="Q84" s="61"/>
      <c r="R84" s="61"/>
    </row>
    <row r="85" spans="2:18">
      <c r="C85" s="35"/>
      <c r="H85" s="61"/>
      <c r="I85" s="62"/>
      <c r="J85" s="61"/>
      <c r="L85" s="61"/>
      <c r="M85" s="61"/>
      <c r="N85" s="61"/>
      <c r="Q85" s="61"/>
      <c r="R85" s="61"/>
    </row>
    <row r="86" spans="2:18">
      <c r="C86" s="35"/>
      <c r="H86" s="61"/>
      <c r="I86" s="62"/>
      <c r="J86" s="61"/>
      <c r="L86" s="61"/>
      <c r="M86" s="61"/>
      <c r="N86" s="61"/>
      <c r="Q86" s="61"/>
      <c r="R86" s="61"/>
    </row>
    <row r="87" spans="2:18">
      <c r="C87" s="35"/>
      <c r="H87" s="61"/>
      <c r="I87" s="62"/>
      <c r="J87" s="61"/>
      <c r="L87" s="61"/>
      <c r="M87" s="61"/>
      <c r="N87" s="61"/>
      <c r="Q87" s="61"/>
      <c r="R87" s="61"/>
    </row>
    <row r="88" spans="2:18">
      <c r="C88" s="35"/>
      <c r="H88" s="61"/>
      <c r="I88" s="62"/>
      <c r="J88" s="61"/>
      <c r="L88" s="61"/>
      <c r="M88" s="61"/>
      <c r="N88" s="61"/>
      <c r="Q88" s="61"/>
      <c r="R88" s="61"/>
    </row>
    <row r="89" spans="2:18">
      <c r="C89" s="35"/>
      <c r="H89" s="61"/>
      <c r="I89" s="62"/>
      <c r="J89" s="61"/>
      <c r="L89" s="61"/>
      <c r="M89" s="61"/>
      <c r="N89" s="61"/>
      <c r="Q89" s="61"/>
      <c r="R89" s="61"/>
    </row>
    <row r="90" spans="2:18">
      <c r="C90" s="35"/>
      <c r="H90" s="61"/>
      <c r="I90" s="62"/>
      <c r="J90" s="61"/>
      <c r="L90" s="61"/>
      <c r="M90" s="61"/>
      <c r="N90" s="61"/>
      <c r="Q90" s="61"/>
      <c r="R90" s="61"/>
    </row>
    <row r="91" spans="2:18">
      <c r="B91" s="35" t="str">
        <f>IF(Lang="Français","Textes pour les listes déroulantes et graphiques :",IF(Lang="English","Texts for drop-down lists &amp; graphics :",""))</f>
        <v>Textes pour les listes déroulantes et graphiques :</v>
      </c>
      <c r="H91" s="61"/>
      <c r="I91" s="62"/>
      <c r="J91" s="61"/>
      <c r="L91" s="61"/>
      <c r="M91" s="61"/>
      <c r="N91" s="61"/>
      <c r="Q91" s="61"/>
      <c r="R91" s="61"/>
    </row>
    <row r="92" spans="2:18">
      <c r="H92" s="61"/>
      <c r="I92" s="62"/>
      <c r="J92" s="61"/>
      <c r="L92" s="61"/>
      <c r="M92" s="61"/>
      <c r="N92" s="61"/>
      <c r="Q92" s="61"/>
      <c r="R92" s="61"/>
    </row>
    <row r="93" spans="2:18">
      <c r="B93" s="37" t="s">
        <v>1</v>
      </c>
      <c r="H93" s="61"/>
      <c r="I93" s="62"/>
      <c r="J93" s="61"/>
      <c r="L93" s="61"/>
      <c r="M93" s="61"/>
      <c r="N93" s="61"/>
      <c r="Q93" s="61"/>
      <c r="R93" s="61"/>
    </row>
    <row r="94" spans="2:18">
      <c r="B94" s="63" t="s">
        <v>68</v>
      </c>
      <c r="H94" s="61"/>
      <c r="I94" s="62"/>
      <c r="J94" s="61"/>
      <c r="L94" s="61"/>
      <c r="M94" s="61"/>
      <c r="N94" s="61"/>
      <c r="Q94" s="61"/>
      <c r="R94" s="61"/>
    </row>
    <row r="95" spans="2:18">
      <c r="B95" s="63"/>
      <c r="H95" s="61"/>
      <c r="I95" s="62"/>
      <c r="J95" s="61"/>
      <c r="L95" s="61"/>
      <c r="M95" s="61"/>
      <c r="N95" s="61"/>
      <c r="Q95" s="61"/>
      <c r="R95" s="61"/>
    </row>
    <row r="96" spans="2:18">
      <c r="B96" s="37" t="str">
        <f>IF(Lang="Français","Fusée à eau  ",IF(Lang="English","Water-rocket  ",""))</f>
        <v xml:space="preserve">Fusée à eau  </v>
      </c>
      <c r="H96" s="61"/>
      <c r="I96" s="62"/>
      <c r="J96" s="61"/>
      <c r="L96" s="61"/>
      <c r="M96" s="61"/>
      <c r="N96" s="61"/>
      <c r="Q96" s="61"/>
      <c r="R96" s="61"/>
    </row>
    <row r="97" spans="2:18">
      <c r="B97" s="37" t="str">
        <f>IF(Lang="Français","Microfusée",IF(Lang="English","Micro-rocket",""))</f>
        <v>Microfusée</v>
      </c>
      <c r="H97" s="61"/>
      <c r="I97" s="62"/>
      <c r="J97" s="61"/>
      <c r="L97" s="61"/>
      <c r="M97" s="61"/>
      <c r="N97" s="61"/>
      <c r="Q97" s="61"/>
      <c r="R97" s="61"/>
    </row>
    <row r="98" spans="2:18">
      <c r="B98" s="37" t="str">
        <f>IF(Lang="Français","Minifusée",IF(Lang="English","Mini-rocket",""))</f>
        <v>Minifusée</v>
      </c>
      <c r="H98" s="61"/>
      <c r="I98" s="62"/>
      <c r="J98" s="61"/>
      <c r="L98" s="61"/>
      <c r="M98" s="61"/>
      <c r="N98" s="61"/>
      <c r="Q98" s="61"/>
      <c r="R98" s="61"/>
    </row>
    <row r="99" spans="2:18">
      <c r="B99" s="37" t="s">
        <v>401</v>
      </c>
      <c r="H99" s="61"/>
      <c r="I99" s="62"/>
      <c r="J99" s="61"/>
      <c r="L99" s="61"/>
      <c r="M99" s="61"/>
      <c r="N99" s="61"/>
      <c r="Q99" s="61"/>
      <c r="R99" s="61"/>
    </row>
    <row r="100" spans="2:18">
      <c r="B100" s="37" t="str">
        <f>IF(Lang="Français","Fusée expérimentale.",IF(Lang="English","Experimental Rocket.",""))</f>
        <v>Fusée expérimentale.</v>
      </c>
      <c r="H100" s="61"/>
      <c r="I100" s="62"/>
      <c r="J100" s="61"/>
      <c r="L100" s="61"/>
      <c r="M100" s="61"/>
      <c r="N100" s="61"/>
      <c r="Q100" s="61"/>
      <c r="R100" s="61"/>
    </row>
    <row r="101" spans="2:18">
      <c r="B101" s="37" t="s">
        <v>402</v>
      </c>
      <c r="H101" s="61"/>
      <c r="I101" s="62"/>
      <c r="J101" s="61"/>
      <c r="L101" s="61"/>
      <c r="M101" s="61"/>
      <c r="N101" s="61"/>
      <c r="Q101" s="61"/>
      <c r="R101" s="61"/>
    </row>
    <row r="102" spans="2:18">
      <c r="B102" s="37"/>
      <c r="H102" s="61"/>
      <c r="I102" s="62"/>
      <c r="J102" s="61"/>
      <c r="L102" s="61"/>
      <c r="M102" s="61"/>
      <c r="N102" s="61"/>
      <c r="Q102" s="61"/>
      <c r="R102" s="61"/>
    </row>
    <row r="103" spans="2:18">
      <c r="B103" s="37" t="str">
        <f>IF(Lang="Français","sans propu",IF(Lang="English","without motor",""))</f>
        <v>sans propu</v>
      </c>
      <c r="H103" s="61"/>
      <c r="I103" s="62"/>
      <c r="J103" s="61"/>
      <c r="L103" s="61"/>
      <c r="M103" s="61"/>
      <c r="N103" s="61"/>
      <c r="Q103" s="61"/>
      <c r="R103" s="61"/>
    </row>
    <row r="104" spans="2:18">
      <c r="B104" s="37" t="str">
        <f>IF(Lang="Français","avec propu vide",IF(Lang="English","with empty motor",""))</f>
        <v>avec propu vide</v>
      </c>
      <c r="H104" s="61"/>
      <c r="I104" s="62"/>
      <c r="J104" s="61"/>
      <c r="L104" s="61"/>
      <c r="M104" s="61"/>
      <c r="N104" s="61"/>
      <c r="Q104" s="61"/>
      <c r="R104" s="61"/>
    </row>
    <row r="105" spans="2:18">
      <c r="B105" s="37" t="str">
        <f>IF(Lang="Français","avec propu plein",IF(Lang="English","with loaded motor",""))</f>
        <v>avec propu plein</v>
      </c>
      <c r="H105" s="61"/>
      <c r="I105" s="62"/>
      <c r="J105" s="61"/>
      <c r="L105" s="61"/>
      <c r="M105" s="61"/>
      <c r="N105" s="61"/>
      <c r="Q105" s="61"/>
      <c r="R105" s="61"/>
    </row>
    <row r="106" spans="2:18">
      <c r="B106" s="37"/>
      <c r="H106" s="61"/>
      <c r="I106" s="62"/>
      <c r="J106" s="61"/>
      <c r="L106" s="61"/>
      <c r="M106" s="61"/>
      <c r="N106" s="61"/>
      <c r="Q106" s="61"/>
      <c r="R106" s="61"/>
    </row>
    <row r="107" spans="2:18">
      <c r="B107" s="37" t="str">
        <f>IF(Lang="Français","Parabolique (arrondie)",IF(Lang="English","Parabola (rounded)",""))</f>
        <v>Parabolique (arrondie)</v>
      </c>
      <c r="H107" s="61"/>
      <c r="I107" s="62"/>
      <c r="J107" s="61"/>
      <c r="L107" s="61"/>
      <c r="M107" s="61"/>
      <c r="N107" s="61"/>
      <c r="Q107" s="61"/>
      <c r="R107" s="61"/>
    </row>
    <row r="108" spans="2:18">
      <c r="B108" s="63" t="str">
        <f>IF(Lang="Français","Ogivale (pointue)",IF(Lang="English","Ogive (sharp)",""))</f>
        <v>Ogivale (pointue)</v>
      </c>
      <c r="H108" s="61"/>
      <c r="I108" s="62"/>
      <c r="J108" s="61"/>
      <c r="L108" s="61"/>
      <c r="M108" s="61"/>
      <c r="N108" s="61"/>
      <c r="Q108" s="61"/>
      <c r="R108" s="61"/>
    </row>
    <row r="109" spans="2:18">
      <c r="B109" s="37" t="str">
        <f>IF(Lang="Français","Conique (droite)",IF(Lang="English","Cone (straight)",""))</f>
        <v>Conique (droite)</v>
      </c>
      <c r="H109" s="61"/>
      <c r="I109" s="62"/>
      <c r="J109" s="61"/>
      <c r="L109" s="61"/>
      <c r="M109" s="61"/>
      <c r="N109" s="61"/>
      <c r="Q109" s="61"/>
      <c r="R109" s="61"/>
    </row>
    <row r="110" spans="2:18">
      <c r="B110" s="64"/>
      <c r="H110" s="61"/>
      <c r="I110" s="62"/>
      <c r="J110" s="61"/>
      <c r="L110" s="61"/>
      <c r="M110" s="61"/>
      <c r="N110" s="61"/>
      <c r="Q110" s="61"/>
      <c r="R110" s="61"/>
    </row>
    <row r="111" spans="2:18">
      <c r="B111" s="65" t="s">
        <v>428</v>
      </c>
      <c r="H111" s="61"/>
      <c r="I111" s="62"/>
      <c r="J111" s="61"/>
      <c r="L111" s="61"/>
      <c r="M111" s="61"/>
      <c r="N111" s="61"/>
      <c r="Q111" s="61"/>
      <c r="R111" s="61"/>
    </row>
    <row r="112" spans="2:18">
      <c r="B112" s="65" t="s">
        <v>429</v>
      </c>
      <c r="H112" s="61"/>
      <c r="I112" s="62"/>
      <c r="J112" s="61"/>
      <c r="L112" s="61"/>
      <c r="M112" s="61"/>
      <c r="N112" s="61"/>
      <c r="Q112" s="61"/>
      <c r="R112" s="61"/>
    </row>
    <row r="113" spans="2:18">
      <c r="B113" s="64"/>
      <c r="H113" s="61"/>
      <c r="I113" s="62"/>
      <c r="J113" s="61"/>
      <c r="L113" s="61"/>
      <c r="M113" s="61"/>
      <c r="N113" s="61"/>
      <c r="Q113" s="61"/>
      <c r="R113" s="61"/>
    </row>
    <row r="114" spans="2:18">
      <c r="B114" s="65" t="str">
        <f>IF(Lang="Français","Fusée mono-diamètre,",IF(Lang="English","Mono-diameter rocket,",""))</f>
        <v>Fusée mono-diamètre,</v>
      </c>
      <c r="H114" s="61"/>
      <c r="I114" s="62"/>
      <c r="J114" s="61"/>
      <c r="L114" s="61"/>
      <c r="M114" s="61"/>
      <c r="N114" s="61"/>
      <c r="Q114" s="61"/>
      <c r="R114" s="61"/>
    </row>
    <row r="115" spans="2:18">
      <c r="B115" s="65" t="str">
        <f>IF(Lang="Français","Plusieurs diamètres.",IF(Lang="English","Many diameters rocket.",""))</f>
        <v>Plusieurs diamètres.</v>
      </c>
      <c r="H115" s="61"/>
      <c r="I115" s="62"/>
      <c r="J115" s="61"/>
      <c r="L115" s="61"/>
      <c r="M115" s="61"/>
      <c r="N115" s="61"/>
      <c r="Q115" s="61"/>
      <c r="R115" s="61"/>
    </row>
    <row r="116" spans="2:18">
      <c r="B116" s="65"/>
      <c r="H116" s="61"/>
      <c r="I116" s="62"/>
      <c r="J116" s="61"/>
      <c r="L116" s="61"/>
      <c r="M116" s="61"/>
      <c r="N116" s="61"/>
      <c r="Q116" s="61"/>
      <c r="R116" s="61"/>
    </row>
    <row r="117" spans="2:18">
      <c r="B117" s="261" t="str">
        <f>IF(Lang="Français","Diagramme des critères de stabilité","Stability criterions diagram")</f>
        <v>Diagramme des critères de stabilité</v>
      </c>
      <c r="H117" s="61"/>
      <c r="I117" s="62"/>
      <c r="J117" s="61"/>
      <c r="L117" s="61"/>
      <c r="M117" s="61"/>
      <c r="N117" s="61"/>
      <c r="Q117" s="61"/>
      <c r="R117" s="61"/>
    </row>
    <row r="118" spans="2:18">
      <c r="B118" s="261" t="str">
        <f>IF(Lang="Français","Marge Statique (MS)","Static Margin")</f>
        <v>Marge Statique (MS)</v>
      </c>
      <c r="H118" s="61"/>
      <c r="I118" s="62"/>
      <c r="J118" s="61"/>
      <c r="L118" s="61"/>
      <c r="M118" s="61"/>
      <c r="N118" s="61"/>
      <c r="Q118" s="61"/>
      <c r="R118" s="61"/>
    </row>
    <row r="119" spans="2:18">
      <c r="B119" s="261" t="str">
        <f>IF(Lang="Français","Portance Cnα","Lift Cnα")</f>
        <v>Portance Cnα</v>
      </c>
      <c r="H119" s="61"/>
      <c r="I119" s="62"/>
      <c r="J119" s="61"/>
      <c r="L119" s="61"/>
      <c r="M119" s="61"/>
      <c r="N119" s="61"/>
      <c r="Q119" s="61"/>
      <c r="R119" s="61"/>
    </row>
    <row r="120" spans="2:18">
      <c r="B120" s="65"/>
      <c r="H120" s="61"/>
      <c r="I120" s="62"/>
      <c r="J120" s="61"/>
      <c r="L120" s="61"/>
      <c r="M120" s="61"/>
      <c r="N120" s="61"/>
      <c r="Q120" s="61"/>
      <c r="R120" s="61"/>
    </row>
    <row r="121" spans="2:18">
      <c r="B121" s="35" t="str">
        <f>IF(Lang="Français","Données pour les graphiques :",IF(Lang="English","Data for plots:",""))</f>
        <v>Données pour les graphiques :</v>
      </c>
      <c r="H121" s="61"/>
      <c r="I121" s="62"/>
      <c r="J121" s="61"/>
      <c r="L121" s="61"/>
      <c r="M121" s="61"/>
      <c r="N121" s="61"/>
      <c r="Q121" s="61"/>
      <c r="R121" s="61"/>
    </row>
    <row r="122" spans="2:18">
      <c r="H122" s="61"/>
      <c r="I122" s="62"/>
      <c r="J122" s="61"/>
      <c r="L122" s="61"/>
      <c r="M122" s="61"/>
      <c r="N122" s="61"/>
      <c r="Q122" s="61"/>
      <c r="R122" s="61"/>
    </row>
    <row r="123" spans="2:18">
      <c r="B123" s="66"/>
      <c r="C123" s="66" t="s">
        <v>69</v>
      </c>
      <c r="D123" s="66" t="s">
        <v>70</v>
      </c>
      <c r="E123" s="120" t="s">
        <v>71</v>
      </c>
      <c r="K123" s="66"/>
      <c r="R123" s="61"/>
    </row>
    <row r="124" spans="2:18">
      <c r="B124" s="66" t="s">
        <v>73</v>
      </c>
      <c r="C124" s="67">
        <f>-Long_ogive</f>
        <v>-199</v>
      </c>
      <c r="D124" s="67">
        <v>0</v>
      </c>
      <c r="E124" s="121">
        <f t="shared" ref="E124:E136" si="0">-D124</f>
        <v>0</v>
      </c>
      <c r="K124" s="67"/>
    </row>
    <row r="125" spans="2:18">
      <c r="B125" s="66" t="s">
        <v>73</v>
      </c>
      <c r="C125" s="67">
        <f>-Long_ogive</f>
        <v>-199</v>
      </c>
      <c r="D125" s="67">
        <f>D_og/2</f>
        <v>29.5</v>
      </c>
      <c r="E125" s="121">
        <f t="shared" si="0"/>
        <v>-29.5</v>
      </c>
      <c r="K125" s="67"/>
    </row>
    <row r="126" spans="2:18">
      <c r="B126" s="66" t="s">
        <v>74</v>
      </c>
      <c r="C126" s="67">
        <f>IF(AND(RIGHT(Nb_diam,1)=".",X_j), -X_j, C125 )</f>
        <v>-199</v>
      </c>
      <c r="D126" s="67">
        <f>IF(AND(RIGHT(Nb_diam,1)=".",X_j), D1j/2, D125 )</f>
        <v>29.5</v>
      </c>
      <c r="E126" s="121">
        <f t="shared" si="0"/>
        <v>-29.5</v>
      </c>
      <c r="K126" s="67"/>
    </row>
    <row r="127" spans="2:18">
      <c r="B127" s="66" t="s">
        <v>75</v>
      </c>
      <c r="C127" s="67">
        <f>IF(AND(RIGHT(Nb_diam,1)=".",X_j), -X_j-l_j, C126 )</f>
        <v>-199</v>
      </c>
      <c r="D127" s="67">
        <f>IF(AND(RIGHT(Nb_diam,1)=".",X_j), D2j/2, D126 )</f>
        <v>29.5</v>
      </c>
      <c r="E127" s="121">
        <f t="shared" si="0"/>
        <v>-29.5</v>
      </c>
      <c r="K127" s="67"/>
    </row>
    <row r="128" spans="2:18">
      <c r="B128" s="66" t="s">
        <v>76</v>
      </c>
      <c r="C128" s="67">
        <f>IF(AND(RIGHT(Nb_diam,1)=".",X_r), -X_r, C127 )</f>
        <v>-199</v>
      </c>
      <c r="D128" s="67">
        <f>IF(AND(RIGHT(Nb_diam,1)=".",X_r), D1r/2, D127 )</f>
        <v>29.5</v>
      </c>
      <c r="E128" s="121">
        <f t="shared" si="0"/>
        <v>-29.5</v>
      </c>
      <c r="K128" s="67"/>
    </row>
    <row r="129" spans="2:11">
      <c r="B129" s="66" t="s">
        <v>77</v>
      </c>
      <c r="C129" s="67">
        <f>IF(AND(RIGHT(Nb_diam,1)=".",X_r), -X_r-l_r, C128 )</f>
        <v>-199</v>
      </c>
      <c r="D129" s="67">
        <f>IF(AND(RIGHT(Nb_diam,1)=".",X_r), D2r/2, D128 )</f>
        <v>29.5</v>
      </c>
      <c r="E129" s="121">
        <f t="shared" si="0"/>
        <v>-29.5</v>
      </c>
      <c r="K129" s="67"/>
    </row>
    <row r="130" spans="2:11">
      <c r="B130" s="66" t="s">
        <v>78</v>
      </c>
      <c r="C130" s="67">
        <f>-Long_tot</f>
        <v>-1001</v>
      </c>
      <c r="D130" s="67">
        <f>D129</f>
        <v>29.5</v>
      </c>
      <c r="E130" s="121">
        <f t="shared" si="0"/>
        <v>-29.5</v>
      </c>
      <c r="K130" s="67"/>
    </row>
    <row r="131" spans="2:11">
      <c r="B131" s="66" t="s">
        <v>78</v>
      </c>
      <c r="C131" s="67">
        <f>-Long_tot</f>
        <v>-1001</v>
      </c>
      <c r="D131" s="67">
        <v>0</v>
      </c>
      <c r="E131" s="121">
        <f t="shared" si="0"/>
        <v>0</v>
      </c>
      <c r="K131" s="67"/>
    </row>
    <row r="132" spans="2:11">
      <c r="B132" s="217" t="s">
        <v>79</v>
      </c>
      <c r="C132" s="231">
        <f>-X_ail+m_ail</f>
        <v>-892</v>
      </c>
      <c r="D132" s="231">
        <f>D_ail/2</f>
        <v>29.5</v>
      </c>
      <c r="E132" s="232">
        <f t="shared" si="0"/>
        <v>-29.5</v>
      </c>
      <c r="K132" s="67"/>
    </row>
    <row r="133" spans="2:11">
      <c r="B133" s="219" t="s">
        <v>80</v>
      </c>
      <c r="C133" s="233">
        <f>-X_ail+m_ail-p_ail</f>
        <v>-1001</v>
      </c>
      <c r="D133" s="233">
        <f>D_ail/2+E_ail</f>
        <v>128.5</v>
      </c>
      <c r="E133" s="234">
        <f t="shared" si="0"/>
        <v>-128.5</v>
      </c>
      <c r="K133" s="67"/>
    </row>
    <row r="134" spans="2:11">
      <c r="B134" s="219" t="s">
        <v>81</v>
      </c>
      <c r="C134" s="233">
        <f>-X_ail+m_ail-p_ail-n_ail</f>
        <v>-1060</v>
      </c>
      <c r="D134" s="233">
        <f>D_ail/2+E_ail</f>
        <v>128.5</v>
      </c>
      <c r="E134" s="234">
        <f t="shared" si="0"/>
        <v>-128.5</v>
      </c>
      <c r="K134" s="67"/>
    </row>
    <row r="135" spans="2:11">
      <c r="B135" s="219" t="s">
        <v>82</v>
      </c>
      <c r="C135" s="233">
        <f>-X_ail</f>
        <v>-1001</v>
      </c>
      <c r="D135" s="233">
        <f>D_ail/2</f>
        <v>29.5</v>
      </c>
      <c r="E135" s="234">
        <f t="shared" si="0"/>
        <v>-29.5</v>
      </c>
      <c r="K135" s="67"/>
    </row>
    <row r="136" spans="2:11">
      <c r="B136" s="221" t="s">
        <v>79</v>
      </c>
      <c r="C136" s="235">
        <f>-X_ail+m_ail</f>
        <v>-892</v>
      </c>
      <c r="D136" s="235">
        <f>D_ail/2</f>
        <v>29.5</v>
      </c>
      <c r="E136" s="236">
        <f t="shared" si="0"/>
        <v>-29.5</v>
      </c>
      <c r="K136" s="67"/>
    </row>
    <row r="137" spans="2:11">
      <c r="B137" s="226" t="str">
        <f>IF(E_ail&gt;0,IF(Lang="Français","Envergure","Span"),"")</f>
        <v>Envergure</v>
      </c>
      <c r="C137" s="231">
        <f>MIN(-X_ail,-X_ail+m_ail-p_ail-n_ail)-Long_tot/30</f>
        <v>-1093.3666666666666</v>
      </c>
      <c r="D137" s="242">
        <f>-D_ail/2-E_ail</f>
        <v>-128.5</v>
      </c>
      <c r="E137" s="247"/>
      <c r="K137" s="67"/>
    </row>
    <row r="138" spans="2:11">
      <c r="B138" s="229" t="s">
        <v>169</v>
      </c>
      <c r="C138" s="233">
        <f>MIN(-X_ail,-X_ail+m_ail-p_ail-n_ail)-Long_tot/30</f>
        <v>-1093.3666666666666</v>
      </c>
      <c r="D138" s="243">
        <f>-D_ail/2-E_ail/2</f>
        <v>-79</v>
      </c>
      <c r="E138" s="247"/>
      <c r="K138" s="67"/>
    </row>
    <row r="139" spans="2:11">
      <c r="B139" s="248" t="s">
        <v>165</v>
      </c>
      <c r="C139" s="235">
        <f>MIN(-X_ail,-X_ail+m_ail-p_ail-n_ail)-Long_tot/30</f>
        <v>-1093.3666666666666</v>
      </c>
      <c r="D139" s="244">
        <f>-D_ail/2</f>
        <v>-29.5</v>
      </c>
      <c r="E139" s="247"/>
      <c r="K139" s="67"/>
    </row>
    <row r="140" spans="2:11">
      <c r="B140" s="226" t="str">
        <f>IF(Lang="Français","Emplanture","Root edge")</f>
        <v>Emplanture</v>
      </c>
      <c r="C140" s="231">
        <f>-X_ail+m_ail</f>
        <v>-892</v>
      </c>
      <c r="D140" s="242">
        <f>D_ail/2+E_ail+Long_tot/20</f>
        <v>178.55</v>
      </c>
      <c r="E140" s="247"/>
      <c r="K140" s="67"/>
    </row>
    <row r="141" spans="2:11">
      <c r="B141" s="229" t="s">
        <v>171</v>
      </c>
      <c r="C141" s="233">
        <f>-X_ail+m_ail/2</f>
        <v>-946.5</v>
      </c>
      <c r="D141" s="243">
        <f>D_ail/2+E_ail+Long_tot/20</f>
        <v>178.55</v>
      </c>
      <c r="E141" s="247"/>
      <c r="K141" s="67"/>
    </row>
    <row r="142" spans="2:11">
      <c r="B142" s="248" t="s">
        <v>172</v>
      </c>
      <c r="C142" s="235">
        <f>-X_ail</f>
        <v>-1001</v>
      </c>
      <c r="D142" s="244">
        <f>D_ail/2+E_ail+Long_tot/20</f>
        <v>178.55</v>
      </c>
      <c r="E142" s="247"/>
      <c r="K142" s="67"/>
    </row>
    <row r="143" spans="2:11">
      <c r="B143" s="226" t="str">
        <f>IF(p_ail&lt;&gt;0,IF(Lang="Français","Flèche","Offset"),"")</f>
        <v>Flèche</v>
      </c>
      <c r="C143" s="231">
        <f>-X_ail+m_ail</f>
        <v>-892</v>
      </c>
      <c r="D143" s="242">
        <f>-D_ail/2-E_ail-Long_tot/30</f>
        <v>-161.86666666666667</v>
      </c>
      <c r="E143" s="247"/>
      <c r="K143" s="67"/>
    </row>
    <row r="144" spans="2:11">
      <c r="B144" s="229" t="s">
        <v>168</v>
      </c>
      <c r="C144" s="233">
        <f>-X_ail+m_ail-p_ail/2</f>
        <v>-946.5</v>
      </c>
      <c r="D144" s="243">
        <f>-D_ail/2-E_ail-Long_tot/30</f>
        <v>-161.86666666666667</v>
      </c>
      <c r="E144" s="247"/>
      <c r="K144" s="67"/>
    </row>
    <row r="145" spans="2:11">
      <c r="B145" s="248" t="s">
        <v>166</v>
      </c>
      <c r="C145" s="235">
        <f>-X_ail+m_ail-p_ail</f>
        <v>-1001</v>
      </c>
      <c r="D145" s="244">
        <f>-D_ail/2-E_ail-Long_tot/30</f>
        <v>-161.86666666666667</v>
      </c>
      <c r="E145" s="247"/>
      <c r="K145" s="67"/>
    </row>
    <row r="146" spans="2:11">
      <c r="B146" s="226" t="str">
        <f>IF(n_ail&gt;0,IF(Lang="Français","Saumon","Tip edge"),"")</f>
        <v>Saumon</v>
      </c>
      <c r="C146" s="231">
        <f>-X_ail+m_ail-p_ail</f>
        <v>-1001</v>
      </c>
      <c r="D146" s="242">
        <f>-D_ail/2-E_ail-Long_tot/20</f>
        <v>-178.55</v>
      </c>
      <c r="E146" s="247"/>
      <c r="K146" s="67"/>
    </row>
    <row r="147" spans="2:11">
      <c r="B147" s="229" t="s">
        <v>170</v>
      </c>
      <c r="C147" s="233">
        <f>-X_ail+m_ail-p_ail-n_ail/2</f>
        <v>-1030.5</v>
      </c>
      <c r="D147" s="243">
        <f>-D_ail/2-E_ail-Long_tot/20</f>
        <v>-178.55</v>
      </c>
      <c r="E147" s="247"/>
      <c r="K147" s="67"/>
    </row>
    <row r="148" spans="2:11">
      <c r="B148" s="248" t="s">
        <v>167</v>
      </c>
      <c r="C148" s="235">
        <f>-X_ail+m_ail-p_ail-n_ail</f>
        <v>-1060</v>
      </c>
      <c r="D148" s="244">
        <f>-D_ail/2-E_ail-Long_tot/20</f>
        <v>-178.55</v>
      </c>
      <c r="E148" s="247"/>
      <c r="K148" s="67"/>
    </row>
    <row r="149" spans="2:11">
      <c r="B149" s="217" t="s">
        <v>83</v>
      </c>
      <c r="C149" s="231">
        <f ca="1">-XcgPlein</f>
        <v>-708.25379609544473</v>
      </c>
      <c r="D149" s="242">
        <v>0</v>
      </c>
      <c r="E149" s="121"/>
      <c r="K149" s="67"/>
    </row>
    <row r="150" spans="2:11">
      <c r="B150" s="221" t="s">
        <v>84</v>
      </c>
      <c r="C150" s="235">
        <f ca="1">-XcgVide</f>
        <v>-690.07226107226109</v>
      </c>
      <c r="D150" s="244">
        <v>0</v>
      </c>
      <c r="E150" s="121"/>
      <c r="K150" s="67"/>
    </row>
    <row r="151" spans="2:11">
      <c r="B151" s="217" t="s">
        <v>85</v>
      </c>
      <c r="C151" s="231">
        <f>-XCp</f>
        <v>-881.7880098292294</v>
      </c>
      <c r="D151" s="242">
        <v>0</v>
      </c>
      <c r="E151" s="121"/>
      <c r="K151" s="67"/>
    </row>
    <row r="152" spans="2:11">
      <c r="B152" s="221" t="s">
        <v>85</v>
      </c>
      <c r="C152" s="235">
        <f>-XCp</f>
        <v>-881.7880098292294</v>
      </c>
      <c r="D152" s="244">
        <f>Cn*D_ref/CritCnmin</f>
        <v>84.556928841874111</v>
      </c>
      <c r="E152" s="121"/>
      <c r="K152" s="67"/>
    </row>
    <row r="153" spans="2:11">
      <c r="B153" s="219" t="s">
        <v>426</v>
      </c>
      <c r="C153" s="233">
        <f>-XCp0</f>
        <v>-881.7880098292294</v>
      </c>
      <c r="D153" s="243">
        <f>Cn0*D_ref/CritCnmin</f>
        <v>84.556928841874111</v>
      </c>
      <c r="E153" s="121"/>
      <c r="K153" s="67"/>
    </row>
    <row r="154" spans="2:11">
      <c r="B154" s="219" t="s">
        <v>426</v>
      </c>
      <c r="C154" s="233">
        <f>-XCp0</f>
        <v>-881.7880098292294</v>
      </c>
      <c r="D154" s="243">
        <v>0</v>
      </c>
      <c r="E154" s="121"/>
      <c r="K154" s="67"/>
    </row>
    <row r="155" spans="2:11">
      <c r="B155" s="226" t="str">
        <f>IF(n_ail&gt;0,IF(Lang="Français","Marge Statique","Static Margin"),"")</f>
        <v>Marge Statique</v>
      </c>
      <c r="C155" s="231">
        <f ca="1">(-XcgPlein-XcgVide)/2</f>
        <v>-699.16302858385291</v>
      </c>
      <c r="D155" s="242">
        <f>-D_ail/2-E_ail-Long_tot/20</f>
        <v>-178.55</v>
      </c>
      <c r="E155" s="121"/>
      <c r="K155" s="67"/>
    </row>
    <row r="156" spans="2:11">
      <c r="B156" s="229" t="s">
        <v>173</v>
      </c>
      <c r="C156" s="233">
        <f ca="1">(C155+C157)/2</f>
        <v>-790.47551920654109</v>
      </c>
      <c r="D156" s="243">
        <f>-D_ail/2-E_ail-Long_tot/20</f>
        <v>-178.55</v>
      </c>
      <c r="E156" s="121"/>
      <c r="K156" s="67"/>
    </row>
    <row r="157" spans="2:11">
      <c r="B157" s="248" t="s">
        <v>174</v>
      </c>
      <c r="C157" s="235">
        <f>-XCp</f>
        <v>-881.7880098292294</v>
      </c>
      <c r="D157" s="244">
        <f>-D_ail/2-E_ail-Long_tot/20</f>
        <v>-178.55</v>
      </c>
      <c r="E157" s="121"/>
      <c r="K157" s="67"/>
    </row>
    <row r="158" spans="2:11">
      <c r="B158" s="217" t="s">
        <v>86</v>
      </c>
      <c r="C158" s="231">
        <f>IF(LEFT(Type_masquage,1)="M",0,-X_can+m_can)</f>
        <v>0</v>
      </c>
      <c r="D158" s="231">
        <f>IF(LEFT(Type_masquage,1)="M",0,D_ail/2)</f>
        <v>0</v>
      </c>
      <c r="E158" s="232">
        <f t="shared" ref="E158:E167" si="1">-D158</f>
        <v>0</v>
      </c>
      <c r="K158" s="67"/>
    </row>
    <row r="159" spans="2:11">
      <c r="B159" s="219" t="s">
        <v>87</v>
      </c>
      <c r="C159" s="233">
        <f>IF(LEFT(Type_masquage,1)="M",0,-X_can+m_can-p_can)</f>
        <v>0</v>
      </c>
      <c r="D159" s="233">
        <f>IF(LEFT(Type_masquage,1)="M",0,D_ail/2+E_can)</f>
        <v>0</v>
      </c>
      <c r="E159" s="234">
        <f t="shared" si="1"/>
        <v>0</v>
      </c>
      <c r="K159" s="67"/>
    </row>
    <row r="160" spans="2:11">
      <c r="B160" s="219" t="s">
        <v>88</v>
      </c>
      <c r="C160" s="233">
        <f>IF(LEFT(Type_masquage,1)="M",0,-X_can+m_can-p_can-n_can)</f>
        <v>0</v>
      </c>
      <c r="D160" s="233">
        <f>IF(LEFT(Type_masquage,1)="M",0,D_ail/2+E_can)</f>
        <v>0</v>
      </c>
      <c r="E160" s="234">
        <f t="shared" si="1"/>
        <v>0</v>
      </c>
      <c r="K160" s="67"/>
    </row>
    <row r="161" spans="2:11">
      <c r="B161" s="219" t="s">
        <v>89</v>
      </c>
      <c r="C161" s="233">
        <f>IF(LEFT(Type_masquage,1)="M",0,-X_can)</f>
        <v>0</v>
      </c>
      <c r="D161" s="233">
        <f>IF(LEFT(Type_masquage,1)="M",0,D_ail/2)</f>
        <v>0</v>
      </c>
      <c r="E161" s="234">
        <f t="shared" si="1"/>
        <v>0</v>
      </c>
      <c r="K161" s="67"/>
    </row>
    <row r="162" spans="2:11">
      <c r="B162" s="221" t="s">
        <v>86</v>
      </c>
      <c r="C162" s="235">
        <f>IF(LEFT(Type_masquage,1)="M",0,-X_can+m_can)</f>
        <v>0</v>
      </c>
      <c r="D162" s="235">
        <f>IF(LEFT(Type_masquage,1)="M",0,D_ail/2)</f>
        <v>0</v>
      </c>
      <c r="E162" s="236">
        <f t="shared" si="1"/>
        <v>0</v>
      </c>
      <c r="K162" s="67"/>
    </row>
    <row r="163" spans="2:11">
      <c r="B163" s="217" t="s">
        <v>90</v>
      </c>
      <c r="C163" s="231">
        <f>IF(LEFT(Type_masquage,1)="B",-X_int+m_int,0)</f>
        <v>0</v>
      </c>
      <c r="D163" s="231">
        <f>IF(LEFT(Type_masquage,1)="B",D_int/2,0)</f>
        <v>0</v>
      </c>
      <c r="E163" s="232">
        <f t="shared" si="1"/>
        <v>0</v>
      </c>
      <c r="K163" s="67"/>
    </row>
    <row r="164" spans="2:11">
      <c r="B164" s="219" t="s">
        <v>91</v>
      </c>
      <c r="C164" s="233">
        <f>IF(LEFT(Type_masquage,1)="B",-X_int+m_int-p_int,0)</f>
        <v>0</v>
      </c>
      <c r="D164" s="233">
        <f>IF(LEFT(Type_masquage,1)="B",D_int/2+E_int,0)</f>
        <v>0</v>
      </c>
      <c r="E164" s="234">
        <f t="shared" si="1"/>
        <v>0</v>
      </c>
      <c r="K164" s="67"/>
    </row>
    <row r="165" spans="2:11">
      <c r="B165" s="219" t="s">
        <v>92</v>
      </c>
      <c r="C165" s="233">
        <f>IF(LEFT(Type_masquage,1)="B",-X_int+m_int-p_int-n_int,0)</f>
        <v>0</v>
      </c>
      <c r="D165" s="233">
        <f>IF(LEFT(Type_masquage,1)="B",D_int/2+E_int,0)</f>
        <v>0</v>
      </c>
      <c r="E165" s="234">
        <f t="shared" si="1"/>
        <v>0</v>
      </c>
      <c r="K165" s="67"/>
    </row>
    <row r="166" spans="2:11">
      <c r="B166" s="219" t="s">
        <v>93</v>
      </c>
      <c r="C166" s="233">
        <f>IF(LEFT(Type_masquage,1)="B",-X_int,0)</f>
        <v>0</v>
      </c>
      <c r="D166" s="233">
        <f>IF(LEFT(Type_masquage,1)="B",D_int/2,0)</f>
        <v>0</v>
      </c>
      <c r="E166" s="234">
        <f t="shared" si="1"/>
        <v>0</v>
      </c>
      <c r="K166" s="67"/>
    </row>
    <row r="167" spans="2:11">
      <c r="B167" s="221" t="s">
        <v>90</v>
      </c>
      <c r="C167" s="235">
        <f>IF(LEFT(Type_masquage,1)="B",-X_int+m_int,0)</f>
        <v>0</v>
      </c>
      <c r="D167" s="235">
        <f>IF(LEFT(Type_masquage,1)="B",D_int/2,0)</f>
        <v>0</v>
      </c>
      <c r="E167" s="236">
        <f t="shared" si="1"/>
        <v>0</v>
      </c>
      <c r="K167" s="67"/>
    </row>
    <row r="168" spans="2:11">
      <c r="B168" s="66" t="s">
        <v>94</v>
      </c>
      <c r="C168" s="67">
        <f>-MAX(Long_tot, X_ail-m_ail+p_ail+n_ail, (E_ail+D_ail/2)*3.2)*1.01</f>
        <v>-1070.5999999999999</v>
      </c>
      <c r="D168" s="67">
        <f>MAX(E_ail+D_ail/2, Long_tot/3)</f>
        <v>333.66666666666669</v>
      </c>
      <c r="E168" s="121"/>
      <c r="K168" s="67"/>
    </row>
    <row r="169" spans="2:11">
      <c r="B169" s="66" t="s">
        <v>94</v>
      </c>
      <c r="C169" s="67">
        <f>C168</f>
        <v>-1070.5999999999999</v>
      </c>
      <c r="D169" s="67">
        <f>-D168</f>
        <v>-333.66666666666669</v>
      </c>
      <c r="E169" s="121"/>
      <c r="K169" s="67"/>
    </row>
    <row r="170" spans="2:11">
      <c r="B170" s="217" t="s">
        <v>95</v>
      </c>
      <c r="C170" s="231">
        <f ca="1">-XpropuRef+Long_propu</f>
        <v>-903</v>
      </c>
      <c r="D170" s="242">
        <f ca="1">-Diam_propu/2</f>
        <v>-14.5</v>
      </c>
      <c r="E170" s="121"/>
      <c r="K170" s="67"/>
    </row>
    <row r="171" spans="2:11">
      <c r="B171" s="219" t="s">
        <v>96</v>
      </c>
      <c r="C171" s="233">
        <f ca="1">-XpropuRef+Long_propu</f>
        <v>-903</v>
      </c>
      <c r="D171" s="243">
        <f ca="1">Diam_propu/2</f>
        <v>14.5</v>
      </c>
      <c r="E171" s="121"/>
      <c r="K171" s="67"/>
    </row>
    <row r="172" spans="2:11">
      <c r="B172" s="219" t="s">
        <v>97</v>
      </c>
      <c r="C172" s="233">
        <f>-XpropuRef</f>
        <v>-1001</v>
      </c>
      <c r="D172" s="243">
        <f ca="1">Diam_propu/2</f>
        <v>14.5</v>
      </c>
      <c r="E172" s="121"/>
      <c r="K172" s="67"/>
    </row>
    <row r="173" spans="2:11">
      <c r="B173" s="219" t="s">
        <v>98</v>
      </c>
      <c r="C173" s="233">
        <f>-XpropuRef</f>
        <v>-1001</v>
      </c>
      <c r="D173" s="243">
        <f ca="1">-Diam_propu/2</f>
        <v>-14.5</v>
      </c>
      <c r="E173" s="121"/>
      <c r="K173" s="67"/>
    </row>
    <row r="174" spans="2:11">
      <c r="B174" s="221" t="s">
        <v>99</v>
      </c>
      <c r="C174" s="235">
        <f ca="1">-XpropuRef+Long_propu</f>
        <v>-903</v>
      </c>
      <c r="D174" s="244">
        <f ca="1">-Diam_propu/2</f>
        <v>-14.5</v>
      </c>
      <c r="E174" s="121"/>
      <c r="F174" s="226" t="s">
        <v>161</v>
      </c>
      <c r="G174" s="227" t="s">
        <v>162</v>
      </c>
      <c r="H174" s="228" t="s">
        <v>163</v>
      </c>
      <c r="K174" s="67"/>
    </row>
    <row r="175" spans="2:11">
      <c r="B175" s="217" t="s">
        <v>72</v>
      </c>
      <c r="C175" s="231">
        <v>0</v>
      </c>
      <c r="D175" s="231">
        <v>0</v>
      </c>
      <c r="E175" s="232">
        <f t="shared" ref="E175:E180" si="2">-D175</f>
        <v>0</v>
      </c>
      <c r="F175" s="229">
        <v>0</v>
      </c>
      <c r="G175" s="214">
        <v>0</v>
      </c>
      <c r="H175" s="223">
        <v>0</v>
      </c>
      <c r="K175" s="67"/>
    </row>
    <row r="176" spans="2:11">
      <c r="B176" s="219" t="s">
        <v>73</v>
      </c>
      <c r="C176" s="233">
        <f>-Long_ogive*0.1</f>
        <v>-19.900000000000002</v>
      </c>
      <c r="D176" s="233">
        <f>IF(LEFT(Forme_ogive,5)="Parab",H176,IF(LEFT(Forme_ogive,4)="Ogiv",G176,IF(LEFT(Forme_ogive,3)="Con",F176)))</f>
        <v>5.9</v>
      </c>
      <c r="E176" s="234">
        <f t="shared" si="2"/>
        <v>-5.9</v>
      </c>
      <c r="F176" s="219">
        <f>D_og/2*0.1</f>
        <v>2.95</v>
      </c>
      <c r="G176" s="214">
        <f>D_og/2*0.2</f>
        <v>5.9</v>
      </c>
      <c r="H176" s="223">
        <f>D_og/2*0.5</f>
        <v>14.75</v>
      </c>
      <c r="K176" s="67"/>
    </row>
    <row r="177" spans="2:11">
      <c r="B177" s="219" t="s">
        <v>73</v>
      </c>
      <c r="C177" s="233">
        <f>-Long_ogive/4</f>
        <v>-49.75</v>
      </c>
      <c r="D177" s="233">
        <f>IF(LEFT(Forme_ogive,5)="Parab",H177,IF(LEFT(Forme_ogive,4)="Ogiv",G177,IF(LEFT(Forme_ogive,3)="Con",F177)))</f>
        <v>14.75</v>
      </c>
      <c r="E177" s="234">
        <f t="shared" si="2"/>
        <v>-14.75</v>
      </c>
      <c r="F177" s="219">
        <f>D_og/2*1/4</f>
        <v>7.375</v>
      </c>
      <c r="G177" s="214">
        <f>D_og/2/2</f>
        <v>14.75</v>
      </c>
      <c r="H177" s="223">
        <f>D_og/2*0.7</f>
        <v>20.65</v>
      </c>
      <c r="K177" s="67"/>
    </row>
    <row r="178" spans="2:11">
      <c r="B178" s="219" t="s">
        <v>73</v>
      </c>
      <c r="C178" s="233">
        <f>-Long_ogive/2</f>
        <v>-99.5</v>
      </c>
      <c r="D178" s="233">
        <f>IF(LEFT(Forme_ogive,5)="Parab",H178,IF(LEFT(Forme_ogive,4)="Ogiv",G178,IF(LEFT(Forme_ogive,3)="Con",F178)))</f>
        <v>22.125</v>
      </c>
      <c r="E178" s="234">
        <f t="shared" si="2"/>
        <v>-22.125</v>
      </c>
      <c r="F178" s="219">
        <f>D_og/2/2</f>
        <v>14.75</v>
      </c>
      <c r="G178" s="214">
        <f>D_og/2*3/4</f>
        <v>22.125</v>
      </c>
      <c r="H178" s="223">
        <f>D_og/2*0.88</f>
        <v>25.96</v>
      </c>
      <c r="K178" s="67"/>
    </row>
    <row r="179" spans="2:11">
      <c r="B179" s="219" t="s">
        <v>73</v>
      </c>
      <c r="C179" s="233">
        <f>-Long_ogive*3/4</f>
        <v>-149.25</v>
      </c>
      <c r="D179" s="233">
        <f>IF(LEFT(Forme_ogive,5)="Parab",H179,IF(LEFT(Forme_ogive,4)="Ogiv",G179,IF(LEFT(Forme_ogive,3)="Con",F179)))</f>
        <v>26.55</v>
      </c>
      <c r="E179" s="234">
        <f t="shared" si="2"/>
        <v>-26.55</v>
      </c>
      <c r="F179" s="219">
        <f>D_og/2*3/4</f>
        <v>22.125</v>
      </c>
      <c r="G179" s="214">
        <f>D_og/2*0.9</f>
        <v>26.55</v>
      </c>
      <c r="H179" s="223">
        <f>D_og/2*0.95</f>
        <v>28.024999999999999</v>
      </c>
      <c r="K179" s="67"/>
    </row>
    <row r="180" spans="2:11">
      <c r="B180" s="221" t="s">
        <v>73</v>
      </c>
      <c r="C180" s="235">
        <f>-Long_ogive</f>
        <v>-199</v>
      </c>
      <c r="D180" s="235">
        <f>D_og/2</f>
        <v>29.5</v>
      </c>
      <c r="E180" s="236">
        <f t="shared" si="2"/>
        <v>-29.5</v>
      </c>
      <c r="F180" s="221">
        <f>D_og/2</f>
        <v>29.5</v>
      </c>
      <c r="G180" s="230">
        <f>D_og/2</f>
        <v>29.5</v>
      </c>
      <c r="H180" s="224">
        <f>D_og/2</f>
        <v>29.5</v>
      </c>
      <c r="K180" s="56"/>
    </row>
    <row r="181" spans="2:11">
      <c r="B181" s="66" t="s">
        <v>100</v>
      </c>
      <c r="C181" s="66" t="s">
        <v>101</v>
      </c>
      <c r="D181" s="217" t="s">
        <v>100</v>
      </c>
      <c r="E181" s="239" t="s">
        <v>101</v>
      </c>
      <c r="K181" s="66"/>
    </row>
    <row r="182" spans="2:11">
      <c r="B182" s="217">
        <v>0</v>
      </c>
      <c r="C182" s="237">
        <f>CritCnmin</f>
        <v>15</v>
      </c>
      <c r="D182" s="219">
        <v>0.5</v>
      </c>
      <c r="E182" s="240">
        <f t="shared" ref="E182:E187" si="3">CritMsCnmin/D182</f>
        <v>60</v>
      </c>
      <c r="K182" s="66"/>
    </row>
    <row r="183" spans="2:11">
      <c r="B183" s="221">
        <v>7</v>
      </c>
      <c r="C183" s="230">
        <f>CritCnmin</f>
        <v>15</v>
      </c>
      <c r="D183" s="219">
        <v>1</v>
      </c>
      <c r="E183" s="240">
        <f t="shared" si="3"/>
        <v>30</v>
      </c>
      <c r="K183" s="66"/>
    </row>
    <row r="184" spans="2:11">
      <c r="B184" s="217">
        <v>0</v>
      </c>
      <c r="C184" s="237">
        <f>CritCnmax</f>
        <v>30</v>
      </c>
      <c r="D184" s="219">
        <v>2</v>
      </c>
      <c r="E184" s="240">
        <f t="shared" si="3"/>
        <v>15</v>
      </c>
      <c r="K184" s="66"/>
    </row>
    <row r="185" spans="2:11">
      <c r="B185" s="221">
        <v>7</v>
      </c>
      <c r="C185" s="230">
        <f>CritCnmax</f>
        <v>30</v>
      </c>
      <c r="D185" s="219">
        <v>3</v>
      </c>
      <c r="E185" s="240">
        <f t="shared" si="3"/>
        <v>10</v>
      </c>
      <c r="K185" s="66"/>
    </row>
    <row r="186" spans="2:11">
      <c r="B186" s="217">
        <f>CritMsmin</f>
        <v>1.5</v>
      </c>
      <c r="C186" s="237">
        <v>0</v>
      </c>
      <c r="D186" s="219">
        <v>5</v>
      </c>
      <c r="E186" s="240">
        <f t="shared" si="3"/>
        <v>6</v>
      </c>
      <c r="K186" s="66"/>
    </row>
    <row r="187" spans="2:11">
      <c r="B187" s="221">
        <f>CritMsmin</f>
        <v>1.5</v>
      </c>
      <c r="C187" s="230">
        <v>55</v>
      </c>
      <c r="D187" s="219">
        <v>7</v>
      </c>
      <c r="E187" s="240">
        <f t="shared" si="3"/>
        <v>4.2857142857142856</v>
      </c>
      <c r="K187" s="66"/>
    </row>
    <row r="188" spans="2:11">
      <c r="B188" s="217">
        <f>CritMsmax</f>
        <v>6</v>
      </c>
      <c r="C188" s="237">
        <v>0</v>
      </c>
      <c r="D188" s="219">
        <v>1</v>
      </c>
      <c r="E188" s="240">
        <f t="shared" ref="E188:E193" si="4">CritMsCnmax/D188</f>
        <v>100</v>
      </c>
      <c r="K188" s="66"/>
    </row>
    <row r="189" spans="2:11">
      <c r="B189" s="221">
        <f>CritMsmax</f>
        <v>6</v>
      </c>
      <c r="C189" s="230">
        <v>55</v>
      </c>
      <c r="D189" s="219">
        <v>2</v>
      </c>
      <c r="E189" s="240">
        <f t="shared" si="4"/>
        <v>50</v>
      </c>
      <c r="K189" s="66"/>
    </row>
    <row r="190" spans="2:11">
      <c r="B190" s="225">
        <f ca="1">MS_min</f>
        <v>2.9412578598946553</v>
      </c>
      <c r="C190" s="238">
        <f>Cn</f>
        <v>21.497524281832401</v>
      </c>
      <c r="D190" s="219">
        <v>3</v>
      </c>
      <c r="E190" s="240">
        <f t="shared" si="4"/>
        <v>33.333333333333336</v>
      </c>
      <c r="K190" s="66"/>
    </row>
    <row r="191" spans="2:11">
      <c r="B191" s="601">
        <f ca="1">(XCp0-XcgPlein)/D_ref</f>
        <v>2.9412578598946553</v>
      </c>
      <c r="C191" s="602">
        <f>Cn0</f>
        <v>21.497524281832401</v>
      </c>
      <c r="D191" s="219">
        <v>4</v>
      </c>
      <c r="E191" s="240">
        <f t="shared" si="4"/>
        <v>25</v>
      </c>
      <c r="K191" s="66"/>
    </row>
    <row r="192" spans="2:11">
      <c r="B192" s="601">
        <f ca="1">(XCp0-XcgVide)/D_ref</f>
        <v>3.2494194704570898</v>
      </c>
      <c r="C192" s="602">
        <f>Cn0</f>
        <v>21.497524281832401</v>
      </c>
      <c r="D192" s="219">
        <v>6</v>
      </c>
      <c r="E192" s="240">
        <f t="shared" si="4"/>
        <v>16.666666666666668</v>
      </c>
      <c r="K192" s="66"/>
    </row>
    <row r="193" spans="2:11">
      <c r="B193" s="601">
        <f ca="1">(XCp-XcgVide)/D_ref</f>
        <v>3.2494194704570898</v>
      </c>
      <c r="C193" s="602">
        <f>Cn</f>
        <v>21.497524281832401</v>
      </c>
      <c r="D193" s="221">
        <v>7</v>
      </c>
      <c r="E193" s="241">
        <f t="shared" si="4"/>
        <v>14.285714285714286</v>
      </c>
      <c r="K193" s="66"/>
    </row>
    <row r="194" spans="2:11">
      <c r="B194" s="601">
        <f ca="1">MS_min</f>
        <v>2.9412578598946553</v>
      </c>
      <c r="C194" s="603">
        <f>Cn</f>
        <v>21.497524281832401</v>
      </c>
      <c r="D194" s="214"/>
      <c r="E194" s="604"/>
      <c r="K194" s="66"/>
    </row>
    <row r="195" spans="2:11">
      <c r="B195" s="217">
        <v>0</v>
      </c>
      <c r="C195" s="237">
        <f>(CritCnmin+CritCnmax)/2</f>
        <v>22.5</v>
      </c>
      <c r="D195" s="56"/>
      <c r="E195" s="122"/>
      <c r="K195" s="56"/>
    </row>
    <row r="196" spans="2:11">
      <c r="B196" s="219">
        <f>MAX(CritMsmin,CritMsCnmin/C196)</f>
        <v>1.5</v>
      </c>
      <c r="C196" s="214">
        <f>(CritCnmin+CritCnmax)/2</f>
        <v>22.5</v>
      </c>
      <c r="D196" s="56"/>
      <c r="E196" s="122"/>
      <c r="K196" s="56"/>
    </row>
    <row r="197" spans="2:11">
      <c r="B197" s="219">
        <f>MIN(CritMsmax,CritMsCnmax/C197)</f>
        <v>4.4444444444444446</v>
      </c>
      <c r="C197" s="223">
        <f>(CritCnmin+CritCnmax)/2</f>
        <v>22.5</v>
      </c>
    </row>
    <row r="198" spans="2:11">
      <c r="B198" s="221">
        <v>7</v>
      </c>
      <c r="C198" s="224">
        <f>(CritCnmin+CritCnmax)/2</f>
        <v>22.5</v>
      </c>
    </row>
    <row r="199" spans="2:11">
      <c r="B199" s="217">
        <f>(CritMsmin+CritMsmax)/2</f>
        <v>3.75</v>
      </c>
      <c r="C199" s="218">
        <v>0</v>
      </c>
    </row>
    <row r="200" spans="2:11">
      <c r="B200" s="219">
        <f>(CritMsmin+CritMsmax)/2</f>
        <v>3.75</v>
      </c>
      <c r="C200" s="220">
        <f>MAX(CritCnmin,CritMsCnmin/B200)</f>
        <v>15</v>
      </c>
    </row>
    <row r="201" spans="2:11">
      <c r="B201" s="219">
        <f>(CritMsmin+CritMsmax)/2</f>
        <v>3.75</v>
      </c>
      <c r="C201" s="220">
        <f>MIN(CritCnmax,CritMsCnmax/B201)</f>
        <v>26.666666666666668</v>
      </c>
    </row>
    <row r="202" spans="2:11">
      <c r="B202" s="221">
        <f>(CritMsmin+CritMsmax)/2</f>
        <v>3.75</v>
      </c>
      <c r="C202" s="222">
        <v>55</v>
      </c>
    </row>
    <row r="203" spans="2:11">
      <c r="D203" s="560"/>
    </row>
    <row r="204" spans="2:11">
      <c r="B204" s="562" t="s">
        <v>409</v>
      </c>
      <c r="C204" s="52" t="b">
        <f ca="1">(OR(C205:C210))</f>
        <v>1</v>
      </c>
      <c r="D204" s="560"/>
    </row>
    <row r="205" spans="2:11">
      <c r="B205" s="561" t="s">
        <v>406</v>
      </c>
      <c r="C205" s="560" t="b">
        <f ca="1">AND(Type_propu="H2O",RIGHT(Type_fusee,1)=" ")</f>
        <v>0</v>
      </c>
      <c r="D205" s="560"/>
    </row>
    <row r="206" spans="2:11">
      <c r="B206" s="561" t="s">
        <v>119</v>
      </c>
      <c r="C206" s="560" t="b">
        <f ca="1">AND(Type_propu="Fusex",RIGHT(Type_fusee,1)=".")</f>
        <v>0</v>
      </c>
      <c r="D206" s="560"/>
    </row>
    <row r="207" spans="2:11">
      <c r="B207" s="561" t="s">
        <v>407</v>
      </c>
      <c r="C207" s="560" t="b">
        <f ca="1">LEFT(Type_propu,5)=LEFT(Type_fusee,5)</f>
        <v>0</v>
      </c>
      <c r="D207" s="560"/>
    </row>
    <row r="208" spans="2:11">
      <c r="B208" s="561" t="s">
        <v>408</v>
      </c>
      <c r="C208" s="560" t="b">
        <f ca="1">AND(RIGHT(Type_propu,1)="N",LEFT(Type_fusee,4)="Mini")</f>
        <v>1</v>
      </c>
      <c r="D208" s="560"/>
    </row>
    <row r="209" spans="1:3">
      <c r="B209" s="561" t="s">
        <v>410</v>
      </c>
      <c r="C209" s="560" t="b">
        <f ca="1">AND(LEFT(Type_propu,5)="MiniR",LEFT(Type_fusee,1)="R")</f>
        <v>0</v>
      </c>
    </row>
    <row r="210" spans="1:3">
      <c r="B210" s="561" t="s">
        <v>400</v>
      </c>
      <c r="C210" s="560" t="b">
        <f ca="1">AND(LEFT(Type_propu,4)="Mini",LEFT(Type_fusee,1)=",")</f>
        <v>0</v>
      </c>
    </row>
    <row r="223" spans="1:3">
      <c r="A223" s="35" t="s">
        <v>467</v>
      </c>
    </row>
    <row r="226" spans="1:1">
      <c r="A226" s="35" t="s">
        <v>480</v>
      </c>
    </row>
    <row r="228" spans="1:1">
      <c r="A228" s="35" t="s">
        <v>481</v>
      </c>
    </row>
    <row r="230" spans="1:1">
      <c r="A230" s="35" t="s">
        <v>482</v>
      </c>
    </row>
    <row r="232" spans="1:1">
      <c r="A232" s="35" t="s">
        <v>483</v>
      </c>
    </row>
    <row r="233" spans="1:1">
      <c r="A233" s="35" t="s">
        <v>484</v>
      </c>
    </row>
    <row r="234" spans="1:1">
      <c r="A234" s="35" t="s">
        <v>485</v>
      </c>
    </row>
    <row r="235" spans="1:1">
      <c r="A235" s="35" t="s">
        <v>486</v>
      </c>
    </row>
    <row r="236" spans="1:1">
      <c r="A236" s="35" t="s">
        <v>487</v>
      </c>
    </row>
    <row r="237" spans="1:1">
      <c r="A237" s="35" t="s">
        <v>488</v>
      </c>
    </row>
    <row r="238" spans="1:1">
      <c r="A238" s="35" t="s">
        <v>186</v>
      </c>
    </row>
    <row r="239" spans="1:1">
      <c r="A239" s="35" t="s">
        <v>489</v>
      </c>
    </row>
    <row r="240" spans="1:1">
      <c r="A240" s="35" t="s">
        <v>490</v>
      </c>
    </row>
    <row r="241" spans="1:1">
      <c r="A241" s="35" t="s">
        <v>186</v>
      </c>
    </row>
    <row r="242" spans="1:1">
      <c r="A242" s="35" t="s">
        <v>491</v>
      </c>
    </row>
    <row r="244" spans="1:1">
      <c r="A244" s="35" t="s">
        <v>492</v>
      </c>
    </row>
    <row r="246" spans="1:1">
      <c r="A246" s="35" t="s">
        <v>493</v>
      </c>
    </row>
    <row r="248" spans="1:1">
      <c r="A248" s="35" t="s">
        <v>494</v>
      </c>
    </row>
    <row r="249" spans="1:1">
      <c r="A249" s="35" t="s">
        <v>495</v>
      </c>
    </row>
    <row r="250" spans="1:1">
      <c r="A250" s="35" t="s">
        <v>496</v>
      </c>
    </row>
    <row r="251" spans="1:1">
      <c r="A251" s="35" t="s">
        <v>497</v>
      </c>
    </row>
    <row r="252" spans="1:1">
      <c r="A252" s="35" t="s">
        <v>498</v>
      </c>
    </row>
    <row r="254" spans="1:1">
      <c r="A254" s="35" t="s">
        <v>499</v>
      </c>
    </row>
    <row r="255" spans="1:1">
      <c r="A255" s="35" t="s">
        <v>500</v>
      </c>
    </row>
    <row r="256" spans="1:1">
      <c r="A256" s="35" t="s">
        <v>501</v>
      </c>
    </row>
    <row r="257" spans="1:1">
      <c r="A257" s="35" t="s">
        <v>502</v>
      </c>
    </row>
    <row r="258" spans="1:1">
      <c r="A258" s="35" t="s">
        <v>503</v>
      </c>
    </row>
    <row r="261" spans="1:1">
      <c r="A261" s="35" t="s">
        <v>504</v>
      </c>
    </row>
    <row r="262" spans="1:1">
      <c r="A262" s="35" t="s">
        <v>505</v>
      </c>
    </row>
    <row r="263" spans="1:1">
      <c r="A263" s="35" t="s">
        <v>506</v>
      </c>
    </row>
    <row r="264" spans="1:1">
      <c r="A264" s="35" t="s">
        <v>507</v>
      </c>
    </row>
    <row r="265" spans="1:1">
      <c r="A265" s="35" t="s">
        <v>508</v>
      </c>
    </row>
    <row r="267" spans="1:1">
      <c r="A267" s="35" t="s">
        <v>501</v>
      </c>
    </row>
    <row r="268" spans="1:1">
      <c r="A268" s="35" t="s">
        <v>502</v>
      </c>
    </row>
    <row r="269" spans="1:1">
      <c r="A269" s="35" t="s">
        <v>509</v>
      </c>
    </row>
    <row r="272" spans="1:1">
      <c r="A272" s="35" t="s">
        <v>469</v>
      </c>
    </row>
    <row r="273" spans="1:1">
      <c r="A273" s="35" t="s">
        <v>470</v>
      </c>
    </row>
    <row r="275" spans="1:1">
      <c r="A275" s="35" t="s">
        <v>510</v>
      </c>
    </row>
    <row r="277" spans="1:1">
      <c r="A277" s="35" t="s">
        <v>509</v>
      </c>
    </row>
    <row r="280" spans="1:1">
      <c r="A280" s="35" t="s">
        <v>471</v>
      </c>
    </row>
    <row r="281" spans="1:1">
      <c r="A281" s="35" t="s">
        <v>472</v>
      </c>
    </row>
    <row r="282" spans="1:1">
      <c r="A282" s="35" t="s">
        <v>511</v>
      </c>
    </row>
    <row r="283" spans="1:1">
      <c r="A283" s="35" t="s">
        <v>512</v>
      </c>
    </row>
    <row r="284" spans="1:1">
      <c r="A284" s="35" t="s">
        <v>509</v>
      </c>
    </row>
    <row r="285" spans="1:1">
      <c r="A285" s="35" t="s">
        <v>473</v>
      </c>
    </row>
    <row r="287" spans="1:1">
      <c r="A287" s="35" t="s">
        <v>513</v>
      </c>
    </row>
    <row r="288" spans="1:1">
      <c r="A288" s="35" t="s">
        <v>511</v>
      </c>
    </row>
    <row r="289" spans="1:1">
      <c r="A289" s="35" t="s">
        <v>514</v>
      </c>
    </row>
    <row r="291" spans="1:1">
      <c r="A291" s="35" t="s">
        <v>509</v>
      </c>
    </row>
    <row r="294" spans="1:1">
      <c r="A294" s="35" t="s">
        <v>515</v>
      </c>
    </row>
    <row r="295" spans="1:1">
      <c r="A295" s="35" t="s">
        <v>516</v>
      </c>
    </row>
    <row r="296" spans="1:1">
      <c r="A296" s="35" t="s">
        <v>517</v>
      </c>
    </row>
    <row r="298" spans="1:1">
      <c r="A298" s="35" t="s">
        <v>509</v>
      </c>
    </row>
    <row r="301" spans="1:1">
      <c r="A301" s="35" t="s">
        <v>518</v>
      </c>
    </row>
    <row r="302" spans="1:1">
      <c r="A302" s="35" t="s">
        <v>519</v>
      </c>
    </row>
    <row r="304" spans="1:1">
      <c r="A304" s="35" t="s">
        <v>520</v>
      </c>
    </row>
    <row r="305" spans="1:1">
      <c r="A305" s="35" t="s">
        <v>521</v>
      </c>
    </row>
    <row r="306" spans="1:1">
      <c r="A306" s="35" t="s">
        <v>509</v>
      </c>
    </row>
    <row r="309" spans="1:1">
      <c r="A309" s="35" t="s">
        <v>518</v>
      </c>
    </row>
    <row r="310" spans="1:1">
      <c r="A310" s="35" t="s">
        <v>522</v>
      </c>
    </row>
    <row r="311" spans="1:1">
      <c r="A311" s="35" t="s">
        <v>518</v>
      </c>
    </row>
    <row r="312" spans="1:1">
      <c r="A312" s="35" t="s">
        <v>523</v>
      </c>
    </row>
    <row r="314" spans="1:1">
      <c r="A314" s="35" t="s">
        <v>524</v>
      </c>
    </row>
    <row r="316" spans="1:1">
      <c r="A316" s="35" t="s">
        <v>509</v>
      </c>
    </row>
    <row r="319" spans="1:1">
      <c r="A319" s="35" t="s">
        <v>518</v>
      </c>
    </row>
    <row r="320" spans="1:1">
      <c r="A320" s="35" t="s">
        <v>525</v>
      </c>
    </row>
    <row r="321" spans="1:1">
      <c r="A321" s="35" t="s">
        <v>526</v>
      </c>
    </row>
    <row r="322" spans="1:1">
      <c r="A322" s="35" t="s">
        <v>527</v>
      </c>
    </row>
    <row r="324" spans="1:1">
      <c r="A324" s="35" t="s">
        <v>509</v>
      </c>
    </row>
    <row r="326" spans="1:1">
      <c r="A326" s="35" t="s">
        <v>468</v>
      </c>
    </row>
    <row r="329" spans="1:1">
      <c r="A329" s="35" t="s">
        <v>474</v>
      </c>
    </row>
    <row r="330" spans="1:1">
      <c r="A330" s="35" t="s">
        <v>475</v>
      </c>
    </row>
    <row r="331" spans="1:1">
      <c r="A331" s="35" t="s">
        <v>528</v>
      </c>
    </row>
    <row r="332" spans="1:1">
      <c r="A332" s="35" t="s">
        <v>529</v>
      </c>
    </row>
    <row r="333" spans="1:1">
      <c r="A333" s="35" t="s">
        <v>530</v>
      </c>
    </row>
    <row r="334" spans="1:1">
      <c r="A334" s="35" t="s">
        <v>531</v>
      </c>
    </row>
    <row r="335" spans="1:1">
      <c r="A335" s="35" t="s">
        <v>532</v>
      </c>
    </row>
    <row r="336" spans="1:1">
      <c r="A336" s="35" t="s">
        <v>485</v>
      </c>
    </row>
    <row r="337" spans="1:1">
      <c r="A337" s="35" t="s">
        <v>476</v>
      </c>
    </row>
    <row r="340" spans="1:1">
      <c r="A340" s="35" t="s">
        <v>477</v>
      </c>
    </row>
    <row r="342" spans="1:1">
      <c r="A342" s="35" t="s">
        <v>533</v>
      </c>
    </row>
    <row r="343" spans="1:1">
      <c r="A343" s="35" t="s">
        <v>534</v>
      </c>
    </row>
    <row r="344" spans="1:1">
      <c r="A344" s="35" t="s">
        <v>535</v>
      </c>
    </row>
    <row r="345" spans="1:1">
      <c r="A345" s="35" t="s">
        <v>536</v>
      </c>
    </row>
    <row r="346" spans="1:1">
      <c r="A346" s="35" t="s">
        <v>537</v>
      </c>
    </row>
    <row r="347" spans="1:1">
      <c r="A347" s="35" t="s">
        <v>485</v>
      </c>
    </row>
    <row r="348" spans="1:1">
      <c r="A348" s="35" t="s">
        <v>478</v>
      </c>
    </row>
    <row r="349" spans="1:1">
      <c r="A349" s="35" t="s">
        <v>538</v>
      </c>
    </row>
    <row r="350" spans="1:1">
      <c r="A350" s="35" t="s">
        <v>539</v>
      </c>
    </row>
    <row r="352" spans="1:1">
      <c r="A352" s="35" t="s">
        <v>509</v>
      </c>
    </row>
    <row r="355" spans="1:1">
      <c r="A355" s="35" t="s">
        <v>468</v>
      </c>
    </row>
    <row r="361" spans="1:1">
      <c r="A361" s="35" t="s">
        <v>479</v>
      </c>
    </row>
  </sheetData>
  <sheetProtection password="C6AC" sheet="1"/>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6:D26"/>
    <mergeCell ref="C18:D18"/>
    <mergeCell ref="C19:D19"/>
    <mergeCell ref="O23:P23"/>
    <mergeCell ref="O24:P24"/>
    <mergeCell ref="C22:D22"/>
    <mergeCell ref="C21:D21"/>
    <mergeCell ref="C23:D23"/>
    <mergeCell ref="C2:D3"/>
    <mergeCell ref="C4:D4"/>
    <mergeCell ref="M22:N22"/>
    <mergeCell ref="M19:N19"/>
    <mergeCell ref="M9:N9"/>
    <mergeCell ref="M7:N7"/>
    <mergeCell ref="M8:N8"/>
    <mergeCell ref="C7:D7"/>
    <mergeCell ref="C10:D10"/>
    <mergeCell ref="M5:N5"/>
    <mergeCell ref="M6:N6"/>
    <mergeCell ref="M20:N20"/>
    <mergeCell ref="N14:O14"/>
    <mergeCell ref="N15:O15"/>
    <mergeCell ref="M17:N17"/>
    <mergeCell ref="C14:D14"/>
    <mergeCell ref="C5:D5"/>
    <mergeCell ref="H26:I26"/>
    <mergeCell ref="C16:D16"/>
    <mergeCell ref="C17:D17"/>
    <mergeCell ref="O21:P21"/>
    <mergeCell ref="M21:N21"/>
    <mergeCell ref="O19:P19"/>
    <mergeCell ref="O22:P22"/>
    <mergeCell ref="C20:D20"/>
    <mergeCell ref="C6:D6"/>
    <mergeCell ref="C13:D13"/>
    <mergeCell ref="C8:D8"/>
    <mergeCell ref="C9:D9"/>
    <mergeCell ref="O20:P20"/>
    <mergeCell ref="M23:N23"/>
    <mergeCell ref="M24:N24"/>
  </mergeCells>
  <phoneticPr fontId="8" type="noConversion"/>
  <conditionalFormatting sqref="B14:D14 B34:C34">
    <cfRule type="expression" dxfId="53" priority="36" stopIfTrue="1">
      <formula>AND(IF(RIGHT(Nb_diam,1)=",",1),IF(LEFT(Type_masquage,1)="M",1))</formula>
    </cfRule>
  </conditionalFormatting>
  <conditionalFormatting sqref="D25:E25 D27:E34 B35:E35 L20:P22">
    <cfRule type="expression" dxfId="52" priority="83" stopIfTrue="1">
      <formula>IF(LEFT(Type_masquage,1)="M",1)</formula>
    </cfRule>
  </conditionalFormatting>
  <conditionalFormatting sqref="H33:I34">
    <cfRule type="expression" dxfId="51" priority="50" stopIfTrue="1">
      <formula>$H$33="STABLE"</formula>
    </cfRule>
  </conditionalFormatting>
  <conditionalFormatting sqref="H27:I27">
    <cfRule type="expression" dxfId="50" priority="47" stopIfTrue="1">
      <formula>OR(Finesse&lt;CritFinessemin,Finesse&gt;CritFinessemax)</formula>
    </cfRule>
  </conditionalFormatting>
  <conditionalFormatting sqref="H28">
    <cfRule type="expression" dxfId="49" priority="46" stopIfTrue="1">
      <formula>OR(Cn&lt;CritCnmin,Cn&gt;CritCnmax)</formula>
    </cfRule>
  </conditionalFormatting>
  <conditionalFormatting sqref="H29">
    <cfRule type="expression" dxfId="48" priority="45" stopIfTrue="1">
      <formula>OR(MS_min&lt;CritMsmin,MS_min&gt;CritMsmax)</formula>
    </cfRule>
  </conditionalFormatting>
  <conditionalFormatting sqref="I29">
    <cfRule type="expression" dxfId="47" priority="44" stopIfTrue="1">
      <formula>OR(MS_max&lt;CritMsmin,MS_max&gt;CritMsmax)</formula>
    </cfRule>
  </conditionalFormatting>
  <conditionalFormatting sqref="H30">
    <cfRule type="expression" dxfId="46" priority="43" stopIfTrue="1">
      <formula>OR(MS_Cn_min&lt;CritMsCnmin,MS_Cn_min&gt;CritMsCnmax)</formula>
    </cfRule>
  </conditionalFormatting>
  <conditionalFormatting sqref="I30">
    <cfRule type="expression" dxfId="45" priority="42" stopIfTrue="1">
      <formula>OR(MS_Cn_max&lt;CritMsCnmin,MS_Cn_max&gt;CritMsCnmax)</formula>
    </cfRule>
  </conditionalFormatting>
  <conditionalFormatting sqref="L23:P24">
    <cfRule type="expression" dxfId="44" priority="64" stopIfTrue="1">
      <formula>IF(RIGHT(Nb_diam,1)=",",1)</formula>
    </cfRule>
  </conditionalFormatting>
  <conditionalFormatting sqref="L6:P9">
    <cfRule type="expression" dxfId="43" priority="48" stopIfTrue="1">
      <formula>IF(RIGHT(Nb_diam,1)=",",1)</formula>
    </cfRule>
  </conditionalFormatting>
  <conditionalFormatting sqref="M5:P5">
    <cfRule type="expression" dxfId="42" priority="38" stopIfTrue="1">
      <formula>IF(RIGHT(Nb_diam,1)=",",1)</formula>
    </cfRule>
  </conditionalFormatting>
  <conditionalFormatting sqref="C11">
    <cfRule type="cellIs" dxfId="41" priority="24" stopIfTrue="1" operator="equal">
      <formula>359</formula>
    </cfRule>
    <cfRule type="expression" dxfId="40" priority="27" stopIfTrue="1">
      <formula>OR(MasseSans&lt;MpropuVide, MasseSans&gt;20*MpropuPlein)</formula>
    </cfRule>
  </conditionalFormatting>
  <conditionalFormatting sqref="N36">
    <cfRule type="expression" dxfId="39" priority="26" stopIfTrue="1">
      <formula>ROUND(SUM(C2:P25)+SUM(C27:P35),0)=8637</formula>
    </cfRule>
  </conditionalFormatting>
  <conditionalFormatting sqref="O36 M36">
    <cfRule type="expression" dxfId="38" priority="141" stopIfTrue="1">
      <formula>$M$36="propu NOK"</formula>
    </cfRule>
  </conditionalFormatting>
  <conditionalFormatting sqref="C12">
    <cfRule type="cellIs" dxfId="37" priority="23" stopIfTrue="1" operator="equal">
      <formula>639</formula>
    </cfRule>
  </conditionalFormatting>
  <conditionalFormatting sqref="C13:D13 C18 C33">
    <cfRule type="cellIs" dxfId="36" priority="22" stopIfTrue="1" operator="equal">
      <formula>1001</formula>
    </cfRule>
  </conditionalFormatting>
  <conditionalFormatting sqref="C22:D22">
    <cfRule type="cellIs" dxfId="35" priority="21" stopIfTrue="1" operator="equal">
      <formula>199</formula>
    </cfRule>
  </conditionalFormatting>
  <conditionalFormatting sqref="C23:D23 C14 C34">
    <cfRule type="cellIs" dxfId="34" priority="20" stopIfTrue="1" operator="equal">
      <formula>59</formula>
    </cfRule>
  </conditionalFormatting>
  <conditionalFormatting sqref="C30">
    <cfRule type="cellIs" dxfId="33" priority="19" stopIfTrue="1" operator="equal">
      <formula>99</formula>
    </cfRule>
  </conditionalFormatting>
  <conditionalFormatting sqref="C28">
    <cfRule type="cellIs" dxfId="32" priority="18" stopIfTrue="1" operator="equal">
      <formula>59</formula>
    </cfRule>
  </conditionalFormatting>
  <conditionalFormatting sqref="C29 C27">
    <cfRule type="cellIs" dxfId="31" priority="17" stopIfTrue="1" operator="equal">
      <formula>109</formula>
    </cfRule>
  </conditionalFormatting>
  <conditionalFormatting sqref="D17">
    <cfRule type="expression" dxfId="30" priority="10" stopIfTrue="1">
      <formula>D202</formula>
    </cfRule>
  </conditionalFormatting>
  <conditionalFormatting sqref="C17">
    <cfRule type="expression" dxfId="29" priority="150" stopIfTrue="1">
      <formula>C204</formula>
    </cfRule>
  </conditionalFormatting>
  <conditionalFormatting sqref="L38:M38">
    <cfRule type="expression" dxfId="28" priority="232" stopIfTrue="1">
      <formula>OR(SUM($C$27:$C$32)=273, $H$33&lt;&gt;"STABLE")</formula>
    </cfRule>
  </conditionalFormatting>
  <conditionalFormatting sqref="I28">
    <cfRule type="expression" dxfId="27" priority="5" stopIfTrue="1">
      <formula>OR(Cn0&lt;CritCnmin,Cn0&gt;CritCnmax)</formula>
    </cfRule>
  </conditionalFormatting>
  <dataValidations disablePrompts="1" count="13">
    <dataValidation type="whole" allowBlank="1" showInputMessage="1" showErrorMessage="1" error="Tapez un entier entre 3 et 6." sqref="C32:D32">
      <formula1>3</formula1>
      <formula2>6</formula2>
    </dataValidation>
    <dataValidation type="decimal" operator="notEqual" allowBlank="1" showInputMessage="1" showErrorMessage="1" error="Tapez uniquement la longueur, sans l'unité." sqref="C29:D29">
      <formula1>1E+100</formula1>
    </dataValidation>
    <dataValidation type="decimal" operator="greaterThanOrEqual" allowBlank="1" showInputMessage="1" showErrorMessage="1" error="Tapez uniquement la longueur, sans l'unité." sqref="C27:D28 C33:D34 C30:D31 M6:O9">
      <formula1>0</formula1>
    </dataValidation>
    <dataValidation type="list" showInputMessage="1" showErrorMessage="1" sqref="C26:D26">
      <formula1>Menu_Empennage</formula1>
    </dataValidation>
    <dataValidation type="list" showInputMessage="1" showErrorMessage="1" sqref="C17:D17">
      <formula1>Liste_propu</formula1>
    </dataValidation>
    <dataValidation type="list" showInputMessage="1" showErrorMessage="1" sqref="M2">
      <formula1>Menu_Lang</formula1>
    </dataValidation>
    <dataValidation type="decimal" showInputMessage="1" showErrorMessage="1" errorTitle="Masse de la Fusée" error="Tapez uniquement la masse, sans l'unité." sqref="C11">
      <formula1>0</formula1>
      <formula2>50000</formula2>
    </dataValidation>
    <dataValidation type="decimal" operator="greaterThan" showInputMessage="1" showErrorMessage="1" error="Tapez uniquement la longueur, sans l'unité." sqref="C12 C13:D13 C22:D23">
      <formula1>0</formula1>
    </dataValidation>
    <dataValidation type="list" showInputMessage="1" showErrorMessage="1" sqref="D11:D12">
      <formula1>Menu_with_motor</formula1>
    </dataValidation>
    <dataValidation type="list" showInputMessage="1" showErrorMessage="1" sqref="C10:D10">
      <formula1>Menu_Type</formula1>
    </dataValidation>
    <dataValidation type="decimal" operator="greaterThan" allowBlank="1" showInputMessage="1" showErrorMessage="1" error="Tapez uniquement la longueur, sans l'unité." sqref="C18">
      <formula1>0</formula1>
    </dataValidation>
    <dataValidation type="list" showInputMessage="1" showErrorMessage="1" sqref="C21:D21">
      <formula1>Menu_Ogive</formula1>
    </dataValidation>
    <dataValidation type="list" showInputMessage="1" showErrorMessage="1" sqref="M4">
      <formula1>Menu_Transitions</formula1>
    </dataValidation>
  </dataValidations>
  <hyperlinks>
    <hyperlink ref="M38" location="Trajecto!C25" display="Trajecto"/>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C34:D34" unlockedFormula="1"/>
    <ignoredError sqref="E180" formula="1"/>
  </ignoredErrors>
  <drawing r:id="rId2"/>
  <legacyDrawing r:id="rId3"/>
</worksheet>
</file>

<file path=xl/worksheets/sheet2.xml><?xml version="1.0" encoding="utf-8"?>
<worksheet xmlns="http://schemas.openxmlformats.org/spreadsheetml/2006/main" xmlns:r="http://schemas.openxmlformats.org/officeDocument/2006/relationships">
  <sheetPr codeName="Feuil1">
    <pageSetUpPr fitToPage="1"/>
  </sheetPr>
  <dimension ref="A1:R199"/>
  <sheetViews>
    <sheetView showGridLines="0" topLeftCell="B1" zoomScaleNormal="100" workbookViewId="0">
      <selection activeCell="C8" sqref="C8:D8"/>
    </sheetView>
  </sheetViews>
  <sheetFormatPr baseColWidth="10" defaultColWidth="11.36328125" defaultRowHeight="12.5"/>
  <cols>
    <col min="1" max="1" width="2.1796875" style="1" customWidth="1"/>
    <col min="2" max="2" width="16.26953125" style="1" customWidth="1"/>
    <col min="3" max="4" width="11.36328125" style="1"/>
    <col min="5" max="5" width="2.7265625" style="1" customWidth="1"/>
    <col min="6" max="7" width="12.81640625" style="1" customWidth="1"/>
    <col min="8" max="13" width="10.7265625" style="1" customWidth="1"/>
    <col min="14" max="15" width="2.1796875" style="1" customWidth="1"/>
    <col min="16" max="17" width="14.26953125" style="1" customWidth="1"/>
    <col min="18" max="16384" width="11.36328125" style="1"/>
  </cols>
  <sheetData>
    <row r="1" spans="1:14" ht="13">
      <c r="A1" s="72"/>
      <c r="B1" s="73"/>
      <c r="C1" s="74"/>
      <c r="D1" s="73"/>
      <c r="E1" s="75"/>
      <c r="F1" s="75"/>
      <c r="G1" s="75"/>
      <c r="H1" s="75"/>
      <c r="I1" s="75"/>
      <c r="J1" s="75"/>
      <c r="K1" s="75"/>
      <c r="L1" s="75"/>
      <c r="M1" s="75"/>
      <c r="N1" s="76"/>
    </row>
    <row r="2" spans="1:14" ht="12.75" customHeight="1">
      <c r="A2" s="77"/>
      <c r="B2" s="2"/>
      <c r="C2" s="735" t="s">
        <v>0</v>
      </c>
      <c r="D2" s="735"/>
      <c r="E2" s="3"/>
      <c r="F2" s="4"/>
      <c r="G2" s="3"/>
      <c r="H2" s="3"/>
      <c r="I2" s="3"/>
      <c r="J2" s="5"/>
      <c r="K2" s="3"/>
      <c r="L2" s="3"/>
      <c r="M2" s="3"/>
      <c r="N2" s="78"/>
    </row>
    <row r="3" spans="1:14" ht="12.75" customHeight="1">
      <c r="A3" s="77"/>
      <c r="B3" s="2"/>
      <c r="C3" s="735"/>
      <c r="D3" s="735"/>
      <c r="E3" s="6"/>
      <c r="F3" s="6"/>
      <c r="G3" s="6"/>
      <c r="H3" s="7"/>
      <c r="I3" s="6"/>
      <c r="J3" s="5"/>
      <c r="K3" s="3"/>
      <c r="L3" s="3"/>
      <c r="M3" s="3"/>
      <c r="N3" s="78"/>
    </row>
    <row r="4" spans="1:14" ht="12.75" customHeight="1">
      <c r="A4" s="77"/>
      <c r="B4" s="2"/>
      <c r="C4" s="738" t="str">
        <f>IF(Lang="Français","Trajectographie de fusée",IF(Lang="English","Rocket Trajectography",""))</f>
        <v>Trajectographie de fusée</v>
      </c>
      <c r="D4" s="738"/>
      <c r="E4" s="6"/>
      <c r="F4" s="6"/>
      <c r="G4" s="6"/>
      <c r="H4" s="7"/>
      <c r="I4" s="6"/>
      <c r="J4" s="5"/>
      <c r="K4" s="3"/>
      <c r="L4" s="3"/>
      <c r="M4" s="3"/>
      <c r="N4" s="78"/>
    </row>
    <row r="5" spans="1:14" ht="12.75" customHeight="1">
      <c r="A5" s="77"/>
      <c r="B5" s="2"/>
      <c r="C5" s="3"/>
      <c r="D5" s="3"/>
      <c r="E5" s="6"/>
      <c r="F5" s="6"/>
      <c r="G5" s="3"/>
      <c r="H5" s="3"/>
      <c r="I5" s="6"/>
      <c r="J5" s="5"/>
      <c r="K5" s="3"/>
      <c r="L5" s="3"/>
      <c r="M5" s="3"/>
      <c r="N5" s="78"/>
    </row>
    <row r="6" spans="1:14" ht="13" customHeight="1">
      <c r="A6" s="77"/>
      <c r="B6" s="111"/>
      <c r="C6" s="737" t="str">
        <f>IF(Lang="Français","Remplir les cases jaunes",IF(Lang="English","Fill-in yellow cells only",""))</f>
        <v>Remplir les cases jaunes</v>
      </c>
      <c r="D6" s="737"/>
      <c r="E6" s="6"/>
      <c r="F6" s="6"/>
      <c r="G6" s="3"/>
      <c r="H6" s="3"/>
      <c r="I6" s="6"/>
      <c r="J6" s="5"/>
      <c r="K6" s="3"/>
      <c r="L6" s="3"/>
      <c r="M6" s="3"/>
      <c r="N6" s="78"/>
    </row>
    <row r="7" spans="1:14" ht="13">
      <c r="A7" s="77"/>
      <c r="B7" s="8"/>
      <c r="C7" s="717" t="str">
        <f>IF(Lang="Français","Fusée",IF(Lang="English","Rocket",""))</f>
        <v>Fusée</v>
      </c>
      <c r="D7" s="717"/>
      <c r="E7" s="6"/>
      <c r="F7" s="6"/>
      <c r="G7" s="3"/>
      <c r="H7" s="3"/>
      <c r="I7" s="6"/>
      <c r="J7" s="3"/>
      <c r="K7" s="3"/>
      <c r="L7" s="3"/>
      <c r="M7" s="3"/>
      <c r="N7" s="79"/>
    </row>
    <row r="8" spans="1:14" ht="12.75" customHeight="1">
      <c r="A8" s="77"/>
      <c r="B8" s="173" t="str">
        <f>IF(Lang="Français","Nom",IF(Lang="English","Name",""))</f>
        <v>Nom</v>
      </c>
      <c r="C8" s="736" t="str">
        <f>Nom</f>
        <v>Ma fusée</v>
      </c>
      <c r="D8" s="736"/>
      <c r="E8" s="7"/>
      <c r="F8" s="7"/>
      <c r="G8" s="3"/>
      <c r="H8" s="3"/>
      <c r="I8" s="6"/>
      <c r="J8" s="5"/>
      <c r="K8" s="3"/>
      <c r="L8" s="3"/>
      <c r="M8" s="3"/>
      <c r="N8" s="78"/>
    </row>
    <row r="9" spans="1:14" ht="12.75" customHeight="1">
      <c r="A9" s="80"/>
      <c r="B9" s="173" t="s">
        <v>4</v>
      </c>
      <c r="C9" s="736" t="str">
        <f>Club</f>
        <v>Mon club</v>
      </c>
      <c r="D9" s="736"/>
      <c r="E9" s="6"/>
      <c r="F9" s="27"/>
      <c r="G9" s="3"/>
      <c r="H9" s="3"/>
      <c r="I9" s="6"/>
      <c r="J9" s="3"/>
      <c r="K9" s="3"/>
      <c r="L9" s="3"/>
      <c r="M9" s="3"/>
      <c r="N9" s="79"/>
    </row>
    <row r="10" spans="1:14" ht="12.75" customHeight="1">
      <c r="A10" s="80"/>
      <c r="B10" s="173" t="str">
        <f>IF(Lang="Français","Masse totale",IF(Lang="English","Total Mass",""))</f>
        <v>Masse totale</v>
      </c>
      <c r="C10" s="712">
        <f ca="1">MassePlein</f>
        <v>0.46099999999999997</v>
      </c>
      <c r="D10" s="712"/>
      <c r="E10" s="6"/>
      <c r="F10" s="27"/>
      <c r="G10" s="3"/>
      <c r="H10" s="3"/>
      <c r="I10" s="6"/>
      <c r="J10" s="3"/>
      <c r="K10" s="3"/>
      <c r="L10" s="3"/>
      <c r="M10" s="3"/>
      <c r="N10" s="79"/>
    </row>
    <row r="11" spans="1:14" ht="12.75" customHeight="1">
      <c r="A11" s="80"/>
      <c r="B11" s="266" t="str">
        <f>IF(Lang="Français","Propulseur",IF(Lang="English","Motor",""))</f>
        <v>Propulseur</v>
      </c>
      <c r="C11" s="715" t="str">
        <f>Propu</f>
        <v>p29-1G 56F31</v>
      </c>
      <c r="D11" s="716"/>
      <c r="E11" s="6"/>
      <c r="F11" s="27"/>
      <c r="G11" s="3"/>
      <c r="H11" s="3"/>
      <c r="I11" s="6"/>
      <c r="J11" s="3"/>
      <c r="K11" s="3"/>
      <c r="L11" s="3"/>
      <c r="M11" s="3"/>
      <c r="N11" s="79"/>
    </row>
    <row r="12" spans="1:14" ht="12.75" customHeight="1">
      <c r="A12" s="80"/>
      <c r="B12" s="3"/>
      <c r="C12" s="3"/>
      <c r="D12" s="3"/>
      <c r="E12" s="6"/>
      <c r="F12" s="27"/>
      <c r="G12" s="3"/>
      <c r="H12" s="3"/>
      <c r="I12" s="6"/>
      <c r="J12" s="3"/>
      <c r="K12" s="3"/>
      <c r="L12" s="3"/>
      <c r="M12" s="3"/>
      <c r="N12" s="79"/>
    </row>
    <row r="13" spans="1:14" ht="12.75" customHeight="1">
      <c r="A13" s="80"/>
      <c r="B13" s="81"/>
      <c r="C13" s="717" t="str">
        <f>IF(Lang="Français","Traînée Aérdynamique",IF(Lang="English","Drag",""))</f>
        <v>Traînée Aérdynamique</v>
      </c>
      <c r="D13" s="717"/>
      <c r="E13" s="6"/>
      <c r="F13" s="3"/>
      <c r="G13" s="3"/>
      <c r="H13" s="3"/>
      <c r="I13" s="6"/>
      <c r="J13" s="3"/>
      <c r="K13" s="3"/>
      <c r="L13" s="3"/>
      <c r="M13" s="3"/>
      <c r="N13" s="79"/>
    </row>
    <row r="14" spans="1:14" ht="12.75" customHeight="1">
      <c r="A14" s="80"/>
      <c r="B14" s="173" t="s">
        <v>41</v>
      </c>
      <c r="C14" s="718">
        <f>(PI()*D_ref^2/4+E_ail*ep_ail*Q_ail)/10^6</f>
        <v>3.5259710067865177E-3</v>
      </c>
      <c r="D14" s="718"/>
      <c r="E14" s="6"/>
      <c r="F14" s="3"/>
      <c r="G14" s="3"/>
      <c r="H14" s="3"/>
      <c r="I14" s="6"/>
      <c r="J14" s="3"/>
      <c r="K14" s="3"/>
      <c r="L14" s="3"/>
      <c r="M14" s="3"/>
      <c r="N14" s="79"/>
    </row>
    <row r="15" spans="1:14" ht="12.75" customHeight="1">
      <c r="A15" s="80"/>
      <c r="B15" s="174" t="s">
        <v>5</v>
      </c>
      <c r="C15" s="710">
        <v>0.5</v>
      </c>
      <c r="D15" s="711"/>
      <c r="E15" s="6"/>
      <c r="F15" s="3"/>
      <c r="G15" s="3"/>
      <c r="H15" s="3"/>
      <c r="I15" s="6"/>
      <c r="J15" s="3"/>
      <c r="K15" s="3"/>
      <c r="L15" s="3"/>
      <c r="M15" s="3"/>
      <c r="N15" s="79"/>
    </row>
    <row r="16" spans="1:14" ht="12.75" customHeight="1">
      <c r="A16" s="80"/>
      <c r="B16" s="3"/>
      <c r="C16" s="3"/>
      <c r="D16" s="3"/>
      <c r="E16" s="6"/>
      <c r="F16" s="6"/>
      <c r="G16" s="3"/>
      <c r="H16" s="3"/>
      <c r="I16" s="6"/>
      <c r="J16" s="3"/>
      <c r="K16" s="3"/>
      <c r="L16" s="3"/>
      <c r="M16" s="3"/>
      <c r="N16" s="79"/>
    </row>
    <row r="17" spans="1:18" ht="12.75" customHeight="1">
      <c r="A17" s="80"/>
      <c r="B17" s="81"/>
      <c r="C17" s="717" t="str">
        <f>IF(Lang="Français","Rampe de Lancement",IF(Lang="English","Launch Pad",""))</f>
        <v>Rampe de Lancement</v>
      </c>
      <c r="D17" s="717"/>
      <c r="E17" s="6"/>
      <c r="F17" s="3"/>
      <c r="G17" s="3"/>
      <c r="H17" s="3"/>
      <c r="I17" s="6"/>
      <c r="J17" s="3"/>
      <c r="K17" s="3"/>
      <c r="L17" s="3"/>
      <c r="M17" s="3"/>
      <c r="N17" s="79"/>
    </row>
    <row r="18" spans="1:18" ht="12.75" customHeight="1">
      <c r="A18" s="80"/>
      <c r="B18" s="173" t="str">
        <f>IF(Lang="Français","Longueur",IF(Lang="English","Length",""))</f>
        <v>Longueur</v>
      </c>
      <c r="C18" s="714">
        <f>IF(RIGHT(Type_fusee,1)=".",4, IF(LEFT(Type_fusee,4)="Mini",2.5, IF(LEFT(Type_fusee,5)="Micro",1, IF(RIGHT(Type_fusee,1)=" ",0.1,IF(LEFT(Type_fusee,1)="R",3, 2.5)))))</f>
        <v>2.5</v>
      </c>
      <c r="D18" s="714"/>
      <c r="E18" s="6"/>
      <c r="F18" s="3"/>
      <c r="G18" s="3"/>
      <c r="H18" s="3"/>
      <c r="I18" s="6"/>
      <c r="J18" s="3"/>
      <c r="K18" s="3"/>
      <c r="L18" s="3"/>
      <c r="M18" s="3"/>
      <c r="N18" s="79"/>
    </row>
    <row r="19" spans="1:18" ht="12.75" customHeight="1">
      <c r="A19" s="80"/>
      <c r="B19" s="173" t="str">
        <f>IF(Lang="Français","Élévation",IF(Lang="English","Angle /horizon",""))</f>
        <v>Élévation</v>
      </c>
      <c r="C19" s="713">
        <v>80</v>
      </c>
      <c r="D19" s="713"/>
      <c r="E19" s="6"/>
      <c r="F19" s="3"/>
      <c r="G19" s="3"/>
      <c r="H19" s="3"/>
      <c r="I19" s="6"/>
      <c r="J19" s="3"/>
      <c r="K19" s="3"/>
      <c r="L19" s="3"/>
      <c r="M19" s="3"/>
      <c r="N19" s="79"/>
    </row>
    <row r="20" spans="1:18" ht="12.75" customHeight="1">
      <c r="A20" s="80"/>
      <c r="B20" s="173" t="s">
        <v>6</v>
      </c>
      <c r="C20" s="714">
        <v>0</v>
      </c>
      <c r="D20" s="714"/>
      <c r="E20" s="6"/>
      <c r="F20" s="6"/>
      <c r="G20" s="3"/>
      <c r="H20" s="3"/>
      <c r="I20" s="6"/>
      <c r="J20" s="3"/>
      <c r="K20" s="3"/>
      <c r="L20" s="3"/>
      <c r="M20" s="3"/>
      <c r="N20" s="79"/>
    </row>
    <row r="21" spans="1:18" ht="12.75" customHeight="1">
      <c r="A21" s="80"/>
      <c r="B21" s="3"/>
      <c r="C21" s="3"/>
      <c r="D21" s="3"/>
      <c r="E21" s="3"/>
      <c r="F21" s="445"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3"/>
      <c r="H21" s="3"/>
      <c r="I21" s="3"/>
      <c r="J21" s="3"/>
      <c r="K21" s="3"/>
      <c r="L21" s="3"/>
      <c r="M21" s="3"/>
      <c r="N21" s="79"/>
    </row>
    <row r="22" spans="1:18" ht="13">
      <c r="A22" s="80"/>
      <c r="B22" s="3"/>
      <c r="C22" s="719" t="str">
        <f>IF(Lang="Français","DescenteSousParachute",IF(Lang="English","Over Parachute",""))</f>
        <v>DescenteSousParachute</v>
      </c>
      <c r="D22" s="720"/>
      <c r="E22" s="3"/>
      <c r="F22" s="10"/>
      <c r="G22" s="71">
        <f ca="1">TODAY()</f>
        <v>44160</v>
      </c>
      <c r="H22" s="578" t="str">
        <f>IF(Lang="Français","Temps",IF(Lang="English","Time",""))</f>
        <v>Temps</v>
      </c>
      <c r="I22" s="578" t="s">
        <v>12</v>
      </c>
      <c r="J22" s="578" t="str">
        <f>IF(Lang="Français","Portée x",IF(Lang="English","Range x",""))</f>
        <v>Portée x</v>
      </c>
      <c r="K22" s="578" t="str">
        <f>IF(Lang="Français","Vitesse",IF(Lang="English","Velocity",""))</f>
        <v>Vitesse</v>
      </c>
      <c r="L22" s="579" t="s">
        <v>13</v>
      </c>
      <c r="M22" s="588" t="s">
        <v>425</v>
      </c>
      <c r="N22" s="79"/>
    </row>
    <row r="23" spans="1:18" ht="13">
      <c r="A23" s="80"/>
      <c r="B23" s="81"/>
      <c r="C23" s="175" t="str">
        <f>C7</f>
        <v>Fusée</v>
      </c>
      <c r="D23" s="258" t="s">
        <v>121</v>
      </c>
      <c r="E23" s="3"/>
      <c r="F23" s="721" t="str">
        <f>IF(Lang="Français","Sortie de Rampe",IF(Lang="English","Launch-Pad Exit",""))</f>
        <v>Sortie de Rampe</v>
      </c>
      <c r="G23" s="722"/>
      <c r="H23" s="580"/>
      <c r="I23" s="580"/>
      <c r="J23" s="580"/>
      <c r="K23" s="581">
        <f ca="1">INDEX(vit_xz,MATCH("Sortie de rampe",Event,0))</f>
        <v>18.097176677647496</v>
      </c>
      <c r="L23" s="582"/>
      <c r="M23" s="589"/>
      <c r="N23" s="79"/>
    </row>
    <row r="24" spans="1:18" ht="13">
      <c r="A24" s="80"/>
      <c r="B24" s="550" t="str">
        <f>IF(Lang="Français","Masse",IF(Lang="English","Mass",""))</f>
        <v>Masse</v>
      </c>
      <c r="C24" s="551">
        <f ca="1">IF(Nb_sat="0 satellite",MasseVide,MasseVide-m_satellite)</f>
        <v>0.42899999999999999</v>
      </c>
      <c r="D24" s="568">
        <f>IF(RIGHT(Type_fusee,1)=".",1,0.15)</f>
        <v>0.15</v>
      </c>
      <c r="E24" s="28" t="str">
        <f>IF(ABS(T_satellite-0.11-T_para)&lt;0.1,"Pb!","")</f>
        <v/>
      </c>
      <c r="F24" s="724" t="str">
        <f>IF(Lang="Français","Vit max &amp; Acc max",IF(Lang="English","Max Velocity &amp; Acc",""))</f>
        <v>Vit max &amp; Acc max</v>
      </c>
      <c r="G24" s="704"/>
      <c r="H24" s="144"/>
      <c r="I24" s="144"/>
      <c r="J24" s="144"/>
      <c r="K24" s="191">
        <f ca="1">MAX(vit_xz)</f>
        <v>91.996736876501998</v>
      </c>
      <c r="L24" s="583">
        <f ca="1">MAX(acc_xz)</f>
        <v>124.22242088010483</v>
      </c>
      <c r="M24" s="589"/>
      <c r="N24" s="79"/>
    </row>
    <row r="25" spans="1:18" ht="13">
      <c r="A25" s="80"/>
      <c r="B25" s="554" t="str">
        <f>IF(Lang="Français","Dépotage",IF(Lang="English","Delay",""))</f>
        <v>Dépotage</v>
      </c>
      <c r="C25" s="594" t="s">
        <v>411</v>
      </c>
      <c r="D25" s="567"/>
      <c r="E25" s="3"/>
      <c r="F25" s="725" t="str">
        <f>IF(Lang="Français","Largage du satellite",IF(Lang="English","Satellite separation",""))</f>
        <v>Largage du satellite</v>
      </c>
      <c r="G25" s="706"/>
      <c r="H25" s="185">
        <f>IF(T_satellite&lt;&gt;0,T_satellite,"")</f>
        <v>3.5</v>
      </c>
      <c r="I25" s="189">
        <f ca="1">IF(T_satellite&lt;&gt;0,INDEX(pos_z,MATCH("Satellite",Event_sat,0)),"")</f>
        <v>211.53232202215091</v>
      </c>
      <c r="J25" s="187">
        <f ca="1">IF(T_satellite&lt;&gt;0,INDEX(pos_x,MATCH("Satellite",Event_sat,0)),"")</f>
        <v>50.883394420194001</v>
      </c>
      <c r="K25" s="192">
        <f ca="1">IF(T_satellite&lt;&gt;0,INDEX(vit_xz,MATCH("Satellite",Event_sat,0)),"")</f>
        <v>53.152007898746668</v>
      </c>
      <c r="L25" s="584"/>
      <c r="M25" s="573">
        <f ca="1">1/2*Rho_moyen*1*V_ouv_sat^2*S_satellite</f>
        <v>34.607915309938249</v>
      </c>
      <c r="N25" s="79"/>
    </row>
    <row r="26" spans="1:18" ht="13">
      <c r="A26" s="80"/>
      <c r="B26" s="552" t="str">
        <f>IF(Lang="Français","Ouverture para",IF(Lang="English","Opening time",""))</f>
        <v>Ouverture para</v>
      </c>
      <c r="C26" s="596">
        <v>8</v>
      </c>
      <c r="D26" s="553">
        <v>3.5</v>
      </c>
      <c r="E26" s="3"/>
      <c r="F26" s="724" t="s">
        <v>15</v>
      </c>
      <c r="G26" s="704"/>
      <c r="H26" s="186">
        <f ca="1">INDEX(t,MATCH("Apogée",Event,0))</f>
        <v>7.6999999999999895</v>
      </c>
      <c r="I26" s="190">
        <f ca="1">INDEX(pos_z,MATCH("Apogée",Event,0))</f>
        <v>310.72890500764521</v>
      </c>
      <c r="J26" s="188">
        <f ca="1">INDEX(pos_x,MATCH("Apogée",Event,0))</f>
        <v>104.88967833646588</v>
      </c>
      <c r="K26" s="193">
        <f ca="1">INDEX(vit_xz,MATCH("Apogée",Event,0))</f>
        <v>11.517804104564037</v>
      </c>
      <c r="L26" s="585"/>
      <c r="M26" s="589"/>
      <c r="N26" s="79"/>
    </row>
    <row r="27" spans="1:18" ht="13">
      <c r="A27" s="80"/>
      <c r="B27" s="174" t="s">
        <v>9</v>
      </c>
      <c r="C27" s="263">
        <f>S_para_croix</f>
        <v>0.26020500000000002</v>
      </c>
      <c r="D27" s="26">
        <f>IF(RIGHT(Type_fusee,1)=".",0.1,0.02)</f>
        <v>0.02</v>
      </c>
      <c r="E27" s="3"/>
      <c r="F27" s="723" t="str">
        <f>IF(Lang="Français","Ouverture parachute fusée",IF(Lang="English","Rocket parachute opening",""))</f>
        <v>Ouverture parachute fusée</v>
      </c>
      <c r="G27" s="709"/>
      <c r="H27" s="185">
        <f>T_para</f>
        <v>8</v>
      </c>
      <c r="I27" s="189">
        <f ca="1">INDEX(pos_z,MATCH("Para",Event_para,0))</f>
        <v>310.5170608885864</v>
      </c>
      <c r="J27" s="574">
        <f ca="1">INDEX(pos_x,MATCH("Para",Event_para,0))</f>
        <v>108.32287923480831</v>
      </c>
      <c r="K27" s="192">
        <f ca="1">INDEX(vit_xz,MATCH("Para",Event_para,0))</f>
        <v>11.601576152780801</v>
      </c>
      <c r="L27" s="584"/>
      <c r="M27" s="573">
        <f ca="1">1/2*Rho_moyen*1*V_ouverture^2*S_para</f>
        <v>21.451403931405764</v>
      </c>
      <c r="N27" s="79"/>
      <c r="P27" s="566" t="str">
        <f ca="1">IF(V_para&lt;5, IF(Lang="Français","Parachute fusée trop grand !","Parachute too big!"), IF( V_para&gt;15, IF(Lang="Français","Parachute fusée trop petit !","Parachute too small!"), ""))</f>
        <v/>
      </c>
      <c r="R27" s="566" t="str">
        <f>IF(AND(Nb_sat="1 satellite", OR(V_satellite&lt;5)), IF(Lang="Français","Parachute satéllite trop grand !","Parachute too big"), IF(AND(Nb_sat="1 satellite",OR(V_satellite&gt;15)), IF(Lang="Français","Parachute satéllite trop petit !","Parachute too small!"), ""))</f>
        <v/>
      </c>
    </row>
    <row r="28" spans="1:18" ht="13">
      <c r="A28" s="80"/>
      <c r="B28" s="174" t="s">
        <v>10</v>
      </c>
      <c r="C28" s="176">
        <v>1</v>
      </c>
      <c r="D28" s="176">
        <v>1</v>
      </c>
      <c r="E28" s="3"/>
      <c r="F28" s="728" t="str">
        <f>IF(Lang="Français","Impact balistique",IF(Lang="English","Balistic Impact",""))</f>
        <v>Impact balistique</v>
      </c>
      <c r="G28" s="729"/>
      <c r="H28" s="586">
        <f ca="1">INDEX(t,MATCH("Impact balistique",Event,0))</f>
        <v>16.899999999999974</v>
      </c>
      <c r="I28" s="607" t="s">
        <v>432</v>
      </c>
      <c r="J28" s="575">
        <f ca="1">INDEX(pos_x,MATCH("Impact balistique",Event,0))</f>
        <v>184.26379383972827</v>
      </c>
      <c r="K28" s="590">
        <f ca="1">K45</f>
        <v>56.010730334538316</v>
      </c>
      <c r="L28" s="587"/>
      <c r="M28" s="591">
        <f ca="1">0.5*m_vide*K28^2</f>
        <v>672.92981025449546</v>
      </c>
      <c r="N28" s="79"/>
      <c r="P28" s="566" t="str">
        <f ca="1">IF( OR( V_para&lt;5, V_para&gt;15, AND(Nb_sat="1 satellite", OR(V_satellite&lt;5, V_satellite&gt;15))), IF(Lang="Français","La Vitesse de descente sous parachute doit être comprise entre 5 &amp; 15 m/s.","Fall Velocity with parachute must be between 5 &amp; 15 m/s."), "")</f>
        <v/>
      </c>
    </row>
    <row r="29" spans="1:18" ht="13">
      <c r="A29" s="80"/>
      <c r="B29" s="174" t="str">
        <f>IF(Lang="Français","Vitesse du vent",IF(Lang="English","Wind speed",""))</f>
        <v>Vitesse du vent</v>
      </c>
      <c r="C29" s="177">
        <v>5</v>
      </c>
      <c r="D29" s="177">
        <f>V_vent</f>
        <v>5</v>
      </c>
      <c r="E29" s="28" t="str">
        <f>IF(AND(T_satellite=0,m_satellite&lt;&gt;0),"Erreur !","")</f>
        <v/>
      </c>
      <c r="F29" s="576"/>
      <c r="G29" s="571"/>
      <c r="H29" s="572"/>
      <c r="I29" s="577"/>
      <c r="K29" s="3"/>
      <c r="L29" s="3"/>
      <c r="M29" s="3"/>
      <c r="N29" s="79"/>
      <c r="P29" s="566" t="str">
        <f ca="1">IF(AND(Portee_balistique&gt;200,LEFT(Type_propu,4)="Mini"),IF(Lang="Français","Fusée trop lègère !","Rocket too light"),"")</f>
        <v/>
      </c>
    </row>
    <row r="30" spans="1:18" ht="13">
      <c r="A30" s="80"/>
      <c r="B30" s="166" t="str">
        <f>IF(Lang="Français","Vitesse descente",IF(Lang="English","Fall velocity",""))</f>
        <v>Vitesse descente</v>
      </c>
      <c r="C30" s="488">
        <f ca="1">SQRT(2*m_vide*g/Rho_moyen/S_para/Cx_para)</f>
        <v>5.1386884091799487</v>
      </c>
      <c r="D30" s="488">
        <f>SQRT(2*m_satellite*g/Rho_moyen/S_satellite/Cx_satellite)</f>
        <v>10.960038730752361</v>
      </c>
      <c r="E30" s="3"/>
      <c r="F30" s="445"/>
      <c r="G30" s="3"/>
      <c r="H30" s="3"/>
      <c r="I30" s="3"/>
      <c r="J30" s="3"/>
      <c r="K30" s="449"/>
      <c r="L30" s="3"/>
      <c r="M30" s="3"/>
      <c r="N30" s="79"/>
      <c r="P30" s="566" t="str">
        <f ca="1">IF(OR(AND(Vsortie_de_rampe&lt;20,LEFT(Type_fusee,1)="F"),AND(Vsortie_de_rampe&lt;18, OR(LEFT(Type_fusee,1)=",",LEFT(Type_fusee,4)="Mini",LEFT(Type_fusee,1)="R"))),IF(Lang="Français","Fusée trop lourde ou rampe trop courte !","Rocket too heavy or launch pad too small!"),"")</f>
        <v/>
      </c>
    </row>
    <row r="31" spans="1:18" ht="13">
      <c r="A31" s="80"/>
      <c r="B31" s="166" t="str">
        <f>IF(Lang="Français","Durée descente",IF(Lang="English","Fall duration",""))</f>
        <v>Durée descente</v>
      </c>
      <c r="C31" s="165">
        <f ca="1">Alt_para/V_para</f>
        <v>60.427298984283013</v>
      </c>
      <c r="D31" s="165">
        <f ca="1">IF(V_satellite&lt;&gt;0,Alt_sat/V_satellite,0)</f>
        <v>19.300326141058271</v>
      </c>
      <c r="E31" s="3"/>
      <c r="F31" s="3"/>
      <c r="G31" s="3"/>
      <c r="H31" s="730" t="str">
        <f>IF(Lang="Français","Pour localiser la fusée","To locate the rocket")</f>
        <v>Pour localiser la fusée</v>
      </c>
      <c r="I31" s="730"/>
      <c r="J31" s="570"/>
      <c r="L31" s="3"/>
      <c r="M31" s="3"/>
      <c r="N31" s="456"/>
      <c r="P31" s="566" t="str">
        <f ca="1">IF(Temps_culmi-T_para&gt;2,IF(Lang="Français","Ouverture parachute fusée précoce.","Early rocket parachute opening."),IF(Temps_culmi-T_para&lt;-2,IF(Lang="Français","Ouverture parachute fusée tardive.","Late rocket parachute opening."),""))</f>
        <v/>
      </c>
    </row>
    <row r="32" spans="1:18" ht="13">
      <c r="A32" s="80"/>
      <c r="B32" s="166" t="str">
        <f>IF(Lang="Français","Durée du vol",IF(Lang="English","Fligth duration",""))</f>
        <v>Durée du vol</v>
      </c>
      <c r="C32" s="165">
        <f ca="1">T_para+Dt_para</f>
        <v>68.427298984283013</v>
      </c>
      <c r="D32" s="165">
        <f ca="1">T_satellite+Dt_satellite</f>
        <v>22.800326141058271</v>
      </c>
      <c r="E32" s="3"/>
      <c r="F32" s="730" t="str">
        <f>IF(Lang="Français","Couleur fuselage/coiffe","Body/Nose color")</f>
        <v>Couleur fuselage/coiffe</v>
      </c>
      <c r="G32" s="730"/>
      <c r="H32" s="726" t="s">
        <v>269</v>
      </c>
      <c r="I32" s="727"/>
      <c r="J32" s="3"/>
      <c r="L32" s="3"/>
      <c r="M32" s="3"/>
      <c r="N32" s="455"/>
      <c r="P32" s="566" t="str">
        <f ca="1">IF(ABS(Temps_culmi-T_para)&gt;2,IF(Lang="Français","Attention, aux efforts sur le parachute lors de l'ouverture !","Becarefull to the opening chute efforts!"),"")</f>
        <v/>
      </c>
    </row>
    <row r="33" spans="1:16" customFormat="1" ht="13">
      <c r="A33" s="96"/>
      <c r="B33" s="166" t="str">
        <f>IF(Lang="Français","Déport latéral",IF(Lang="English","Lateral shift",""))</f>
        <v>Déport latéral</v>
      </c>
      <c r="C33" s="184">
        <f ca="1">Alt_para*V_vent/V_para</f>
        <v>302.13649492141508</v>
      </c>
      <c r="D33" s="184">
        <f ca="1">IF(V_satellite&lt;&gt;0,Alt_sat*V_vent_sat/V_satellite,0)</f>
        <v>96.501630705291362</v>
      </c>
      <c r="E33" s="81"/>
      <c r="F33" s="730" t="str">
        <f>IF(Lang="Français","Couleur parachute fusée","Rocket parachute color")</f>
        <v>Couleur parachute fusée</v>
      </c>
      <c r="G33" s="730"/>
      <c r="H33" s="726" t="s">
        <v>270</v>
      </c>
      <c r="I33" s="727"/>
      <c r="J33" s="81"/>
      <c r="K33" s="81"/>
      <c r="L33" s="81"/>
      <c r="M33" s="81"/>
      <c r="N33" s="455" t="str">
        <f>IF(Lang="Français","fichier initial","Initial file")</f>
        <v>fichier initial</v>
      </c>
    </row>
    <row r="34" spans="1:16" ht="13">
      <c r="A34" s="80"/>
      <c r="B34" s="3"/>
      <c r="C34" s="3"/>
      <c r="D34" s="3"/>
      <c r="E34" s="3"/>
      <c r="F34" s="730" t="str">
        <f>IF(Lang="Français","Couleur parachute satellite","Satellite parachute color")</f>
        <v>Couleur parachute satellite</v>
      </c>
      <c r="G34" s="730"/>
      <c r="H34" s="734" t="s">
        <v>159</v>
      </c>
      <c r="I34" s="734"/>
      <c r="J34" s="3"/>
      <c r="K34" s="3"/>
      <c r="L34" s="3"/>
      <c r="M34" s="3"/>
      <c r="N34" s="454" t="str">
        <f>IF(ROUND(SUM(Propu!5:1228),0)=395253,"propu OK","propu NOK")</f>
        <v>propu OK</v>
      </c>
      <c r="P34"/>
    </row>
    <row r="35" spans="1:16" ht="13" thickBot="1">
      <c r="A35" s="82"/>
      <c r="B35" s="215" t="str">
        <f>IF(Lang="Français","Commentaire libre :",IF(Lang="English","Free comment:",""))</f>
        <v>Commentaire libre :</v>
      </c>
      <c r="C35" s="83"/>
      <c r="D35" s="83"/>
      <c r="E35" s="83"/>
      <c r="F35" s="83"/>
      <c r="G35" s="83"/>
      <c r="H35" s="83"/>
      <c r="I35" s="83"/>
      <c r="J35" s="83"/>
      <c r="K35" s="83"/>
      <c r="L35" s="83"/>
      <c r="M35" s="83"/>
      <c r="N35" s="340" t="s">
        <v>549</v>
      </c>
      <c r="P35"/>
    </row>
    <row r="38" spans="1:16" ht="13">
      <c r="A38" s="731" t="str">
        <f>IF(Lang="Français","Calcul de la surface d'un parachute","Parachute surface calculation")</f>
        <v>Calcul de la surface d'un parachute</v>
      </c>
      <c r="B38" s="732"/>
      <c r="C38" s="732"/>
      <c r="D38" s="733"/>
      <c r="F38" s="731" t="str">
        <f>IF(Lang="Français","Résultats détaillés","Detailled results")</f>
        <v>Résultats détaillés</v>
      </c>
      <c r="G38" s="733"/>
      <c r="H38" s="203" t="str">
        <f>IF(Lang="Français","Temps",IF(Lang="English","Time",""))</f>
        <v>Temps</v>
      </c>
      <c r="I38" s="167" t="s">
        <v>12</v>
      </c>
      <c r="J38" s="167" t="str">
        <f>IF(Lang="Français","Portée x",IF(Lang="English","Range x",""))</f>
        <v>Portée x</v>
      </c>
      <c r="K38" s="167" t="str">
        <f>IF(Lang="Français","Vitesse",IF(Lang="English","Velocity",""))</f>
        <v>Vitesse</v>
      </c>
      <c r="L38" s="168" t="s">
        <v>13</v>
      </c>
      <c r="M38" s="167" t="s">
        <v>42</v>
      </c>
    </row>
    <row r="39" spans="1:16" ht="13">
      <c r="A39" s="194"/>
      <c r="B39" s="3"/>
      <c r="C39" s="3"/>
      <c r="D39" s="195"/>
      <c r="F39" s="205"/>
      <c r="G39" s="206"/>
      <c r="H39" s="204" t="s">
        <v>154</v>
      </c>
      <c r="I39" s="169" t="s">
        <v>39</v>
      </c>
      <c r="J39" s="169" t="s">
        <v>39</v>
      </c>
      <c r="K39" s="169" t="s">
        <v>155</v>
      </c>
      <c r="L39" s="169" t="s">
        <v>7</v>
      </c>
      <c r="M39" s="169" t="s">
        <v>156</v>
      </c>
    </row>
    <row r="40" spans="1:16" ht="13">
      <c r="A40" s="194"/>
      <c r="B40" s="3"/>
      <c r="C40" s="3"/>
      <c r="D40" s="195"/>
      <c r="F40" s="703" t="str">
        <f>IF(Lang="Français","Décollage",IF(Lang="English","Lift-Off",""))</f>
        <v>Décollage</v>
      </c>
      <c r="G40" s="703"/>
      <c r="H40" s="183">
        <v>0</v>
      </c>
      <c r="I40" s="183">
        <v>0</v>
      </c>
      <c r="J40" s="183">
        <v>0</v>
      </c>
      <c r="K40" s="183">
        <v>0</v>
      </c>
      <c r="L40" s="181" t="s">
        <v>14</v>
      </c>
      <c r="M40" s="182">
        <f>Beta_rampe</f>
        <v>80</v>
      </c>
    </row>
    <row r="41" spans="1:16" ht="13">
      <c r="A41" s="194"/>
      <c r="B41" s="3"/>
      <c r="C41" s="3"/>
      <c r="D41" s="195"/>
      <c r="F41" s="704" t="str">
        <f>IF(Lang="Français","Sortie de Rampe",IF(Lang="English","Launch-Pad Exit",""))</f>
        <v>Sortie de Rampe</v>
      </c>
      <c r="G41" s="704"/>
      <c r="H41" s="144">
        <f ca="1">INDEX(t,MATCH("Sortie de rampe",Event,0))</f>
        <v>0.27000000000000007</v>
      </c>
      <c r="I41" s="144">
        <f ca="1">INDEX(pos_z,MATCH("Sortie de rampe",Event,0))</f>
        <v>2.4084120031271685</v>
      </c>
      <c r="J41" s="144">
        <f ca="1">INDEX(pos_x,MATCH("Sortie de rampe",Event,0))</f>
        <v>0.42464011535048191</v>
      </c>
      <c r="K41" s="145">
        <f ca="1">INDEX(vit_xz,MATCH("Sortie de rampe",Event,0))</f>
        <v>18.097176677647496</v>
      </c>
      <c r="L41" s="146">
        <f ca="1">INDEX(acc_xz,MATCH("Sortie de rampe",Event,0))</f>
        <v>70.26581994585176</v>
      </c>
      <c r="M41" s="146">
        <f ca="1">INDEX(BetaD,MATCH("Sortie de rampe",Event,0))</f>
        <v>80</v>
      </c>
    </row>
    <row r="42" spans="1:16" ht="13">
      <c r="A42" s="194"/>
      <c r="B42" s="199" t="str">
        <f>IF(Lang="Français","Longeur du bord","Side length")</f>
        <v>Longeur du bord</v>
      </c>
      <c r="C42" s="3"/>
      <c r="D42" s="195"/>
      <c r="F42" s="704" t="str">
        <f>IF(Lang="Français","Vit max &amp; Acc max",IF(Lang="English","Max Velocity &amp; Acc",""))</f>
        <v>Vit max &amp; Acc max</v>
      </c>
      <c r="G42" s="704"/>
      <c r="H42" s="144" t="s">
        <v>14</v>
      </c>
      <c r="I42" s="144" t="s">
        <v>14</v>
      </c>
      <c r="J42" s="144" t="s">
        <v>14</v>
      </c>
      <c r="K42" s="147">
        <f ca="1">MAX(vit_xz)</f>
        <v>91.996736876501998</v>
      </c>
      <c r="L42" s="148">
        <f ca="1">MAX(acc_xz)</f>
        <v>124.22242088010483</v>
      </c>
      <c r="M42" s="145" t="s">
        <v>14</v>
      </c>
    </row>
    <row r="43" spans="1:16" ht="13">
      <c r="A43" s="194"/>
      <c r="B43" s="200">
        <v>249</v>
      </c>
      <c r="C43" s="3"/>
      <c r="D43" s="195"/>
      <c r="F43" s="704" t="str">
        <f>IF(Lang="Français","Fin de Propulsion",IF(Lang="English","Motor Burn-Out",""))</f>
        <v>Fin de Propulsion</v>
      </c>
      <c r="G43" s="704"/>
      <c r="H43" s="146">
        <f ca="1">INDEX(t,MATCH("Fin de propulsion",Event,0))</f>
        <v>1.8400000000000014</v>
      </c>
      <c r="I43" s="149">
        <f ca="1">INDEX(pos_z,MATCH("Fin de propulsion",Event,0))</f>
        <v>99.581015459762511</v>
      </c>
      <c r="J43" s="149">
        <f ca="1">INDEX(pos_x,MATCH("Fin de propulsion",Event,0))</f>
        <v>21.559008773139247</v>
      </c>
      <c r="K43" s="150">
        <f ca="1">INDEX(vit_xz,MATCH("Fin de propulsion",Event,0))</f>
        <v>89.93152680671902</v>
      </c>
      <c r="L43" s="146">
        <f ca="1">INDEX(acc_xz,MATCH("Fin de propulsion",Event,0))</f>
        <v>29.925173303874672</v>
      </c>
      <c r="M43" s="146">
        <f ca="1">INDEX(BetaD,MATCH("Fin de propulsion",Event,0))</f>
        <v>76.729514541944241</v>
      </c>
    </row>
    <row r="44" spans="1:16" ht="13">
      <c r="A44" s="194"/>
      <c r="B44" s="199" t="str">
        <f>IF(Lang="Français","Largeur du coté","Side width")</f>
        <v>Largeur du coté</v>
      </c>
      <c r="C44" s="3"/>
      <c r="D44" s="195"/>
      <c r="F44" s="704" t="s">
        <v>15</v>
      </c>
      <c r="G44" s="704"/>
      <c r="H44" s="148">
        <f ca="1">INDEX(t,MATCH("Apogée",Event,0))</f>
        <v>7.6999999999999895</v>
      </c>
      <c r="I44" s="147">
        <f ca="1">INDEX(pos_z,MATCH("Apogée",Event,0))</f>
        <v>310.72890500764521</v>
      </c>
      <c r="J44" s="151">
        <f ca="1">INDEX(pos_x,MATCH("Apogée",Event,0))</f>
        <v>104.88967833646588</v>
      </c>
      <c r="K44" s="151">
        <f ca="1">INDEX(vit_xz,MATCH("Apogée",Event,0))</f>
        <v>11.517804104564037</v>
      </c>
      <c r="L44" s="145">
        <f ca="1">INDEX(acc_xz,MATCH("Apogée",Event,0))</f>
        <v>9.8652943189901432</v>
      </c>
      <c r="M44" s="152">
        <f ca="1">INDEX(BetaD,MATCH("Apogée",Event,0))</f>
        <v>3.8147326101347594</v>
      </c>
    </row>
    <row r="45" spans="1:16" ht="13">
      <c r="A45" s="194"/>
      <c r="B45" s="201">
        <v>199</v>
      </c>
      <c r="C45" s="3"/>
      <c r="D45" s="195"/>
      <c r="F45" s="707" t="str">
        <f>IF(Lang="Français","Impact balistique",IF(Lang="English","Balistic Impact",""))</f>
        <v>Impact balistique</v>
      </c>
      <c r="G45" s="707"/>
      <c r="H45" s="145">
        <f ca="1">INDEX(t,MATCH("Impact balistique",Event,0))</f>
        <v>16.899999999999974</v>
      </c>
      <c r="I45" s="181" t="s">
        <v>16</v>
      </c>
      <c r="J45" s="147">
        <f ca="1">INDEX(pos_x,MATCH("Impact balistique",Event,0))</f>
        <v>184.26379383972827</v>
      </c>
      <c r="K45" s="150">
        <f ca="1">INDEX(vit_xz,MATCH("Impact balistique",Event,0))</f>
        <v>56.010730334538316</v>
      </c>
      <c r="L45" s="145">
        <f ca="1">INDEX(acc_xz,MATCH("Impact balistique",Event,0))</f>
        <v>2.1247347084196795</v>
      </c>
      <c r="M45" s="145">
        <f ca="1">INDEX(BetaD,MATCH("Impact balistique",Event,0))</f>
        <v>-84.85687273088827</v>
      </c>
    </row>
    <row r="46" spans="1:16" ht="13">
      <c r="A46" s="194"/>
      <c r="B46" s="202" t="s">
        <v>9</v>
      </c>
      <c r="C46" s="3"/>
      <c r="D46" s="195"/>
      <c r="F46" s="709" t="str">
        <f>IF(Lang="Français","Ouverture parachute fusée",IF(Lang="English","Rocket parachute opening",""))</f>
        <v>Ouverture parachute fusée</v>
      </c>
      <c r="G46" s="709"/>
      <c r="H46" s="153">
        <f>T_para</f>
        <v>8</v>
      </c>
      <c r="I46" s="154">
        <f ca="1">INDEX(pos_z,MATCH("Para",Event_para,0))</f>
        <v>310.5170608885864</v>
      </c>
      <c r="J46" s="154">
        <f ca="1">INDEX(pos_x,MATCH("Para",Event_para,0))</f>
        <v>108.32287923480831</v>
      </c>
      <c r="K46" s="154">
        <f ca="1">INDEX(vit_xz,MATCH("Para",Event_para,0))</f>
        <v>11.601576152780801</v>
      </c>
      <c r="L46" s="155">
        <f ca="1">INDEX(acc_xz,MATCH("Para",Event_para,0))</f>
        <v>9.7816801976130314</v>
      </c>
      <c r="M46" s="156">
        <f ca="1">INDEX(BetaD,MATCH("Para",Event_para,0))</f>
        <v>-10.804960835431881</v>
      </c>
    </row>
    <row r="47" spans="1:16" ht="13">
      <c r="A47" s="194"/>
      <c r="B47" s="207">
        <f>(4*B43*B45+B43^2)/10^6</f>
        <v>0.26020500000000002</v>
      </c>
      <c r="C47" s="3"/>
      <c r="D47" s="195"/>
      <c r="F47" s="708" t="str">
        <f>IF(Lang="Français","Impact fusée sous para.",IF(Lang="English","Impact of rocket with para. ",""))</f>
        <v>Impact fusée sous para.</v>
      </c>
      <c r="G47" s="708"/>
      <c r="H47" s="157">
        <f ca="1">T_para+Dt_para</f>
        <v>68.427298984283013</v>
      </c>
      <c r="I47" s="159" t="s">
        <v>16</v>
      </c>
      <c r="J47" s="158" t="str">
        <f ca="1">CONCATENATE(TEXT(X_para-Dx_para,"0")," | ",TEXT(X_para+Dx_para,"0"))</f>
        <v>-194 | 410</v>
      </c>
      <c r="K47" s="160">
        <f ca="1">V_para</f>
        <v>5.1386884091799487</v>
      </c>
      <c r="L47" s="161">
        <f>g</f>
        <v>9.81</v>
      </c>
      <c r="M47" s="161" t="s">
        <v>14</v>
      </c>
    </row>
    <row r="48" spans="1:16" ht="13">
      <c r="A48" s="194"/>
      <c r="B48" s="3"/>
      <c r="C48" s="3"/>
      <c r="D48" s="195"/>
      <c r="F48" s="705" t="str">
        <f>IF(Lang="Français","Largage du satellite",IF(Lang="English","Satellite separation",""))</f>
        <v>Largage du satellite</v>
      </c>
      <c r="G48" s="706"/>
      <c r="H48" s="153">
        <f>IF(T_satellite&lt;&gt;0,T_satellite,"")</f>
        <v>3.5</v>
      </c>
      <c r="I48" s="154">
        <f ca="1">IF(T_satellite&lt;&gt;0,INDEX(pos_z,MATCH("Satellite",Event_sat,0)),"")</f>
        <v>211.53232202215091</v>
      </c>
      <c r="J48" s="162">
        <f ca="1">IF(T_satellite&lt;&gt;0,INDEX(pos_x,MATCH("Satellite",Event_sat,0)),"")</f>
        <v>50.883394420194001</v>
      </c>
      <c r="K48" s="154">
        <f ca="1">IF(T_satellite&lt;&gt;0,INDEX(vit_xz,MATCH("Satellite",Event_sat,0)),"")</f>
        <v>53.152007898746668</v>
      </c>
      <c r="L48" s="155">
        <f ca="1">IF(T_satellite&lt;&gt;0,INDEX(acc_xz,MATCH("Satellite",Event_sat,0)),"")</f>
        <v>17.048067953453394</v>
      </c>
      <c r="M48" s="156">
        <f ca="1">IF(T_satellite&lt;&gt;0,INDEX(BetaD,MATCH("Satellite",Event_sat,0)),"")</f>
        <v>73.161922892580407</v>
      </c>
    </row>
    <row r="49" spans="1:13" ht="13">
      <c r="A49" s="194"/>
      <c r="B49" s="3"/>
      <c r="C49" s="3"/>
      <c r="D49" s="195"/>
      <c r="F49" s="701" t="str">
        <f>IF(Lang="Français","Impact du satellite",IF(Lang="English","Satellite impact",""))</f>
        <v>Impact du satellite</v>
      </c>
      <c r="G49" s="702"/>
      <c r="H49" s="157">
        <f ca="1">IF(T_satellite&lt;&gt;0,T_satellite+Dt_satellite,"")</f>
        <v>22.800326141058271</v>
      </c>
      <c r="I49" s="163" t="str">
        <f>IF(T_satellite&lt;&gt;0,"~0","")</f>
        <v>~0</v>
      </c>
      <c r="J49" s="163" t="str">
        <f ca="1">IF(T_satellite&lt;&gt;0,CONCATENATE(TEXT(X_satellite-Dx_sat,"0")," | ",TEXT(X_satellite+Dx_sat,"0")),"")</f>
        <v>-46 | 147</v>
      </c>
      <c r="K49" s="163">
        <f>IF(T_satellite&lt;&gt;0,V_satellite,"")</f>
        <v>10.960038730752361</v>
      </c>
      <c r="L49" s="161">
        <f>IF(T_satellite&lt;&gt;0,g,"")</f>
        <v>9.81</v>
      </c>
      <c r="M49" s="164" t="str">
        <f>IF(T_satellite&lt;&gt;0,"-","")</f>
        <v>-</v>
      </c>
    </row>
    <row r="50" spans="1:13" ht="13">
      <c r="A50" s="194"/>
      <c r="B50" s="199" t="str">
        <f>IF(Lang="Français","Rayon exterieur","Half-diameter ext")</f>
        <v>Rayon exterieur</v>
      </c>
      <c r="C50" s="3"/>
      <c r="D50" s="195"/>
    </row>
    <row r="51" spans="1:13" ht="13">
      <c r="A51" s="194"/>
      <c r="B51" s="201">
        <v>299</v>
      </c>
      <c r="C51" s="3"/>
      <c r="D51" s="195"/>
    </row>
    <row r="52" spans="1:13" ht="13">
      <c r="A52" s="194"/>
      <c r="B52" s="199" t="str">
        <f>IF(Lang="Français","Rayon intérieur","Half-diameter int")</f>
        <v>Rayon intérieur</v>
      </c>
      <c r="C52" s="3"/>
      <c r="D52" s="195"/>
    </row>
    <row r="53" spans="1:13" ht="13">
      <c r="A53" s="194"/>
      <c r="B53" s="201">
        <v>29</v>
      </c>
      <c r="C53" s="3"/>
      <c r="D53" s="195"/>
    </row>
    <row r="54" spans="1:13" ht="13">
      <c r="A54" s="194"/>
      <c r="B54" s="202" t="s">
        <v>9</v>
      </c>
      <c r="C54" s="3"/>
      <c r="D54" s="195"/>
    </row>
    <row r="55" spans="1:13" ht="13">
      <c r="A55" s="194"/>
      <c r="B55" s="207">
        <f>PI()*(B51^2-B53^2)/10^6</f>
        <v>0.27821944540191207</v>
      </c>
      <c r="C55" s="3"/>
      <c r="D55" s="195"/>
    </row>
    <row r="56" spans="1:13">
      <c r="A56" s="196"/>
      <c r="B56" s="197"/>
      <c r="C56" s="197"/>
      <c r="D56" s="198"/>
    </row>
    <row r="57" spans="1:13">
      <c r="B57" s="3"/>
      <c r="C57" s="3"/>
      <c r="D57" s="3"/>
    </row>
    <row r="58" spans="1:13">
      <c r="B58" s="3"/>
      <c r="C58" s="3"/>
      <c r="D58" s="3"/>
    </row>
    <row r="59" spans="1:13">
      <c r="A59" s="3"/>
      <c r="B59" s="3"/>
      <c r="C59" s="3"/>
      <c r="D59" s="3"/>
    </row>
    <row r="60" spans="1:13">
      <c r="B60" s="3"/>
      <c r="C60" s="3"/>
      <c r="D60" s="3"/>
    </row>
    <row r="61" spans="1:13">
      <c r="B61" s="3"/>
      <c r="C61" s="3"/>
      <c r="D61" s="3"/>
    </row>
    <row r="62" spans="1:13">
      <c r="B62" s="3"/>
    </row>
    <row r="63" spans="1:13">
      <c r="B63" s="3"/>
    </row>
    <row r="93" spans="2:2" ht="13">
      <c r="B93" s="35" t="str">
        <f>IF(Lang="Français","Vitesse de descente sous parachute :",IF(Lang="English","Fall velocity over parachute:",""))</f>
        <v>Vitesse de descente sous parachute :</v>
      </c>
    </row>
    <row r="102" spans="2:7" ht="13">
      <c r="B102" s="35" t="str">
        <f>IF(Lang="Français","Textes pour les listes déroulantes et graphiques :","Texts for drop-down lists &amp; graphics :")</f>
        <v>Textes pour les listes déroulantes et graphiques :</v>
      </c>
      <c r="F102" s="259" t="s">
        <v>411</v>
      </c>
      <c r="G102" s="1" t="s">
        <v>418</v>
      </c>
    </row>
    <row r="103" spans="2:7">
      <c r="F103" s="563">
        <f ca="1">Combustion+Depotage-9</f>
        <v>3.4499999999999993</v>
      </c>
      <c r="G103" s="564" t="s">
        <v>413</v>
      </c>
    </row>
    <row r="104" spans="2:7">
      <c r="B104" s="1" t="s">
        <v>121</v>
      </c>
      <c r="F104" s="563">
        <f ca="1">Combustion+Depotage-7</f>
        <v>5.4499999999999993</v>
      </c>
      <c r="G104" s="564" t="s">
        <v>414</v>
      </c>
    </row>
    <row r="105" spans="2:7">
      <c r="B105" s="1" t="s">
        <v>122</v>
      </c>
      <c r="F105" s="563">
        <f ca="1">Combustion+Depotage-5</f>
        <v>7.4499999999999993</v>
      </c>
      <c r="G105" s="564" t="s">
        <v>415</v>
      </c>
    </row>
    <row r="106" spans="2:7">
      <c r="B106" s="1" t="str">
        <f>IF(T_para&gt;0,IF(Lang="Français","Phase ascendante","Climbing phase"),"")</f>
        <v>Phase ascendante</v>
      </c>
      <c r="F106" s="563">
        <f ca="1">Combustion+Depotage-3</f>
        <v>9.4499999999999993</v>
      </c>
      <c r="G106" s="564" t="s">
        <v>416</v>
      </c>
    </row>
    <row r="107" spans="2:7">
      <c r="B107" s="1" t="str">
        <f>IF(Lang="Français","Descente balistique","Balistic fall")</f>
        <v>Descente balistique</v>
      </c>
      <c r="F107" s="563">
        <f ca="1">Combustion+Depotage</f>
        <v>12.45</v>
      </c>
      <c r="G107" s="564" t="s">
        <v>417</v>
      </c>
    </row>
    <row r="108" spans="2:7">
      <c r="B108" s="1" t="str">
        <f>IF(T_para&gt;0,IF(Lang="Français","Fusée sous parachute","Rocket under parachute"),"")</f>
        <v>Fusée sous parachute</v>
      </c>
      <c r="F108" s="565" t="str">
        <f>IF(Lang="Français","autre",IF(Lang="English","other",""))</f>
        <v>autre</v>
      </c>
    </row>
    <row r="109" spans="2:7">
      <c r="B109" s="1" t="str">
        <f>IF(AND(Nb_sat="1 satellite",T_satellite&gt;0),IF(Lang="Français","Satellite sous parachute","Satellite over parachute"),"")</f>
        <v/>
      </c>
    </row>
    <row r="110" spans="2:7">
      <c r="B110" s="1" t="str">
        <f>IF(Lang="Français","Trajectoire (x z)","Trajectory (x z)")</f>
        <v>Trajectoire (x z)</v>
      </c>
    </row>
    <row r="111" spans="2:7">
      <c r="B111" s="1" t="str">
        <f>IF(Lang="Français","Portée x [m]","Range x [m]")</f>
        <v>Portée x [m]</v>
      </c>
    </row>
    <row r="112" spans="2:7">
      <c r="B112" s="1" t="str">
        <f>IF(Lang="Français","Temps [s]","Time [s]")</f>
        <v>Temps [s]</v>
      </c>
    </row>
    <row r="113" spans="2:3">
      <c r="B113" s="1" t="str">
        <f>IF(Lang="Français","Altitude z  /  Temps","Altitude z  /  Time")</f>
        <v>Altitude z  /  Temps</v>
      </c>
      <c r="C113" s="1">
        <f>IF(OR(C25=F102,C25=F108),C26,C25)</f>
        <v>8</v>
      </c>
    </row>
    <row r="115" spans="2:3">
      <c r="B115" s="1" t="s">
        <v>412</v>
      </c>
    </row>
    <row r="117" spans="2:3" ht="13">
      <c r="B117" s="35" t="str">
        <f>IF(Lang="Français","Données pour les graphiques :","Data for plots:")</f>
        <v>Données pour les graphiques :</v>
      </c>
      <c r="C117" s="246" t="s">
        <v>48</v>
      </c>
    </row>
    <row r="118" spans="2:3">
      <c r="C118" s="252">
        <f ca="1">MAX(Altitude_culmi,Portee_balistique)</f>
        <v>310.72890500764521</v>
      </c>
    </row>
    <row r="119" spans="2:3">
      <c r="B119" s="245" t="s">
        <v>48</v>
      </c>
      <c r="C119" s="9"/>
    </row>
    <row r="120" spans="2:3">
      <c r="B120" s="256">
        <f ca="1">MAX(Altitude_culmi,Portee_balistique)</f>
        <v>310.72890500764521</v>
      </c>
      <c r="C120" s="254" t="s">
        <v>46</v>
      </c>
    </row>
    <row r="121" spans="2:3">
      <c r="B121" s="9"/>
      <c r="C121" s="250">
        <f ca="1">Alt_para</f>
        <v>310.5170608885864</v>
      </c>
    </row>
    <row r="122" spans="2:3">
      <c r="B122" s="253" t="s">
        <v>50</v>
      </c>
      <c r="C122" s="250">
        <f ca="1">Alt_para/2</f>
        <v>155.2585304442932</v>
      </c>
    </row>
    <row r="123" spans="2:3">
      <c r="B123" s="255">
        <f ca="1">X_para</f>
        <v>108.32287923480831</v>
      </c>
      <c r="C123" s="250">
        <v>0</v>
      </c>
    </row>
    <row r="124" spans="2:3">
      <c r="B124" s="255">
        <f ca="1">X_para</f>
        <v>108.32287923480831</v>
      </c>
      <c r="C124" s="250">
        <f ca="1">Alt_para/20</f>
        <v>15.52585304442932</v>
      </c>
    </row>
    <row r="125" spans="2:3">
      <c r="B125" s="255">
        <f ca="1">X_para</f>
        <v>108.32287923480831</v>
      </c>
      <c r="C125" s="250">
        <v>0</v>
      </c>
    </row>
    <row r="126" spans="2:3">
      <c r="B126" s="255">
        <f ca="1">X_para+Alt_para/40</f>
        <v>116.08580575702297</v>
      </c>
      <c r="C126" s="250">
        <f ca="1">Alt_para/20</f>
        <v>15.52585304442932</v>
      </c>
    </row>
    <row r="127" spans="2:3">
      <c r="B127" s="255">
        <f ca="1">X_para</f>
        <v>108.32287923480831</v>
      </c>
      <c r="C127" s="257">
        <v>0</v>
      </c>
    </row>
    <row r="128" spans="2:3">
      <c r="B128" s="255">
        <f ca="1">X_para-Alt_para/40</f>
        <v>100.55995271259366</v>
      </c>
      <c r="C128" s="246" t="s">
        <v>46</v>
      </c>
    </row>
    <row r="129" spans="2:6">
      <c r="B129" s="256">
        <f ca="1">X_para</f>
        <v>108.32287923480831</v>
      </c>
      <c r="C129" s="250">
        <f ca="1">Alt_para</f>
        <v>310.5170608885864</v>
      </c>
      <c r="E129" s="274">
        <v>1</v>
      </c>
      <c r="F129" s="275" t="s">
        <v>178</v>
      </c>
    </row>
    <row r="130" spans="2:6">
      <c r="B130" s="245" t="s">
        <v>49</v>
      </c>
      <c r="C130" s="250">
        <f ca="1">(C129+C131)/2</f>
        <v>155.2585304442932</v>
      </c>
      <c r="E130" s="194">
        <v>1</v>
      </c>
      <c r="F130" s="276" t="s">
        <v>179</v>
      </c>
    </row>
    <row r="131" spans="2:6" ht="13">
      <c r="B131" s="249">
        <f>T_para</f>
        <v>8</v>
      </c>
      <c r="C131" s="250">
        <f>0</f>
        <v>0</v>
      </c>
      <c r="E131" s="194"/>
      <c r="F131" s="283" t="s">
        <v>180</v>
      </c>
    </row>
    <row r="132" spans="2:6">
      <c r="B132" s="249">
        <f ca="1">(B131+B133)/2</f>
        <v>38.213649492141506</v>
      </c>
      <c r="C132" s="250">
        <f ca="1">Alt_para-V_para*(H47-T_para)+E129*sS*Altitude_culmi/H47*zZ_fus+E130*sS/2*Altitude_culmi/H47*tT_fus</f>
        <v>11.062844391819549</v>
      </c>
      <c r="E132" s="277" t="s">
        <v>175</v>
      </c>
      <c r="F132" s="278">
        <f ca="1">T_balistique/10</f>
        <v>1.6899999999999973</v>
      </c>
    </row>
    <row r="133" spans="2:6">
      <c r="B133" s="249">
        <f ca="1">H47</f>
        <v>68.427298984283013</v>
      </c>
      <c r="C133" s="250">
        <f ca="1">Alt_para-V_para*(H47-T_para)</f>
        <v>0</v>
      </c>
      <c r="E133" s="277" t="s">
        <v>176</v>
      </c>
      <c r="F133" s="278">
        <f ca="1">(H47-T_para)/H47</f>
        <v>0.8830875963431275</v>
      </c>
    </row>
    <row r="134" spans="2:6">
      <c r="B134" s="249">
        <f ca="1">H47+E129*sS/2*zZ_fus-E130*sS*tT_fus</f>
        <v>67.779880946463123</v>
      </c>
      <c r="C134" s="250">
        <f ca="1">Alt_para-V_para*(H47-T_para)+E129*sS*Altitude_culmi/H47*zZ_fus-E130*sS/2*Altitude_culmi/H47*tT_fus</f>
        <v>4.2857622975526697</v>
      </c>
      <c r="E134" s="279" t="s">
        <v>177</v>
      </c>
      <c r="F134" s="280">
        <f ca="1">V_para*(H47-T_para)/Alt_para</f>
        <v>1</v>
      </c>
    </row>
    <row r="135" spans="2:6">
      <c r="B135" s="249">
        <f ca="1">H47</f>
        <v>68.427298984283013</v>
      </c>
      <c r="C135" s="252">
        <f ca="1">Alt_para-V_para*(H47-T_para)</f>
        <v>0</v>
      </c>
    </row>
    <row r="136" spans="2:6">
      <c r="B136" s="249">
        <f ca="1">H47-E129*sS/2*zZ_fus-E130*sS*tT_fus</f>
        <v>66.089880946463126</v>
      </c>
      <c r="C136" s="3"/>
    </row>
    <row r="137" spans="2:6">
      <c r="B137" s="251">
        <f ca="1">H47</f>
        <v>68.427298984283013</v>
      </c>
      <c r="C137" s="254" t="s">
        <v>47</v>
      </c>
    </row>
    <row r="138" spans="2:6">
      <c r="B138" s="3"/>
      <c r="C138" s="250" t="b">
        <f>IF(Nb_sat="1 satellite",Alt_sat)</f>
        <v>0</v>
      </c>
    </row>
    <row r="139" spans="2:6">
      <c r="B139" s="253" t="s">
        <v>52</v>
      </c>
      <c r="C139" s="250" t="b">
        <f>IF(Nb_sat="1 satellite",Alt_sat*1/4)</f>
        <v>0</v>
      </c>
    </row>
    <row r="140" spans="2:6">
      <c r="B140" s="255" t="b">
        <f>IF(Nb_sat="1 satellite",X_satellite)</f>
        <v>0</v>
      </c>
      <c r="C140" s="250" t="b">
        <f>IF(Nb_sat="1 satellite",0)</f>
        <v>0</v>
      </c>
    </row>
    <row r="141" spans="2:6">
      <c r="B141" s="255" t="b">
        <f>IF(Nb_sat="1 satellite",X_satellite)</f>
        <v>0</v>
      </c>
      <c r="C141" s="250" t="b">
        <f>IF(Nb_sat="1 satellite",Alt_sat/20)</f>
        <v>0</v>
      </c>
    </row>
    <row r="142" spans="2:6">
      <c r="B142" s="255" t="b">
        <f>IF(Nb_sat="1 satellite",X_satellite)</f>
        <v>0</v>
      </c>
      <c r="C142" s="250" t="b">
        <f>IF(Nb_sat="1 satellite",0)</f>
        <v>0</v>
      </c>
    </row>
    <row r="143" spans="2:6">
      <c r="B143" s="255" t="b">
        <f>IF(Nb_sat="1 satellite",X_satellite+Alt_sat/40)</f>
        <v>0</v>
      </c>
      <c r="C143" s="250" t="b">
        <f>IF(Nb_sat="1 satellite",Alt_sat/20)</f>
        <v>0</v>
      </c>
    </row>
    <row r="144" spans="2:6">
      <c r="B144" s="255" t="b">
        <f>IF(Nb_sat="1 satellite",X_satellite)</f>
        <v>0</v>
      </c>
      <c r="C144" s="250" t="b">
        <f>IF(Nb_sat="1 satellite",0)</f>
        <v>0</v>
      </c>
    </row>
    <row r="145" spans="2:6">
      <c r="B145" s="255" t="b">
        <f>IF(Nb_sat="1 satellite",X_satellite-Alt_sat/40)</f>
        <v>0</v>
      </c>
      <c r="C145" s="246" t="s">
        <v>47</v>
      </c>
    </row>
    <row r="146" spans="2:6">
      <c r="B146" s="256" t="b">
        <f>IF(Nb_sat="1 satellite",X_satellite)</f>
        <v>0</v>
      </c>
      <c r="C146" s="250" t="b">
        <f>IF(Nb_sat="1 satellite",Alt_sat)</f>
        <v>0</v>
      </c>
      <c r="D146" s="259"/>
    </row>
    <row r="147" spans="2:6">
      <c r="B147" s="245" t="s">
        <v>51</v>
      </c>
      <c r="C147" s="250">
        <f>(C146+C148)/2</f>
        <v>0</v>
      </c>
      <c r="D147" s="259"/>
    </row>
    <row r="148" spans="2:6">
      <c r="B148" s="249" t="b">
        <f>IF(Nb_sat="1 satellite",T_satellite)</f>
        <v>0</v>
      </c>
      <c r="C148" s="250" t="b">
        <f>IF(Nb_sat="1 satellite",0)</f>
        <v>0</v>
      </c>
    </row>
    <row r="149" spans="2:6">
      <c r="B149" s="249">
        <f>(B148+B150)/2</f>
        <v>0</v>
      </c>
      <c r="C149" s="250" t="b">
        <f>IF(Nb_sat="1 satellite",Alt_sat-V_satellite*(H49-T_satellite)+E129*sS*Altitude_culmi/H49*zZ_sat+E130*sS/2*Altitude_culmi/H49*tT_sat)</f>
        <v>0</v>
      </c>
      <c r="D149" s="259"/>
    </row>
    <row r="150" spans="2:6">
      <c r="B150" s="249" t="b">
        <f>IF(Nb_sat="1 satellite",H49)</f>
        <v>0</v>
      </c>
      <c r="C150" s="250" t="b">
        <f>IF(Nb_sat="1 satellite",0)</f>
        <v>0</v>
      </c>
      <c r="E150" s="281" t="s">
        <v>176</v>
      </c>
      <c r="F150" s="282">
        <f ca="1">(T_balistique-T_satellite)/T_balistique</f>
        <v>0.79289940828402339</v>
      </c>
    </row>
    <row r="151" spans="2:6">
      <c r="B151" s="249" t="b">
        <f>IF(Nb_sat="1 satellite",H49+E129*sS/2*zZ_sat-E130*sS*tT_sat)</f>
        <v>0</v>
      </c>
      <c r="C151" s="250" t="b">
        <f>IF(Nb_sat="1 satellite",Alt_sat-V_satellite*(H49-T_satellite)+E129*sS*Altitude_culmi/H49*zZ_sat-E130*sS/2*Altitude_culmi/H49*tT_sat)</f>
        <v>0</v>
      </c>
      <c r="E151" s="279" t="s">
        <v>177</v>
      </c>
      <c r="F151" s="280">
        <f ca="1">V_satellite*(T_balistique-T_satellite)/Alt_sat</f>
        <v>0.694288785695371</v>
      </c>
    </row>
    <row r="152" spans="2:6">
      <c r="B152" s="249" t="b">
        <f>IF(Nb_sat="1 satellite",H49)</f>
        <v>0</v>
      </c>
      <c r="C152" s="252" t="b">
        <f>IF(Nb_sat="1 satellite",0)</f>
        <v>0</v>
      </c>
    </row>
    <row r="153" spans="2:6">
      <c r="B153" s="249" t="b">
        <f>IF(Nb_sat="1 satellite",H49-sS/2*zZ_sat-E130*sS*tT_sat)</f>
        <v>0</v>
      </c>
    </row>
    <row r="154" spans="2:6">
      <c r="B154" s="251" t="b">
        <f>IF(Nb_sat="1 satellite",H49)</f>
        <v>0</v>
      </c>
      <c r="C154" s="267" t="s">
        <v>29</v>
      </c>
      <c r="D154" s="246" t="s">
        <v>3</v>
      </c>
    </row>
    <row r="155" spans="2:6">
      <c r="C155" s="272">
        <f ca="1">Alt_para/2</f>
        <v>155.2585304442932</v>
      </c>
      <c r="D155" s="273">
        <f ca="1">X_para/4</f>
        <v>27.080719808702078</v>
      </c>
    </row>
    <row r="156" spans="2:6">
      <c r="B156" s="245" t="s">
        <v>2</v>
      </c>
      <c r="C156" s="269">
        <f ca="1">Altitude_culmi/2</f>
        <v>155.3644525038226</v>
      </c>
      <c r="D156" s="270">
        <f ca="1">X_culmi+(Portee_balistique-X_culmi)*2/3</f>
        <v>157.80575533864081</v>
      </c>
    </row>
    <row r="157" spans="2:6">
      <c r="B157" s="271">
        <f>T_para/4</f>
        <v>2</v>
      </c>
    </row>
    <row r="158" spans="2:6">
      <c r="B158" s="268">
        <f ca="1">Temps_culmi + (T_balistique-Temps_culmi)/2</f>
        <v>12.299999999999983</v>
      </c>
      <c r="C158" s="267" t="s">
        <v>306</v>
      </c>
      <c r="D158" s="484" t="s">
        <v>308</v>
      </c>
      <c r="E158" s="484"/>
      <c r="F158" s="485" t="s">
        <v>308</v>
      </c>
    </row>
    <row r="159" spans="2:6">
      <c r="C159" s="303">
        <v>0</v>
      </c>
      <c r="D159" s="272">
        <f t="shared" ref="D159:D174" ca="1" si="0">X_culmi+C159</f>
        <v>104.88967833646588</v>
      </c>
      <c r="E159" s="272"/>
      <c r="F159" s="273">
        <f t="shared" ref="F159:F174" ca="1" si="1">X_culmi-C159</f>
        <v>104.88967833646588</v>
      </c>
    </row>
    <row r="160" spans="2:6">
      <c r="B160" s="245" t="s">
        <v>307</v>
      </c>
      <c r="C160" s="303">
        <v>23</v>
      </c>
      <c r="D160" s="272">
        <f t="shared" ca="1" si="0"/>
        <v>127.88967833646588</v>
      </c>
      <c r="E160" s="272"/>
      <c r="F160" s="273">
        <f t="shared" ca="1" si="1"/>
        <v>81.889678336465877</v>
      </c>
    </row>
    <row r="161" spans="2:6">
      <c r="B161" s="271">
        <f ca="1">IF(AND(Altitude_culmi&gt;80, Altitude_culmi&lt;=350), 49, NA())</f>
        <v>49</v>
      </c>
      <c r="C161" s="303">
        <v>23</v>
      </c>
      <c r="D161" s="272">
        <f t="shared" ca="1" si="0"/>
        <v>127.88967833646588</v>
      </c>
      <c r="E161" s="272"/>
      <c r="F161" s="273">
        <f t="shared" ca="1" si="1"/>
        <v>81.889678336465877</v>
      </c>
    </row>
    <row r="162" spans="2:6">
      <c r="B162" s="271">
        <f ca="1">IF(AND(Altitude_culmi&gt;80, Altitude_culmi&lt;=350), 49, NA())</f>
        <v>49</v>
      </c>
      <c r="C162" s="303">
        <v>0</v>
      </c>
      <c r="D162" s="272">
        <f t="shared" ca="1" si="0"/>
        <v>104.88967833646588</v>
      </c>
      <c r="E162" s="272"/>
      <c r="F162" s="273">
        <f t="shared" ca="1" si="1"/>
        <v>104.88967833646588</v>
      </c>
    </row>
    <row r="163" spans="2:6">
      <c r="B163" s="271">
        <f ca="1">IF(AND(Altitude_culmi&gt;80, Altitude_culmi&lt;=350), 43, NA())</f>
        <v>43</v>
      </c>
      <c r="C163" s="303">
        <v>23</v>
      </c>
      <c r="D163" s="272">
        <f t="shared" ca="1" si="0"/>
        <v>127.88967833646588</v>
      </c>
      <c r="E163" s="272"/>
      <c r="F163" s="273">
        <f t="shared" ca="1" si="1"/>
        <v>81.889678336465877</v>
      </c>
    </row>
    <row r="164" spans="2:6">
      <c r="B164" s="271">
        <f ca="1">IF(AND(Altitude_culmi&gt;80, Altitude_culmi&lt;=350), 43, NA())</f>
        <v>43</v>
      </c>
      <c r="C164" s="303">
        <v>23</v>
      </c>
      <c r="D164" s="272">
        <f t="shared" ca="1" si="0"/>
        <v>127.88967833646588</v>
      </c>
      <c r="E164" s="272"/>
      <c r="F164" s="273">
        <f t="shared" ca="1" si="1"/>
        <v>81.889678336465877</v>
      </c>
    </row>
    <row r="165" spans="2:6">
      <c r="B165" s="271">
        <f ca="1">IF(AND(Altitude_culmi&gt;80, Altitude_culmi&lt;=350), 43, NA())</f>
        <v>43</v>
      </c>
      <c r="C165" s="303">
        <v>8</v>
      </c>
      <c r="D165" s="272">
        <f t="shared" ca="1" si="0"/>
        <v>112.88967833646588</v>
      </c>
      <c r="E165" s="272"/>
      <c r="F165" s="273">
        <f t="shared" ca="1" si="1"/>
        <v>96.889678336465877</v>
      </c>
    </row>
    <row r="166" spans="2:6">
      <c r="B166" s="271">
        <f ca="1">IF(AND(Altitude_culmi&gt;80, Altitude_culmi&lt;=350), 0.5, NA())</f>
        <v>0.5</v>
      </c>
      <c r="C166" s="303">
        <v>8</v>
      </c>
      <c r="D166" s="272">
        <f t="shared" ca="1" si="0"/>
        <v>112.88967833646588</v>
      </c>
      <c r="E166" s="272"/>
      <c r="F166" s="273">
        <f t="shared" ca="1" si="1"/>
        <v>96.889678336465877</v>
      </c>
    </row>
    <row r="167" spans="2:6">
      <c r="B167" s="271">
        <f ca="1">IF(AND(Altitude_culmi&gt;80, Altitude_culmi&lt;=350), 0.5, NA())</f>
        <v>0.5</v>
      </c>
      <c r="C167" s="303">
        <v>23</v>
      </c>
      <c r="D167" s="272">
        <f t="shared" ca="1" si="0"/>
        <v>127.88967833646588</v>
      </c>
      <c r="E167" s="272"/>
      <c r="F167" s="273">
        <f t="shared" ca="1" si="1"/>
        <v>81.889678336465877</v>
      </c>
    </row>
    <row r="168" spans="2:6">
      <c r="B168" s="271">
        <f ca="1">IF(AND(Altitude_culmi&gt;80, Altitude_culmi&lt;=350), 27, NA())</f>
        <v>27</v>
      </c>
      <c r="C168" s="303">
        <v>8</v>
      </c>
      <c r="D168" s="272">
        <f t="shared" ca="1" si="0"/>
        <v>112.88967833646588</v>
      </c>
      <c r="E168" s="272"/>
      <c r="F168" s="273">
        <f t="shared" ca="1" si="1"/>
        <v>96.889678336465877</v>
      </c>
    </row>
    <row r="169" spans="2:6">
      <c r="B169" s="271">
        <f ca="1">IF(AND(Altitude_culmi&gt;80, Altitude_culmi&lt;=350), 27, NA())</f>
        <v>27</v>
      </c>
      <c r="C169" s="303">
        <v>7.6</v>
      </c>
      <c r="D169" s="272">
        <f t="shared" ca="1" si="0"/>
        <v>112.48967833646587</v>
      </c>
      <c r="E169" s="272"/>
      <c r="F169" s="273">
        <f t="shared" ca="1" si="1"/>
        <v>97.289678336465883</v>
      </c>
    </row>
    <row r="170" spans="2:6">
      <c r="B170" s="271">
        <f ca="1">IF(AND(Altitude_culmi&gt;80, Altitude_culmi&lt;=350), 27, NA())</f>
        <v>27</v>
      </c>
      <c r="C170" s="303">
        <v>6.8</v>
      </c>
      <c r="D170" s="272">
        <f t="shared" ca="1" si="0"/>
        <v>111.68967833646587</v>
      </c>
      <c r="E170" s="272"/>
      <c r="F170" s="273">
        <f t="shared" ca="1" si="1"/>
        <v>98.08967833646588</v>
      </c>
    </row>
    <row r="171" spans="2:6">
      <c r="B171" s="271">
        <f ca="1">IF(AND(Altitude_culmi&gt;80, Altitude_culmi&lt;=350), 29, NA())</f>
        <v>29</v>
      </c>
      <c r="C171" s="303">
        <v>6</v>
      </c>
      <c r="D171" s="272">
        <f t="shared" ca="1" si="0"/>
        <v>110.88967833646588</v>
      </c>
      <c r="E171" s="272"/>
      <c r="F171" s="273">
        <f t="shared" ca="1" si="1"/>
        <v>98.889678336465877</v>
      </c>
    </row>
    <row r="172" spans="2:6">
      <c r="B172" s="271">
        <f ca="1">IF(AND(Altitude_culmi&gt;80, Altitude_culmi&lt;=350), 31, NA())</f>
        <v>31</v>
      </c>
      <c r="C172" s="303">
        <v>5</v>
      </c>
      <c r="D172" s="272">
        <f t="shared" ca="1" si="0"/>
        <v>109.88967833646588</v>
      </c>
      <c r="E172" s="272"/>
      <c r="F172" s="273">
        <f t="shared" ca="1" si="1"/>
        <v>99.889678336465877</v>
      </c>
    </row>
    <row r="173" spans="2:6">
      <c r="B173" s="271">
        <f ca="1">IF(AND(Altitude_culmi&gt;80, Altitude_culmi&lt;=350), 32, NA())</f>
        <v>32</v>
      </c>
      <c r="C173" s="303">
        <v>3.8</v>
      </c>
      <c r="D173" s="272">
        <f t="shared" ca="1" si="0"/>
        <v>108.68967833646587</v>
      </c>
      <c r="E173" s="272"/>
      <c r="F173" s="273">
        <f t="shared" ca="1" si="1"/>
        <v>101.08967833646588</v>
      </c>
    </row>
    <row r="174" spans="2:6">
      <c r="B174" s="271">
        <f ca="1">IF(AND(Altitude_culmi&gt;80, Altitude_culmi&lt;=350), 33, NA())</f>
        <v>33</v>
      </c>
      <c r="C174" s="482">
        <v>0</v>
      </c>
      <c r="D174" s="483">
        <f t="shared" ca="1" si="0"/>
        <v>104.88967833646588</v>
      </c>
      <c r="E174" s="483"/>
      <c r="F174" s="270">
        <f t="shared" ca="1" si="1"/>
        <v>104.88967833646588</v>
      </c>
    </row>
    <row r="175" spans="2:6">
      <c r="B175" s="271">
        <f ca="1">IF(AND(Altitude_culmi&gt;80, Altitude_culmi&lt;=350), 34, NA())</f>
        <v>34</v>
      </c>
    </row>
    <row r="176" spans="2:6">
      <c r="B176" s="268">
        <f ca="1">IF(AND(Altitude_culmi&gt;80, Altitude_culmi&lt;=350), 35, NA())</f>
        <v>35</v>
      </c>
      <c r="C176" s="267" t="s">
        <v>310</v>
      </c>
      <c r="D176" s="486" t="s">
        <v>311</v>
      </c>
      <c r="E176" s="486"/>
      <c r="F176" s="487" t="s">
        <v>311</v>
      </c>
    </row>
    <row r="177" spans="2:6">
      <c r="C177" s="303">
        <v>0</v>
      </c>
      <c r="D177" s="272">
        <f t="shared" ref="D177:D197" ca="1" si="2">X_culmi+C177</f>
        <v>104.88967833646588</v>
      </c>
      <c r="E177" s="272"/>
      <c r="F177" s="273">
        <f t="shared" ref="F177:F197" ca="1" si="3">X_culmi-C177</f>
        <v>104.88967833646588</v>
      </c>
    </row>
    <row r="178" spans="2:6">
      <c r="B178" s="245" t="s">
        <v>309</v>
      </c>
      <c r="C178" s="303">
        <v>0</v>
      </c>
      <c r="D178" s="272">
        <f t="shared" ca="1" si="2"/>
        <v>104.88967833646588</v>
      </c>
      <c r="E178" s="272"/>
      <c r="F178" s="273">
        <f t="shared" ca="1" si="3"/>
        <v>104.88967833646588</v>
      </c>
    </row>
    <row r="179" spans="2:6">
      <c r="B179" s="271" t="e">
        <f ca="1">IF(Altitude_culmi&gt;350, 324, NA())</f>
        <v>#N/A</v>
      </c>
      <c r="C179" s="303">
        <v>10</v>
      </c>
      <c r="D179" s="272">
        <f t="shared" ca="1" si="2"/>
        <v>114.88967833646588</v>
      </c>
      <c r="E179" s="272"/>
      <c r="F179" s="273">
        <f t="shared" ca="1" si="3"/>
        <v>94.889678336465877</v>
      </c>
    </row>
    <row r="180" spans="2:6">
      <c r="B180" s="271" t="e">
        <f ca="1">IF(Altitude_culmi&gt;350, 300, NA())</f>
        <v>#N/A</v>
      </c>
      <c r="C180" s="303">
        <v>0</v>
      </c>
      <c r="D180" s="272">
        <f t="shared" ca="1" si="2"/>
        <v>104.88967833646588</v>
      </c>
      <c r="E180" s="272"/>
      <c r="F180" s="273">
        <f t="shared" ca="1" si="3"/>
        <v>104.88967833646588</v>
      </c>
    </row>
    <row r="181" spans="2:6">
      <c r="B181" s="271" t="e">
        <f ca="1">IF(Altitude_culmi&gt;350, 280, NA())</f>
        <v>#N/A</v>
      </c>
      <c r="C181" s="303">
        <v>10</v>
      </c>
      <c r="D181" s="272">
        <f t="shared" ca="1" si="2"/>
        <v>114.88967833646588</v>
      </c>
      <c r="E181" s="272"/>
      <c r="F181" s="273">
        <f t="shared" ca="1" si="3"/>
        <v>94.889678336465877</v>
      </c>
    </row>
    <row r="182" spans="2:6">
      <c r="B182" s="271" t="e">
        <f ca="1">IF(Altitude_culmi&gt;350, 280, NA())</f>
        <v>#N/A</v>
      </c>
      <c r="C182" s="303">
        <v>13</v>
      </c>
      <c r="D182" s="272">
        <f t="shared" ca="1" si="2"/>
        <v>117.88967833646588</v>
      </c>
      <c r="E182" s="272"/>
      <c r="F182" s="273">
        <f t="shared" ca="1" si="3"/>
        <v>91.889678336465877</v>
      </c>
    </row>
    <row r="183" spans="2:6">
      <c r="B183" s="271" t="e">
        <f ca="1">IF(Altitude_culmi&gt;350, 280, NA())</f>
        <v>#N/A</v>
      </c>
      <c r="C183" s="303">
        <v>17</v>
      </c>
      <c r="D183" s="272">
        <f t="shared" ca="1" si="2"/>
        <v>121.88967833646588</v>
      </c>
      <c r="E183" s="272"/>
      <c r="F183" s="273">
        <f t="shared" ca="1" si="3"/>
        <v>87.889678336465877</v>
      </c>
    </row>
    <row r="184" spans="2:6">
      <c r="B184" s="271" t="e">
        <f ca="1">IF(Altitude_culmi&gt;350, 200, NA())</f>
        <v>#N/A</v>
      </c>
      <c r="C184" s="303">
        <v>20</v>
      </c>
      <c r="D184" s="272">
        <f t="shared" ca="1" si="2"/>
        <v>124.88967833646588</v>
      </c>
      <c r="E184" s="272"/>
      <c r="F184" s="273">
        <f t="shared" ca="1" si="3"/>
        <v>84.889678336465877</v>
      </c>
    </row>
    <row r="185" spans="2:6">
      <c r="B185" s="271" t="e">
        <f ca="1">IF(Altitude_culmi&gt;350, 160, NA())</f>
        <v>#N/A</v>
      </c>
      <c r="C185" s="303">
        <v>25</v>
      </c>
      <c r="D185" s="272">
        <f t="shared" ca="1" si="2"/>
        <v>129.88967833646586</v>
      </c>
      <c r="E185" s="272"/>
      <c r="F185" s="273">
        <f t="shared" ca="1" si="3"/>
        <v>79.889678336465877</v>
      </c>
    </row>
    <row r="186" spans="2:6">
      <c r="B186" s="271" t="e">
        <f ca="1">IF(Altitude_culmi&gt;350, 115, NA())</f>
        <v>#N/A</v>
      </c>
      <c r="C186" s="303">
        <v>30</v>
      </c>
      <c r="D186" s="272">
        <f t="shared" ca="1" si="2"/>
        <v>134.88967833646586</v>
      </c>
      <c r="E186" s="272"/>
      <c r="F186" s="273">
        <f t="shared" ca="1" si="3"/>
        <v>74.889678336465877</v>
      </c>
    </row>
    <row r="187" spans="2:6">
      <c r="B187" s="271" t="e">
        <f ca="1">IF(Altitude_culmi&gt;350, 90, NA())</f>
        <v>#N/A</v>
      </c>
      <c r="C187" s="303">
        <v>36</v>
      </c>
      <c r="D187" s="272">
        <f t="shared" ca="1" si="2"/>
        <v>140.88967833646586</v>
      </c>
      <c r="E187" s="272"/>
      <c r="F187" s="273">
        <f t="shared" ca="1" si="3"/>
        <v>68.889678336465877</v>
      </c>
    </row>
    <row r="188" spans="2:6">
      <c r="B188" s="271" t="e">
        <f ca="1">IF(Altitude_culmi&gt;350, 57, NA())</f>
        <v>#N/A</v>
      </c>
      <c r="C188" s="303">
        <v>48</v>
      </c>
      <c r="D188" s="272">
        <f t="shared" ca="1" si="2"/>
        <v>152.88967833646586</v>
      </c>
      <c r="E188" s="272"/>
      <c r="F188" s="273">
        <f t="shared" ca="1" si="3"/>
        <v>56.889678336465877</v>
      </c>
    </row>
    <row r="189" spans="2:6">
      <c r="B189" s="271" t="e">
        <f ca="1">IF(Altitude_culmi&gt;350, 40, NA())</f>
        <v>#N/A</v>
      </c>
      <c r="C189" s="303">
        <v>62</v>
      </c>
      <c r="D189" s="272">
        <f t="shared" ca="1" si="2"/>
        <v>166.88967833646586</v>
      </c>
      <c r="E189" s="272"/>
      <c r="F189" s="273">
        <f t="shared" ca="1" si="3"/>
        <v>42.889678336465877</v>
      </c>
    </row>
    <row r="190" spans="2:6">
      <c r="B190" s="271" t="e">
        <f ca="1">IF(Altitude_culmi&gt;350, 20, NA())</f>
        <v>#N/A</v>
      </c>
      <c r="C190" s="303">
        <v>37</v>
      </c>
      <c r="D190" s="272">
        <f t="shared" ca="1" si="2"/>
        <v>141.88967833646586</v>
      </c>
      <c r="E190" s="272"/>
      <c r="F190" s="273">
        <f t="shared" ca="1" si="3"/>
        <v>67.889678336465877</v>
      </c>
    </row>
    <row r="191" spans="2:6">
      <c r="B191" s="271" t="e">
        <f ca="1">IF(Altitude_culmi&gt;350, 0.5, NA())</f>
        <v>#N/A</v>
      </c>
      <c r="C191" s="303">
        <v>30</v>
      </c>
      <c r="D191" s="272">
        <f t="shared" ca="1" si="2"/>
        <v>134.88967833646586</v>
      </c>
      <c r="E191" s="272"/>
      <c r="F191" s="273">
        <f t="shared" ca="1" si="3"/>
        <v>74.889678336465877</v>
      </c>
    </row>
    <row r="192" spans="2:6">
      <c r="B192" s="271" t="e">
        <f ca="1">IF(Altitude_culmi&gt;350, 0.5, NA())</f>
        <v>#N/A</v>
      </c>
      <c r="C192" s="303">
        <v>15</v>
      </c>
      <c r="D192" s="272">
        <f t="shared" ca="1" si="2"/>
        <v>119.88967833646588</v>
      </c>
      <c r="E192" s="272"/>
      <c r="F192" s="273">
        <f t="shared" ca="1" si="3"/>
        <v>89.889678336465877</v>
      </c>
    </row>
    <row r="193" spans="2:6">
      <c r="B193" s="271" t="e">
        <f ca="1">IF(Altitude_culmi&gt;350, 15, NA())</f>
        <v>#N/A</v>
      </c>
      <c r="C193" s="303">
        <v>0</v>
      </c>
      <c r="D193" s="272">
        <f t="shared" ca="1" si="2"/>
        <v>104.88967833646588</v>
      </c>
      <c r="E193" s="272"/>
      <c r="F193" s="273">
        <f t="shared" ca="1" si="3"/>
        <v>104.88967833646588</v>
      </c>
    </row>
    <row r="194" spans="2:6">
      <c r="B194" s="271" t="e">
        <f ca="1">IF(Altitude_culmi&gt;350, 30, NA())</f>
        <v>#N/A</v>
      </c>
      <c r="C194" s="303">
        <v>0</v>
      </c>
      <c r="D194" s="272">
        <f t="shared" ca="1" si="2"/>
        <v>104.88967833646588</v>
      </c>
      <c r="E194" s="272"/>
      <c r="F194" s="273">
        <f t="shared" ca="1" si="3"/>
        <v>104.88967833646588</v>
      </c>
    </row>
    <row r="195" spans="2:6">
      <c r="B195" s="271" t="e">
        <f ca="1">IF(Altitude_culmi&gt;350, 37, NA())</f>
        <v>#N/A</v>
      </c>
      <c r="C195" s="303">
        <v>17</v>
      </c>
      <c r="D195" s="272">
        <f t="shared" ca="1" si="2"/>
        <v>121.88967833646588</v>
      </c>
      <c r="E195" s="272"/>
      <c r="F195" s="273">
        <f t="shared" ca="1" si="3"/>
        <v>87.889678336465877</v>
      </c>
    </row>
    <row r="196" spans="2:6">
      <c r="B196" s="271" t="e">
        <f ca="1">IF(Altitude_culmi&gt;350, 67, NA())</f>
        <v>#N/A</v>
      </c>
      <c r="C196" s="303">
        <v>11</v>
      </c>
      <c r="D196" s="272">
        <f t="shared" ca="1" si="2"/>
        <v>115.88967833646588</v>
      </c>
      <c r="E196" s="272"/>
      <c r="F196" s="273">
        <f t="shared" ca="1" si="3"/>
        <v>93.889678336465877</v>
      </c>
    </row>
    <row r="197" spans="2:6">
      <c r="B197" s="271" t="e">
        <f ca="1">IF(Altitude_culmi&gt;350, 67, NA())</f>
        <v>#N/A</v>
      </c>
      <c r="C197" s="482">
        <v>0</v>
      </c>
      <c r="D197" s="483">
        <f t="shared" ca="1" si="2"/>
        <v>104.88967833646588</v>
      </c>
      <c r="E197" s="483"/>
      <c r="F197" s="270">
        <f t="shared" ca="1" si="3"/>
        <v>104.88967833646588</v>
      </c>
    </row>
    <row r="198" spans="2:6">
      <c r="B198" s="271" t="e">
        <f ca="1">IF(Altitude_culmi&gt;350, 100, NA())</f>
        <v>#N/A</v>
      </c>
    </row>
    <row r="199" spans="2:6">
      <c r="B199" s="268" t="e">
        <f ca="1">IF(Altitude_culmi&gt;350, 100, NA())</f>
        <v>#N/A</v>
      </c>
    </row>
  </sheetData>
  <sheetProtection password="C6AC" sheet="1"/>
  <protectedRanges>
    <protectedRange sqref="C25" name="Plage1"/>
  </protectedRanges>
  <mergeCells count="41">
    <mergeCell ref="C2:D3"/>
    <mergeCell ref="C7:D7"/>
    <mergeCell ref="C8:D8"/>
    <mergeCell ref="C9:D9"/>
    <mergeCell ref="C6:D6"/>
    <mergeCell ref="C4:D4"/>
    <mergeCell ref="H33:I33"/>
    <mergeCell ref="H32:I32"/>
    <mergeCell ref="F28:G28"/>
    <mergeCell ref="H31:I31"/>
    <mergeCell ref="A38:D38"/>
    <mergeCell ref="H34:I34"/>
    <mergeCell ref="F34:G34"/>
    <mergeCell ref="F33:G33"/>
    <mergeCell ref="F32:G32"/>
    <mergeCell ref="F38:G38"/>
    <mergeCell ref="C22:D22"/>
    <mergeCell ref="C17:D17"/>
    <mergeCell ref="F23:G23"/>
    <mergeCell ref="F27:G27"/>
    <mergeCell ref="F26:G26"/>
    <mergeCell ref="F24:G24"/>
    <mergeCell ref="F25:G25"/>
    <mergeCell ref="C15:D15"/>
    <mergeCell ref="C10:D10"/>
    <mergeCell ref="C19:D19"/>
    <mergeCell ref="C20:D20"/>
    <mergeCell ref="C11:D11"/>
    <mergeCell ref="C13:D13"/>
    <mergeCell ref="C14:D14"/>
    <mergeCell ref="C18:D18"/>
    <mergeCell ref="F49:G49"/>
    <mergeCell ref="F40:G40"/>
    <mergeCell ref="F41:G41"/>
    <mergeCell ref="F42:G42"/>
    <mergeCell ref="F43:G43"/>
    <mergeCell ref="F48:G48"/>
    <mergeCell ref="F44:G44"/>
    <mergeCell ref="F45:G45"/>
    <mergeCell ref="F47:G47"/>
    <mergeCell ref="F46:G46"/>
  </mergeCells>
  <phoneticPr fontId="8" type="noConversion"/>
  <conditionalFormatting sqref="C30">
    <cfRule type="cellIs" dxfId="26" priority="42" stopIfTrue="1" operator="notBetween">
      <formula>5</formula>
      <formula>15</formula>
    </cfRule>
  </conditionalFormatting>
  <conditionalFormatting sqref="K23 K41">
    <cfRule type="expression" dxfId="25" priority="44" stopIfTrue="1">
      <formula>AND(Vsortie_de_rampe&lt;18, OR(LEFT(Type_fusee,1)=",",LEFT(Type_fusee,4)="Mini",LEFT(Type_fusee,1)="R"))</formula>
    </cfRule>
    <cfRule type="expression" dxfId="24" priority="45" stopIfTrue="1">
      <formula>AND(Vsortie_de_rampe&lt;20, RIGHT(Type_fusee,1)=".")</formula>
    </cfRule>
  </conditionalFormatting>
  <conditionalFormatting sqref="D30">
    <cfRule type="expression" dxfId="23" priority="40" stopIfTrue="1">
      <formula>Nb_sat="0 satellite"</formula>
    </cfRule>
    <cfRule type="cellIs" dxfId="22" priority="49" stopIfTrue="1" operator="notBetween">
      <formula>5</formula>
      <formula>15</formula>
    </cfRule>
  </conditionalFormatting>
  <conditionalFormatting sqref="H25:M25">
    <cfRule type="expression" dxfId="21" priority="41" stopIfTrue="1">
      <formula>Nb_sat="0 satellite"</formula>
    </cfRule>
  </conditionalFormatting>
  <conditionalFormatting sqref="D24">
    <cfRule type="expression" dxfId="20" priority="39" stopIfTrue="1">
      <formula>Nb_sat="0 satellite"</formula>
    </cfRule>
  </conditionalFormatting>
  <conditionalFormatting sqref="D26:D29 D31:D33">
    <cfRule type="expression" dxfId="19" priority="59" stopIfTrue="1">
      <formula>Nb_sat="0 satellite"</formula>
    </cfRule>
  </conditionalFormatting>
  <conditionalFormatting sqref="K40">
    <cfRule type="expression" dxfId="18" priority="34" stopIfTrue="1">
      <formula>AND( $K$21=0, OR( $I$21&gt;0, $J$21&gt;0 ) )</formula>
    </cfRule>
  </conditionalFormatting>
  <conditionalFormatting sqref="F25">
    <cfRule type="expression" dxfId="17" priority="26" stopIfTrue="1">
      <formula>Nb_sat="0 satellite"</formula>
    </cfRule>
  </conditionalFormatting>
  <conditionalFormatting sqref="F34:I34 F48:M48">
    <cfRule type="expression" dxfId="16" priority="22" stopIfTrue="1">
      <formula>Nb_sat="0 satellite"</formula>
    </cfRule>
  </conditionalFormatting>
  <conditionalFormatting sqref="F49:M49">
    <cfRule type="expression" dxfId="15" priority="21" stopIfTrue="1">
      <formula>Nb_sat="0 satellite"</formula>
    </cfRule>
  </conditionalFormatting>
  <conditionalFormatting sqref="N34">
    <cfRule type="expression" dxfId="14" priority="16" stopIfTrue="1">
      <formula>$N$34="propu NOK"</formula>
    </cfRule>
  </conditionalFormatting>
  <conditionalFormatting sqref="N33">
    <cfRule type="expression" dxfId="13" priority="15" stopIfTrue="1">
      <formula>ROUND(SUM(C23:L34),0)=1914</formula>
    </cfRule>
  </conditionalFormatting>
  <conditionalFormatting sqref="H32:I32">
    <cfRule type="cellIs" dxfId="12" priority="14" stopIfTrue="1" operator="equal">
      <formula>"Brun/Orange…"</formula>
    </cfRule>
  </conditionalFormatting>
  <conditionalFormatting sqref="H33:I33">
    <cfRule type="cellIs" dxfId="11" priority="13" stopIfTrue="1" operator="equal">
      <formula>"Rouge…"</formula>
    </cfRule>
  </conditionalFormatting>
  <conditionalFormatting sqref="J28 J45">
    <cfRule type="expression" dxfId="10" priority="6" stopIfTrue="1">
      <formula>AND(Portee_balistique&gt;200,LEFT(Type_propu,4)="Mini")</formula>
    </cfRule>
  </conditionalFormatting>
  <conditionalFormatting sqref="H27 H46">
    <cfRule type="expression" dxfId="9" priority="4" stopIfTrue="1">
      <formula>ABS(Temps_culmi-T_para)&gt;2</formula>
    </cfRule>
  </conditionalFormatting>
  <conditionalFormatting sqref="B26">
    <cfRule type="expression" dxfId="8" priority="89" stopIfTrue="1">
      <formula>NOT(OR(C25=F108,C25=F102,Nb_sat="1 satellite"))</formula>
    </cfRule>
  </conditionalFormatting>
  <conditionalFormatting sqref="C26">
    <cfRule type="expression" dxfId="7" priority="91" stopIfTrue="1">
      <formula>NOT(OR(C25=F108,C25=F102))</formula>
    </cfRule>
  </conditionalFormatting>
  <conditionalFormatting sqref="D25">
    <cfRule type="expression" dxfId="6" priority="2" stopIfTrue="1">
      <formula>Nb_sat="0 satellite"</formula>
    </cfRule>
  </conditionalFormatting>
  <dataValidations count="14">
    <dataValidation type="decimal" operator="greaterThanOrEqual" showErrorMessage="1" sqref="H40:K40 C29 C26 D26:D27">
      <formula1>0</formula1>
    </dataValidation>
    <dataValidation type="list" allowBlank="1" showInputMessage="1" showErrorMessage="1" sqref="H50">
      <formula1>gao</formula1>
    </dataValidation>
    <dataValidation operator="greaterThanOrEqual" showErrorMessage="1" sqref="D29 C27"/>
    <dataValidation type="decimal" errorStyle="warning" allowBlank="1" showErrorMessage="1" errorTitle="Cx para" error="Le Cx du parachute est souvent compris entre 0 et 2._x000a_Cx of parachute might be between 0 a 2." sqref="C28:D28">
      <formula1>0</formula1>
      <formula2>2</formula2>
    </dataValidation>
    <dataValidation sqref="C11:D11"/>
    <dataValidation operator="greaterThanOrEqual" sqref="C10:D10"/>
    <dataValidation type="decimal" errorStyle="warning" showErrorMessage="1" errorTitle="Cx" error="Le Cx est souvent compris entre 0,3 et 0,7._x000a_Cx may be between 0,3 &amp; 0,7." sqref="C15:D15">
      <formula1>0.3</formula1>
      <formula2>0.7</formula2>
    </dataValidation>
    <dataValidation type="decimal" operator="greaterThanOrEqual" allowBlank="1" showErrorMessage="1" sqref="C18:D18">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19:D19">
      <formula1>75</formula1>
      <formula2>85</formula2>
    </dataValidation>
    <dataValidation type="whole" operator="greaterThanOrEqual" allowBlank="1" showErrorMessage="1" sqref="C20:D20">
      <formula1>0</formula1>
    </dataValidation>
    <dataValidation type="whole" allowBlank="1" showErrorMessage="1" sqref="M40">
      <formula1>-360</formula1>
      <formula2>360</formula2>
    </dataValidation>
    <dataValidation type="list" showInputMessage="1" showErrorMessage="1" sqref="D23">
      <formula1>Menu_sat</formula1>
    </dataValidation>
    <dataValidation type="whole" operator="greaterThanOrEqual" showErrorMessage="1" sqref="B43 B45 B51 B53">
      <formula1>0</formula1>
    </dataValidation>
    <dataValidation type="list" showInputMessage="1" showErrorMessage="1" sqref="C25">
      <formula1>IF(Depotage&lt;&gt;0,IF(LEFT(Type_propu,5)="Micro",$F$108,$F$103:$F$108),$F$102)</formula1>
    </dataValidation>
  </dataValidations>
  <hyperlinks>
    <hyperlink ref="B11" location="Stabilito!C17" display="Stabilito!C17"/>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6:B132 B138:B149 C149 C151 C136:C138 C140:C147 C124:C130" formula="1"/>
    <ignoredError sqref="H44:I44 H47 J44:M44" evalError="1"/>
    <ignoredError sqref="G103:G107" numberStoredAsText="1"/>
    <ignoredError sqref="D24" unlockedFormula="1"/>
  </ignoredErrors>
  <drawing r:id="rId2"/>
  <legacyDrawing r:id="rId3"/>
  <oleObjects>
    <oleObject progId="Equation.3" shapeId="1425294" r:id="rId4"/>
  </oleObjects>
</worksheet>
</file>

<file path=xl/worksheets/sheet3.xml><?xml version="1.0" encoding="utf-8"?>
<worksheet xmlns="http://schemas.openxmlformats.org/spreadsheetml/2006/main" xmlns:r="http://schemas.openxmlformats.org/officeDocument/2006/relationships">
  <sheetPr codeName="Feuil3">
    <pageSetUpPr fitToPage="1"/>
  </sheetPr>
  <dimension ref="B75:B146"/>
  <sheetViews>
    <sheetView showGridLines="0" zoomScaleNormal="100" workbookViewId="0"/>
  </sheetViews>
  <sheetFormatPr baseColWidth="10" defaultRowHeight="12.5"/>
  <sheetData>
    <row r="75" spans="2:2">
      <c r="B75" t="s">
        <v>44</v>
      </c>
    </row>
    <row r="76" spans="2: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c r="B79" t="str">
        <f>IF(Lang="Français","Exemples : Si Poussée = Poids, Vitesse constante, Acc nulle, Charge = 1G ; En chute libre, Acc = -1G, Charge = 0",IF(Lang="English","",""))</f>
        <v>Exemples : Si Poussée = Poids, Vitesse constante, Acc nulle, Charge = 1G ; En chute libre, Acc = -1G, Charge = 0</v>
      </c>
    </row>
    <row r="131" spans="2:2" ht="13">
      <c r="B131" s="35" t="str">
        <f>IF(Lang="Français","Textes pour les graphiques :","Texts for graphics :")</f>
        <v>Textes pour les graphiques :</v>
      </c>
    </row>
    <row r="133" spans="2:2">
      <c r="B133" t="str">
        <f>IF(Lang="Français","Traînée",IF(Lang="English","Drag",""))</f>
        <v>Traînée</v>
      </c>
    </row>
    <row r="134" spans="2:2">
      <c r="B134" t="str">
        <f>IF(Lang="Français","Poussée",IF(Lang="English","Thrust",""))</f>
        <v>Poussée</v>
      </c>
    </row>
    <row r="135" spans="2:2">
      <c r="B135" t="str">
        <f>IF(Lang="Français","Poids",IF(Lang="English","Weight",""))</f>
        <v>Poids</v>
      </c>
    </row>
    <row r="137" spans="2:2">
      <c r="B137" t="str">
        <f>IF(Lang="Français","Accélération longitudinale",IF(Lang="English","Longitudinal Acceleration",""))</f>
        <v>Accélération longitudinale</v>
      </c>
    </row>
    <row r="138" spans="2:2">
      <c r="B138" t="str">
        <f>IF(Lang="Français","Charge vue par un capteur",IF(Lang="English","Load seen by a sensor",""))</f>
        <v>Charge vue par un capteur</v>
      </c>
    </row>
    <row r="140" spans="2:2">
      <c r="B140" t="str">
        <f>IF(Lang="Français","Vitesse",IF(Lang="English","Velocity",""))</f>
        <v>Vitesse</v>
      </c>
    </row>
    <row r="141" spans="2:2">
      <c r="B141" t="str">
        <f>IF(Lang="Français","Vitesse [m/s]",IF(Lang="English","Velocity [m/s]",""))</f>
        <v>Vitesse [m/s]</v>
      </c>
    </row>
    <row r="143" spans="2:2">
      <c r="B143" t="s">
        <v>6</v>
      </c>
    </row>
    <row r="144" spans="2:2">
      <c r="B144" t="str">
        <f>IF(Lang="Français","Portée",IF(Lang="English","Range",""))</f>
        <v>Portée</v>
      </c>
    </row>
    <row r="146" spans="2: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sheetPr codeName="Feuil5">
    <pageSetUpPr fitToPage="1"/>
  </sheetPr>
  <dimension ref="A1:Z346"/>
  <sheetViews>
    <sheetView showGridLines="0" zoomScale="80" zoomScaleNormal="80" workbookViewId="0">
      <selection activeCell="K6" sqref="K6"/>
    </sheetView>
  </sheetViews>
  <sheetFormatPr baseColWidth="10" defaultRowHeight="12.5"/>
  <cols>
    <col min="1" max="1" width="22.6328125" bestFit="1" customWidth="1"/>
  </cols>
  <sheetData>
    <row r="1" spans="1:26" ht="13" thickBot="1">
      <c r="A1" s="417" t="str">
        <f>IF(Lang="Français","Moteur sélectionné","Selected motor")</f>
        <v>Moteur sélectionné</v>
      </c>
      <c r="B1" s="417" t="s">
        <v>32</v>
      </c>
    </row>
    <row r="2" spans="1:26" ht="13" thickBot="1">
      <c r="A2" s="407" t="str">
        <f>Propu</f>
        <v>p29-1G 56F31</v>
      </c>
      <c r="B2" s="407">
        <f>VLOOKUP(A2,A26:B314,2,FALSE)</f>
        <v>148</v>
      </c>
      <c r="C2" s="418" t="s">
        <v>116</v>
      </c>
      <c r="D2" s="408">
        <f ca="1">INDIRECT(ADDRESS(B2,4))</f>
        <v>55.589492</v>
      </c>
      <c r="E2" s="418" t="s">
        <v>115</v>
      </c>
      <c r="F2" s="409">
        <f ca="1">INDIRECT(ADDRESS(B2,6))</f>
        <v>177.08171508664634</v>
      </c>
      <c r="G2" s="418" t="s">
        <v>57</v>
      </c>
      <c r="H2" s="410">
        <f ca="1">INDIRECT(ADDRESS(B2,8))</f>
        <v>0.10199999999999999</v>
      </c>
      <c r="I2" s="418" t="s">
        <v>276</v>
      </c>
      <c r="J2" s="411">
        <f ca="1">INDIRECT(ADDRESS(B2,10))</f>
        <v>3.1999999999999987E-2</v>
      </c>
      <c r="K2" s="418" t="s">
        <v>59</v>
      </c>
      <c r="L2" s="410">
        <f ca="1">INDIRECT(ADDRESS(B2,12))</f>
        <v>7.0000000000000007E-2</v>
      </c>
      <c r="M2" s="418" t="s">
        <v>58</v>
      </c>
      <c r="N2" s="412">
        <f ca="1">INDIRECT(ADDRESS(B2,14))</f>
        <v>49</v>
      </c>
      <c r="O2" s="418" t="s">
        <v>60</v>
      </c>
      <c r="P2" s="412">
        <f ca="1">INDIRECT(ADDRESS(B2,16))</f>
        <v>49</v>
      </c>
      <c r="Q2" s="418" t="s">
        <v>61</v>
      </c>
      <c r="R2" s="412">
        <f ca="1">INDIRECT(ADDRESS(B2,18))</f>
        <v>98</v>
      </c>
      <c r="S2" s="418" t="s">
        <v>62</v>
      </c>
      <c r="T2" s="412">
        <f ca="1">INDIRECT(ADDRESS(B2,20))</f>
        <v>29</v>
      </c>
      <c r="U2" s="418" t="s">
        <v>55</v>
      </c>
      <c r="V2" s="413" t="str">
        <f ca="1">INDIRECT(ADDRESS(B2,22))</f>
        <v>MiniRN</v>
      </c>
      <c r="W2" s="547" t="s">
        <v>398</v>
      </c>
      <c r="X2" s="548">
        <f ca="1">INDIRECT(ADDRESS(B2,24))</f>
        <v>0.45</v>
      </c>
      <c r="Y2" s="547" t="s">
        <v>397</v>
      </c>
      <c r="Z2" s="413">
        <f ca="1">INDIRECT(ADDRESS(B2,26))</f>
        <v>12</v>
      </c>
    </row>
    <row r="3" spans="1:26">
      <c r="A3" s="417" t="str">
        <f>IF(Lang="Français","Temps (en s)","Time (s)")</f>
        <v>Temps (en s)</v>
      </c>
      <c r="B3" s="419">
        <f t="shared" ref="B3:Y3" ca="1" si="0">INDIRECT(ADDRESS($B2+1,COLUMN(B3)))</f>
        <v>0</v>
      </c>
      <c r="C3" s="420">
        <f t="shared" ca="1" si="0"/>
        <v>1E-3</v>
      </c>
      <c r="D3" s="420">
        <f t="shared" ca="1" si="0"/>
        <v>2.3E-2</v>
      </c>
      <c r="E3" s="420">
        <f t="shared" ca="1" si="0"/>
        <v>0.05</v>
      </c>
      <c r="F3" s="420">
        <f t="shared" ca="1" si="0"/>
        <v>5.8999999999999997E-2</v>
      </c>
      <c r="G3" s="420">
        <f t="shared" ca="1" si="0"/>
        <v>9.5000000000000001E-2</v>
      </c>
      <c r="H3" s="420">
        <f t="shared" ca="1" si="0"/>
        <v>0.21199999999999999</v>
      </c>
      <c r="I3" s="420">
        <f t="shared" ca="1" si="0"/>
        <v>0.34399999999999997</v>
      </c>
      <c r="J3" s="420">
        <f t="shared" ca="1" si="0"/>
        <v>1.5669999999999999</v>
      </c>
      <c r="K3" s="420">
        <f t="shared" ca="1" si="0"/>
        <v>1.631</v>
      </c>
      <c r="L3" s="420">
        <f t="shared" ca="1" si="0"/>
        <v>1.663</v>
      </c>
      <c r="M3" s="420">
        <f t="shared" ca="1" si="0"/>
        <v>1.7849999999999999</v>
      </c>
      <c r="N3" s="420">
        <f t="shared" ca="1" si="0"/>
        <v>1.8280000000000001</v>
      </c>
      <c r="O3" s="420">
        <f t="shared" ca="1" si="0"/>
        <v>2</v>
      </c>
      <c r="P3" s="420">
        <f t="shared" ca="1" si="0"/>
        <v>2</v>
      </c>
      <c r="Q3" s="420">
        <f t="shared" ca="1" si="0"/>
        <v>2</v>
      </c>
      <c r="R3" s="420">
        <f t="shared" ca="1" si="0"/>
        <v>2</v>
      </c>
      <c r="S3" s="420">
        <f t="shared" ca="1" si="0"/>
        <v>2</v>
      </c>
      <c r="T3" s="420">
        <f t="shared" ca="1" si="0"/>
        <v>2</v>
      </c>
      <c r="U3" s="420">
        <f t="shared" ca="1" si="0"/>
        <v>2</v>
      </c>
      <c r="V3" s="420">
        <f t="shared" ca="1" si="0"/>
        <v>2</v>
      </c>
      <c r="W3" s="420">
        <f t="shared" ca="1" si="0"/>
        <v>2</v>
      </c>
      <c r="X3" s="420">
        <f ca="1">INDIRECT(ADDRESS($B2+1,COLUMN(X3)))</f>
        <v>2</v>
      </c>
      <c r="Y3" s="421">
        <f t="shared" ca="1" si="0"/>
        <v>1000</v>
      </c>
    </row>
    <row r="4" spans="1:26" ht="13" thickBot="1">
      <c r="A4" s="435" t="str">
        <f>IF(Lang="Français","Poussée (en N)","Thrust (N)")</f>
        <v>Poussée (en N)</v>
      </c>
      <c r="B4" s="422">
        <f t="shared" ref="B4:Y4" ca="1" si="1">INDIRECT(ADDRESS($B2+2,COLUMN(B3)))</f>
        <v>0</v>
      </c>
      <c r="C4" s="423">
        <f t="shared" ca="1" si="1"/>
        <v>3.4830000000000001</v>
      </c>
      <c r="D4" s="423">
        <f t="shared" ca="1" si="1"/>
        <v>64.052999999999997</v>
      </c>
      <c r="E4" s="423">
        <f t="shared" ca="1" si="1"/>
        <v>31.347000000000001</v>
      </c>
      <c r="F4" s="423">
        <f t="shared" ca="1" si="1"/>
        <v>28.459</v>
      </c>
      <c r="G4" s="423">
        <f t="shared" ca="1" si="1"/>
        <v>32.027000000000001</v>
      </c>
      <c r="H4" s="423">
        <f t="shared" ca="1" si="1"/>
        <v>36.189</v>
      </c>
      <c r="I4" s="423">
        <f t="shared" ca="1" si="1"/>
        <v>37.548999999999999</v>
      </c>
      <c r="J4" s="423">
        <f t="shared" ca="1" si="1"/>
        <v>26.164999999999999</v>
      </c>
      <c r="K4" s="423">
        <f t="shared" ca="1" si="1"/>
        <v>26.93</v>
      </c>
      <c r="L4" s="423">
        <f t="shared" ca="1" si="1"/>
        <v>25.315999999999999</v>
      </c>
      <c r="M4" s="423">
        <f t="shared" ca="1" si="1"/>
        <v>3.653</v>
      </c>
      <c r="N4" s="423">
        <f t="shared" ca="1" si="1"/>
        <v>0</v>
      </c>
      <c r="O4" s="423">
        <f t="shared" ca="1" si="1"/>
        <v>0</v>
      </c>
      <c r="P4" s="423">
        <f t="shared" ca="1" si="1"/>
        <v>0</v>
      </c>
      <c r="Q4" s="423">
        <f t="shared" ca="1" si="1"/>
        <v>0</v>
      </c>
      <c r="R4" s="423">
        <f t="shared" ca="1" si="1"/>
        <v>0</v>
      </c>
      <c r="S4" s="423">
        <f t="shared" ca="1" si="1"/>
        <v>0</v>
      </c>
      <c r="T4" s="423">
        <f t="shared" ca="1" si="1"/>
        <v>0</v>
      </c>
      <c r="U4" s="423">
        <f t="shared" ca="1" si="1"/>
        <v>0</v>
      </c>
      <c r="V4" s="423">
        <f t="shared" ca="1" si="1"/>
        <v>0</v>
      </c>
      <c r="W4" s="423">
        <f t="shared" ca="1" si="1"/>
        <v>0</v>
      </c>
      <c r="X4" s="423">
        <f ca="1">INDIRECT(ADDRESS($B2+2,COLUMN(X3)))</f>
        <v>0</v>
      </c>
      <c r="Y4" s="424">
        <f t="shared" ca="1" si="1"/>
        <v>0</v>
      </c>
    </row>
    <row r="5" spans="1:26">
      <c r="B5" s="17"/>
      <c r="C5" s="17"/>
      <c r="D5" s="17"/>
      <c r="E5" s="17"/>
      <c r="F5" s="17"/>
      <c r="G5" s="17"/>
      <c r="H5" s="17"/>
      <c r="I5" s="17"/>
      <c r="J5" s="17"/>
      <c r="K5" s="17"/>
      <c r="L5" s="17"/>
      <c r="M5" s="17"/>
      <c r="N5" s="17"/>
      <c r="O5" s="17"/>
      <c r="P5" s="17"/>
      <c r="Q5" s="17"/>
      <c r="R5" s="17"/>
      <c r="S5" s="17"/>
      <c r="T5" s="17"/>
      <c r="U5" s="17"/>
      <c r="V5" s="17"/>
      <c r="W5" s="17"/>
      <c r="X5" s="17"/>
      <c r="Y5" s="17"/>
    </row>
    <row r="6" spans="1:26">
      <c r="B6" s="17"/>
      <c r="C6" s="17"/>
      <c r="D6" s="17"/>
      <c r="E6" s="17"/>
      <c r="F6" s="17"/>
      <c r="G6" s="17"/>
      <c r="H6" s="17"/>
      <c r="I6" s="17"/>
      <c r="J6" s="17"/>
      <c r="K6" s="17"/>
      <c r="L6" s="17"/>
      <c r="M6" s="17"/>
      <c r="N6" s="17"/>
      <c r="O6" s="17"/>
      <c r="P6" s="17"/>
      <c r="Q6" s="17"/>
      <c r="R6" s="17"/>
      <c r="S6" s="17"/>
      <c r="T6" s="17"/>
      <c r="U6" s="17"/>
      <c r="V6" s="17"/>
      <c r="W6" s="17"/>
      <c r="X6" s="17"/>
      <c r="Y6" s="17"/>
    </row>
    <row r="7" spans="1:26">
      <c r="B7" s="17"/>
      <c r="C7" s="17"/>
      <c r="D7" s="17"/>
      <c r="E7" s="17"/>
      <c r="F7" s="17"/>
      <c r="G7" s="17"/>
      <c r="H7" s="17"/>
      <c r="I7" s="17"/>
      <c r="J7" s="17"/>
      <c r="K7" s="17"/>
      <c r="L7" s="17"/>
      <c r="M7" s="17"/>
    </row>
    <row r="8" spans="1:26">
      <c r="B8" s="17"/>
      <c r="C8" s="17"/>
      <c r="D8" s="17"/>
      <c r="E8" s="17"/>
      <c r="F8" s="17"/>
      <c r="G8" s="17"/>
      <c r="H8" s="17"/>
      <c r="I8" s="17"/>
      <c r="J8" s="17"/>
      <c r="K8" s="17"/>
      <c r="L8" s="17"/>
      <c r="M8" s="17"/>
    </row>
    <row r="9" spans="1:26">
      <c r="B9" s="17"/>
      <c r="C9" s="17"/>
      <c r="D9" s="17"/>
      <c r="E9" s="17"/>
      <c r="F9" s="17"/>
      <c r="G9" s="17"/>
      <c r="H9" s="17"/>
      <c r="I9" s="17"/>
      <c r="J9" s="17"/>
      <c r="K9" s="17"/>
      <c r="L9" s="17"/>
      <c r="M9" s="17"/>
    </row>
    <row r="10" spans="1:26">
      <c r="B10" s="17"/>
      <c r="C10" s="17"/>
      <c r="D10" s="17"/>
      <c r="E10" s="17"/>
      <c r="F10" s="17"/>
      <c r="G10" s="17"/>
      <c r="H10" s="17"/>
      <c r="I10" s="17"/>
      <c r="J10" s="17"/>
    </row>
    <row r="11" spans="1:26">
      <c r="B11" s="17"/>
      <c r="C11" s="17"/>
      <c r="D11" s="17"/>
      <c r="E11" s="17"/>
      <c r="F11" s="17"/>
      <c r="G11" s="17"/>
      <c r="H11" s="17"/>
      <c r="I11" s="17"/>
      <c r="J11" s="17"/>
    </row>
    <row r="12" spans="1:26">
      <c r="B12" s="17"/>
      <c r="C12" s="17"/>
      <c r="D12" s="17"/>
      <c r="E12" s="17"/>
      <c r="F12" s="17"/>
      <c r="G12" s="17"/>
      <c r="H12" s="17"/>
      <c r="I12" s="17"/>
      <c r="J12" s="17"/>
    </row>
    <row r="13" spans="1:26">
      <c r="B13" s="17"/>
      <c r="C13" s="17"/>
      <c r="D13" s="17"/>
      <c r="E13" s="17"/>
      <c r="F13" s="17"/>
      <c r="G13" s="17"/>
      <c r="H13" s="17"/>
      <c r="I13" s="17"/>
      <c r="J13" s="17"/>
    </row>
    <row r="14" spans="1:26">
      <c r="B14" s="17"/>
      <c r="C14" s="17"/>
      <c r="D14" s="17"/>
      <c r="E14" s="17"/>
      <c r="F14" s="17"/>
      <c r="G14" s="17"/>
      <c r="H14" s="17"/>
      <c r="I14" s="17"/>
      <c r="J14" s="17"/>
    </row>
    <row r="15" spans="1:26">
      <c r="B15" s="17"/>
      <c r="C15" s="17"/>
      <c r="D15" s="17"/>
      <c r="E15" s="17"/>
      <c r="F15" s="17"/>
      <c r="G15" s="17"/>
      <c r="H15" s="17"/>
      <c r="I15" s="17"/>
      <c r="J15" s="17"/>
      <c r="K15" s="17"/>
      <c r="L15" s="17"/>
      <c r="M15" s="17"/>
    </row>
    <row r="16" spans="1:26">
      <c r="B16" s="17"/>
      <c r="C16" s="17"/>
      <c r="D16" s="17"/>
      <c r="E16" s="17"/>
      <c r="F16" s="17"/>
      <c r="G16" s="17"/>
      <c r="H16" s="17"/>
      <c r="I16" s="17"/>
      <c r="J16" s="17"/>
      <c r="K16" s="17"/>
      <c r="L16" s="17"/>
      <c r="M16" s="17"/>
    </row>
    <row r="17" spans="1:25">
      <c r="B17" s="17"/>
      <c r="C17" s="17"/>
      <c r="D17" s="17"/>
      <c r="E17" s="17"/>
      <c r="F17" s="17"/>
      <c r="G17" s="17"/>
      <c r="H17" s="17"/>
      <c r="I17" s="17"/>
      <c r="J17" s="17"/>
      <c r="K17" s="17"/>
      <c r="L17" s="17"/>
      <c r="M17" s="17"/>
    </row>
    <row r="18" spans="1:25">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ht="13.5" thickBot="1">
      <c r="A25" s="492" t="s">
        <v>279</v>
      </c>
    </row>
    <row r="26" spans="1:25" ht="13.5" thickBot="1">
      <c r="A26" s="416" t="s">
        <v>312</v>
      </c>
      <c r="B26" s="414">
        <f>ROW(A26)</f>
        <v>26</v>
      </c>
      <c r="C26" s="418" t="s">
        <v>116</v>
      </c>
      <c r="D26" s="408">
        <f>SUM(B29:Y29)</f>
        <v>9.8449999999999989</v>
      </c>
      <c r="E26" s="418" t="s">
        <v>115</v>
      </c>
      <c r="F26" s="460">
        <f>D26/g/J26</f>
        <v>3.3452259599048584</v>
      </c>
      <c r="G26" s="418" t="s">
        <v>57</v>
      </c>
      <c r="H26" s="86">
        <v>0.3</v>
      </c>
      <c r="I26" s="418" t="s">
        <v>274</v>
      </c>
      <c r="J26" s="410">
        <f>H26-L26</f>
        <v>0.3</v>
      </c>
      <c r="K26" s="418" t="s">
        <v>275</v>
      </c>
      <c r="L26" s="86">
        <v>0</v>
      </c>
      <c r="M26" s="418" t="s">
        <v>58</v>
      </c>
      <c r="N26" s="87">
        <f>0.2*R26</f>
        <v>60</v>
      </c>
      <c r="O26" s="418" t="s">
        <v>60</v>
      </c>
      <c r="P26" s="87">
        <v>150</v>
      </c>
      <c r="Q26" s="418" t="s">
        <v>61</v>
      </c>
      <c r="R26" s="87">
        <v>300</v>
      </c>
      <c r="S26" s="418" t="s">
        <v>62</v>
      </c>
      <c r="T26" s="87">
        <v>90</v>
      </c>
      <c r="U26" s="418" t="s">
        <v>55</v>
      </c>
      <c r="V26" s="88" t="s">
        <v>279</v>
      </c>
      <c r="W26" s="17"/>
      <c r="X26" s="17"/>
      <c r="Y26" s="17"/>
    </row>
    <row r="27" spans="1:25">
      <c r="A27" s="417" t="s">
        <v>33</v>
      </c>
      <c r="B27" s="425">
        <v>0</v>
      </c>
      <c r="C27" s="426">
        <v>1E-3</v>
      </c>
      <c r="D27" s="426">
        <v>0.02</v>
      </c>
      <c r="E27" s="426">
        <v>3.7999999999999999E-2</v>
      </c>
      <c r="F27" s="426">
        <v>0.04</v>
      </c>
      <c r="G27" s="426">
        <v>0.04</v>
      </c>
      <c r="H27" s="426">
        <v>0.04</v>
      </c>
      <c r="I27" s="426">
        <v>0.04</v>
      </c>
      <c r="J27" s="426">
        <v>0.04</v>
      </c>
      <c r="K27" s="426">
        <v>0.04</v>
      </c>
      <c r="L27" s="426">
        <v>0.04</v>
      </c>
      <c r="M27" s="426">
        <v>0.04</v>
      </c>
      <c r="N27" s="426">
        <v>0.04</v>
      </c>
      <c r="O27" s="426">
        <v>0.04</v>
      </c>
      <c r="P27" s="426">
        <v>0.04</v>
      </c>
      <c r="Q27" s="426">
        <v>0.04</v>
      </c>
      <c r="R27" s="426">
        <v>0.04</v>
      </c>
      <c r="S27" s="426">
        <v>0.04</v>
      </c>
      <c r="T27" s="426">
        <v>0.04</v>
      </c>
      <c r="U27" s="426">
        <v>0.04</v>
      </c>
      <c r="V27" s="426">
        <v>0.04</v>
      </c>
      <c r="W27" s="426">
        <v>0.04</v>
      </c>
      <c r="X27" s="426">
        <v>0.04</v>
      </c>
      <c r="Y27" s="437">
        <v>1000</v>
      </c>
    </row>
    <row r="28" spans="1:25">
      <c r="A28" s="434" t="s">
        <v>34</v>
      </c>
      <c r="B28" s="427">
        <v>0</v>
      </c>
      <c r="C28" s="428">
        <v>310</v>
      </c>
      <c r="D28" s="428">
        <v>250</v>
      </c>
      <c r="E28" s="428">
        <v>212</v>
      </c>
      <c r="F28" s="428">
        <v>0</v>
      </c>
      <c r="G28" s="428">
        <v>0</v>
      </c>
      <c r="H28" s="428">
        <v>0</v>
      </c>
      <c r="I28" s="428">
        <v>0</v>
      </c>
      <c r="J28" s="428">
        <v>0</v>
      </c>
      <c r="K28" s="428">
        <v>0</v>
      </c>
      <c r="L28" s="428">
        <v>0</v>
      </c>
      <c r="M28" s="428">
        <v>0</v>
      </c>
      <c r="N28" s="428">
        <v>0</v>
      </c>
      <c r="O28" s="428">
        <v>0</v>
      </c>
      <c r="P28" s="428">
        <v>0</v>
      </c>
      <c r="Q28" s="428">
        <v>0</v>
      </c>
      <c r="R28" s="428">
        <v>0</v>
      </c>
      <c r="S28" s="428">
        <v>0</v>
      </c>
      <c r="T28" s="428">
        <v>0</v>
      </c>
      <c r="U28" s="428">
        <v>0</v>
      </c>
      <c r="V28" s="428">
        <v>0</v>
      </c>
      <c r="W28" s="428">
        <v>0</v>
      </c>
      <c r="X28" s="428">
        <v>0</v>
      </c>
      <c r="Y28" s="438">
        <v>0</v>
      </c>
    </row>
    <row r="29" spans="1:25" ht="13" thickBot="1">
      <c r="A29" s="435" t="s">
        <v>117</v>
      </c>
      <c r="B29" s="429">
        <f t="shared" ref="B29:X29" si="2">(C28+B28)*(C27-B27)/2</f>
        <v>0.155</v>
      </c>
      <c r="C29" s="430">
        <f t="shared" si="2"/>
        <v>5.32</v>
      </c>
      <c r="D29" s="430">
        <f t="shared" si="2"/>
        <v>4.1579999999999995</v>
      </c>
      <c r="E29" s="430">
        <f t="shared" si="2"/>
        <v>0.21200000000000019</v>
      </c>
      <c r="F29" s="430">
        <f t="shared" si="2"/>
        <v>0</v>
      </c>
      <c r="G29" s="430">
        <f t="shared" si="2"/>
        <v>0</v>
      </c>
      <c r="H29" s="430">
        <f t="shared" si="2"/>
        <v>0</v>
      </c>
      <c r="I29" s="430">
        <f t="shared" si="2"/>
        <v>0</v>
      </c>
      <c r="J29" s="430">
        <f t="shared" si="2"/>
        <v>0</v>
      </c>
      <c r="K29" s="430">
        <f t="shared" si="2"/>
        <v>0</v>
      </c>
      <c r="L29" s="430">
        <f t="shared" si="2"/>
        <v>0</v>
      </c>
      <c r="M29" s="430">
        <f t="shared" si="2"/>
        <v>0</v>
      </c>
      <c r="N29" s="430">
        <f t="shared" si="2"/>
        <v>0</v>
      </c>
      <c r="O29" s="430">
        <f t="shared" si="2"/>
        <v>0</v>
      </c>
      <c r="P29" s="430">
        <f t="shared" si="2"/>
        <v>0</v>
      </c>
      <c r="Q29" s="430">
        <f t="shared" si="2"/>
        <v>0</v>
      </c>
      <c r="R29" s="430">
        <f t="shared" si="2"/>
        <v>0</v>
      </c>
      <c r="S29" s="430">
        <f t="shared" si="2"/>
        <v>0</v>
      </c>
      <c r="T29" s="430">
        <f t="shared" si="2"/>
        <v>0</v>
      </c>
      <c r="U29" s="430">
        <f t="shared" si="2"/>
        <v>0</v>
      </c>
      <c r="V29" s="430">
        <f t="shared" si="2"/>
        <v>0</v>
      </c>
      <c r="W29" s="430">
        <f t="shared" si="2"/>
        <v>0</v>
      </c>
      <c r="X29" s="430">
        <f t="shared" si="2"/>
        <v>0</v>
      </c>
      <c r="Y29" s="424"/>
    </row>
    <row r="30" spans="1:25" ht="13" thickBot="1">
      <c r="A30" s="17"/>
      <c r="L30" s="17"/>
      <c r="M30" s="17"/>
      <c r="N30" s="17"/>
      <c r="O30" s="17"/>
      <c r="P30" s="17"/>
      <c r="Q30" s="17"/>
      <c r="R30" s="17"/>
      <c r="S30" s="17"/>
      <c r="T30" s="17"/>
      <c r="U30" s="17"/>
      <c r="V30" s="17"/>
      <c r="W30" s="17"/>
      <c r="X30" s="17"/>
      <c r="Y30" s="17"/>
    </row>
    <row r="31" spans="1:25" ht="13.5" thickBot="1">
      <c r="A31" s="416" t="s">
        <v>313</v>
      </c>
      <c r="B31" s="414">
        <f>ROW(A31)</f>
        <v>31</v>
      </c>
      <c r="C31" s="418" t="s">
        <v>116</v>
      </c>
      <c r="D31" s="408">
        <f>SUM(B34:Y34)</f>
        <v>13.814500000000002</v>
      </c>
      <c r="E31" s="418" t="s">
        <v>115</v>
      </c>
      <c r="F31" s="460">
        <f>D31/g/J31</f>
        <v>3.1293464718541175</v>
      </c>
      <c r="G31" s="418" t="s">
        <v>57</v>
      </c>
      <c r="H31" s="86">
        <v>0.45</v>
      </c>
      <c r="I31" s="418" t="s">
        <v>274</v>
      </c>
      <c r="J31" s="410">
        <f>H31-L31</f>
        <v>0.45</v>
      </c>
      <c r="K31" s="418" t="s">
        <v>275</v>
      </c>
      <c r="L31" s="86">
        <v>0</v>
      </c>
      <c r="M31" s="418" t="s">
        <v>58</v>
      </c>
      <c r="N31" s="87">
        <f>0.3*R31</f>
        <v>90</v>
      </c>
      <c r="O31" s="418" t="s">
        <v>60</v>
      </c>
      <c r="P31" s="87">
        <v>150</v>
      </c>
      <c r="Q31" s="418" t="s">
        <v>61</v>
      </c>
      <c r="R31" s="87">
        <v>300</v>
      </c>
      <c r="S31" s="418" t="s">
        <v>62</v>
      </c>
      <c r="T31" s="87">
        <v>90</v>
      </c>
      <c r="U31" s="418" t="s">
        <v>55</v>
      </c>
      <c r="V31" s="88" t="s">
        <v>279</v>
      </c>
      <c r="W31" s="17"/>
      <c r="X31" s="17"/>
      <c r="Y31" s="17"/>
    </row>
    <row r="32" spans="1:25">
      <c r="A32" s="417" t="s">
        <v>33</v>
      </c>
      <c r="B32" s="425">
        <v>0</v>
      </c>
      <c r="C32" s="426">
        <v>1E-3</v>
      </c>
      <c r="D32" s="426">
        <v>0.02</v>
      </c>
      <c r="E32" s="426">
        <v>0.04</v>
      </c>
      <c r="F32" s="426">
        <v>6.0999999999999999E-2</v>
      </c>
      <c r="G32" s="426">
        <v>6.2E-2</v>
      </c>
      <c r="H32" s="426">
        <v>6.2E-2</v>
      </c>
      <c r="I32" s="426">
        <v>6.2E-2</v>
      </c>
      <c r="J32" s="426">
        <v>6.2E-2</v>
      </c>
      <c r="K32" s="426">
        <v>6.2E-2</v>
      </c>
      <c r="L32" s="426">
        <v>6.2E-2</v>
      </c>
      <c r="M32" s="426">
        <v>6.2E-2</v>
      </c>
      <c r="N32" s="426">
        <v>6.2E-2</v>
      </c>
      <c r="O32" s="426">
        <v>6.2E-2</v>
      </c>
      <c r="P32" s="426">
        <v>6.2E-2</v>
      </c>
      <c r="Q32" s="426">
        <v>6.2E-2</v>
      </c>
      <c r="R32" s="426">
        <v>6.2E-2</v>
      </c>
      <c r="S32" s="426">
        <v>6.2E-2</v>
      </c>
      <c r="T32" s="426">
        <v>6.2E-2</v>
      </c>
      <c r="U32" s="426">
        <v>6.2E-2</v>
      </c>
      <c r="V32" s="426">
        <v>6.2E-2</v>
      </c>
      <c r="W32" s="426">
        <v>6.2E-2</v>
      </c>
      <c r="X32" s="426">
        <v>6.2E-2</v>
      </c>
      <c r="Y32" s="437">
        <v>1000</v>
      </c>
    </row>
    <row r="33" spans="1:25">
      <c r="A33" s="434" t="s">
        <v>34</v>
      </c>
      <c r="B33" s="427">
        <v>0</v>
      </c>
      <c r="C33" s="428">
        <v>310</v>
      </c>
      <c r="D33" s="428">
        <v>245</v>
      </c>
      <c r="E33" s="428">
        <v>200</v>
      </c>
      <c r="F33" s="428">
        <v>167</v>
      </c>
      <c r="G33" s="428">
        <v>0</v>
      </c>
      <c r="H33" s="428">
        <v>0</v>
      </c>
      <c r="I33" s="428">
        <v>0</v>
      </c>
      <c r="J33" s="428">
        <v>0</v>
      </c>
      <c r="K33" s="428">
        <v>0</v>
      </c>
      <c r="L33" s="428">
        <v>0</v>
      </c>
      <c r="M33" s="428">
        <v>0</v>
      </c>
      <c r="N33" s="428">
        <v>0</v>
      </c>
      <c r="O33" s="428">
        <v>0</v>
      </c>
      <c r="P33" s="428">
        <v>0</v>
      </c>
      <c r="Q33" s="428">
        <v>0</v>
      </c>
      <c r="R33" s="428">
        <v>0</v>
      </c>
      <c r="S33" s="428">
        <v>0</v>
      </c>
      <c r="T33" s="428">
        <v>0</v>
      </c>
      <c r="U33" s="428">
        <v>0</v>
      </c>
      <c r="V33" s="428">
        <v>0</v>
      </c>
      <c r="W33" s="428">
        <v>0</v>
      </c>
      <c r="X33" s="428">
        <v>0</v>
      </c>
      <c r="Y33" s="438">
        <v>0</v>
      </c>
    </row>
    <row r="34" spans="1:25" ht="13" thickBot="1">
      <c r="A34" s="435" t="s">
        <v>117</v>
      </c>
      <c r="B34" s="429">
        <f t="shared" ref="B34:X34" si="3">(C33+B33)*(C32-B32)/2</f>
        <v>0.155</v>
      </c>
      <c r="C34" s="430">
        <f t="shared" si="3"/>
        <v>5.2725</v>
      </c>
      <c r="D34" s="430">
        <f t="shared" si="3"/>
        <v>4.45</v>
      </c>
      <c r="E34" s="430">
        <f t="shared" si="3"/>
        <v>3.8534999999999995</v>
      </c>
      <c r="F34" s="430">
        <f t="shared" si="3"/>
        <v>8.3500000000000074E-2</v>
      </c>
      <c r="G34" s="430">
        <f t="shared" si="3"/>
        <v>0</v>
      </c>
      <c r="H34" s="430">
        <f t="shared" si="3"/>
        <v>0</v>
      </c>
      <c r="I34" s="430">
        <f t="shared" si="3"/>
        <v>0</v>
      </c>
      <c r="J34" s="430">
        <f t="shared" si="3"/>
        <v>0</v>
      </c>
      <c r="K34" s="430">
        <f t="shared" si="3"/>
        <v>0</v>
      </c>
      <c r="L34" s="430">
        <f t="shared" si="3"/>
        <v>0</v>
      </c>
      <c r="M34" s="430">
        <f t="shared" si="3"/>
        <v>0</v>
      </c>
      <c r="N34" s="430">
        <f t="shared" si="3"/>
        <v>0</v>
      </c>
      <c r="O34" s="430">
        <f t="shared" si="3"/>
        <v>0</v>
      </c>
      <c r="P34" s="430">
        <f t="shared" si="3"/>
        <v>0</v>
      </c>
      <c r="Q34" s="430">
        <f t="shared" si="3"/>
        <v>0</v>
      </c>
      <c r="R34" s="430">
        <f t="shared" si="3"/>
        <v>0</v>
      </c>
      <c r="S34" s="430">
        <f t="shared" si="3"/>
        <v>0</v>
      </c>
      <c r="T34" s="430">
        <f t="shared" si="3"/>
        <v>0</v>
      </c>
      <c r="U34" s="430">
        <f t="shared" si="3"/>
        <v>0</v>
      </c>
      <c r="V34" s="430">
        <f t="shared" si="3"/>
        <v>0</v>
      </c>
      <c r="W34" s="430">
        <f t="shared" si="3"/>
        <v>0</v>
      </c>
      <c r="X34" s="430">
        <f t="shared" si="3"/>
        <v>0</v>
      </c>
      <c r="Y34" s="424"/>
    </row>
    <row r="35" spans="1:25" ht="13" thickBot="1">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3.5" thickBot="1">
      <c r="A36" s="416" t="s">
        <v>314</v>
      </c>
      <c r="B36" s="414">
        <f>ROW(A36)</f>
        <v>36</v>
      </c>
      <c r="C36" s="418" t="s">
        <v>116</v>
      </c>
      <c r="D36" s="408">
        <f>SUM(B39:Y39)</f>
        <v>17.144499999999997</v>
      </c>
      <c r="E36" s="418" t="s">
        <v>115</v>
      </c>
      <c r="F36" s="460">
        <f>D36/g/J36</f>
        <v>2.9127590893645934</v>
      </c>
      <c r="G36" s="418" t="s">
        <v>57</v>
      </c>
      <c r="H36" s="86">
        <v>0.6</v>
      </c>
      <c r="I36" s="418" t="s">
        <v>274</v>
      </c>
      <c r="J36" s="410">
        <f>H36-L36</f>
        <v>0.6</v>
      </c>
      <c r="K36" s="418" t="s">
        <v>275</v>
      </c>
      <c r="L36" s="86">
        <v>0</v>
      </c>
      <c r="M36" s="418" t="s">
        <v>58</v>
      </c>
      <c r="N36" s="87">
        <f>0.4*R36</f>
        <v>120</v>
      </c>
      <c r="O36" s="418" t="s">
        <v>60</v>
      </c>
      <c r="P36" s="87">
        <v>150</v>
      </c>
      <c r="Q36" s="418" t="s">
        <v>61</v>
      </c>
      <c r="R36" s="87">
        <v>300</v>
      </c>
      <c r="S36" s="418" t="s">
        <v>62</v>
      </c>
      <c r="T36" s="87">
        <v>90</v>
      </c>
      <c r="U36" s="418" t="s">
        <v>55</v>
      </c>
      <c r="V36" s="88" t="s">
        <v>279</v>
      </c>
      <c r="W36" s="17"/>
      <c r="X36" s="17"/>
      <c r="Y36" s="17"/>
    </row>
    <row r="37" spans="1:25">
      <c r="A37" s="417" t="s">
        <v>33</v>
      </c>
      <c r="B37" s="425">
        <v>0</v>
      </c>
      <c r="C37" s="426">
        <v>1E-3</v>
      </c>
      <c r="D37" s="426">
        <v>0.02</v>
      </c>
      <c r="E37" s="426">
        <v>0.04</v>
      </c>
      <c r="F37" s="426">
        <v>0.06</v>
      </c>
      <c r="G37" s="426">
        <v>0.08</v>
      </c>
      <c r="H37" s="426">
        <v>8.7999999999999995E-2</v>
      </c>
      <c r="I37" s="426">
        <v>8.8999999999999996E-2</v>
      </c>
      <c r="J37" s="426">
        <v>8.8999999999999996E-2</v>
      </c>
      <c r="K37" s="426">
        <v>8.8999999999999996E-2</v>
      </c>
      <c r="L37" s="426">
        <v>8.8999999999999996E-2</v>
      </c>
      <c r="M37" s="426">
        <v>8.8999999999999996E-2</v>
      </c>
      <c r="N37" s="426">
        <v>8.8999999999999996E-2</v>
      </c>
      <c r="O37" s="426">
        <v>8.8999999999999996E-2</v>
      </c>
      <c r="P37" s="426">
        <v>8.8999999999999996E-2</v>
      </c>
      <c r="Q37" s="426">
        <v>8.8999999999999996E-2</v>
      </c>
      <c r="R37" s="426">
        <v>8.8999999999999996E-2</v>
      </c>
      <c r="S37" s="426">
        <v>8.8999999999999996E-2</v>
      </c>
      <c r="T37" s="426">
        <v>8.8999999999999996E-2</v>
      </c>
      <c r="U37" s="426">
        <v>8.8999999999999996E-2</v>
      </c>
      <c r="V37" s="426">
        <v>8.8999999999999996E-2</v>
      </c>
      <c r="W37" s="426">
        <v>8.8999999999999996E-2</v>
      </c>
      <c r="X37" s="426">
        <v>8.8999999999999996E-2</v>
      </c>
      <c r="Y37" s="437">
        <v>1000</v>
      </c>
    </row>
    <row r="38" spans="1:25">
      <c r="A38" s="434" t="s">
        <v>34</v>
      </c>
      <c r="B38" s="427">
        <v>0</v>
      </c>
      <c r="C38" s="428">
        <v>310</v>
      </c>
      <c r="D38" s="428">
        <v>240</v>
      </c>
      <c r="E38" s="428">
        <v>190</v>
      </c>
      <c r="F38" s="428">
        <v>157</v>
      </c>
      <c r="G38" s="428">
        <v>133</v>
      </c>
      <c r="H38" s="428">
        <v>125</v>
      </c>
      <c r="I38" s="428">
        <v>0</v>
      </c>
      <c r="J38" s="428">
        <v>0</v>
      </c>
      <c r="K38" s="428">
        <v>0</v>
      </c>
      <c r="L38" s="428">
        <v>0</v>
      </c>
      <c r="M38" s="428">
        <v>0</v>
      </c>
      <c r="N38" s="428">
        <v>0</v>
      </c>
      <c r="O38" s="428">
        <v>0</v>
      </c>
      <c r="P38" s="428">
        <v>0</v>
      </c>
      <c r="Q38" s="428">
        <v>0</v>
      </c>
      <c r="R38" s="428">
        <v>0</v>
      </c>
      <c r="S38" s="428">
        <v>0</v>
      </c>
      <c r="T38" s="428">
        <v>0</v>
      </c>
      <c r="U38" s="428">
        <v>0</v>
      </c>
      <c r="V38" s="428">
        <v>0</v>
      </c>
      <c r="W38" s="428">
        <v>0</v>
      </c>
      <c r="X38" s="428">
        <v>0</v>
      </c>
      <c r="Y38" s="438">
        <v>0</v>
      </c>
    </row>
    <row r="39" spans="1:25" ht="13" thickBot="1">
      <c r="A39" s="435" t="s">
        <v>117</v>
      </c>
      <c r="B39" s="429">
        <f t="shared" ref="B39:X39" si="4">(C38+B38)*(C37-B37)/2</f>
        <v>0.155</v>
      </c>
      <c r="C39" s="430">
        <f t="shared" si="4"/>
        <v>5.2249999999999996</v>
      </c>
      <c r="D39" s="430">
        <f t="shared" si="4"/>
        <v>4.3</v>
      </c>
      <c r="E39" s="430">
        <f t="shared" si="4"/>
        <v>3.4699999999999993</v>
      </c>
      <c r="F39" s="430">
        <f t="shared" si="4"/>
        <v>2.9000000000000004</v>
      </c>
      <c r="G39" s="430">
        <f t="shared" si="4"/>
        <v>1.0319999999999991</v>
      </c>
      <c r="H39" s="430">
        <f t="shared" si="4"/>
        <v>6.2500000000000056E-2</v>
      </c>
      <c r="I39" s="430">
        <f t="shared" si="4"/>
        <v>0</v>
      </c>
      <c r="J39" s="430">
        <f t="shared" si="4"/>
        <v>0</v>
      </c>
      <c r="K39" s="430">
        <f t="shared" si="4"/>
        <v>0</v>
      </c>
      <c r="L39" s="430">
        <f t="shared" si="4"/>
        <v>0</v>
      </c>
      <c r="M39" s="430">
        <f t="shared" si="4"/>
        <v>0</v>
      </c>
      <c r="N39" s="430">
        <f t="shared" si="4"/>
        <v>0</v>
      </c>
      <c r="O39" s="430">
        <f t="shared" si="4"/>
        <v>0</v>
      </c>
      <c r="P39" s="430">
        <f t="shared" si="4"/>
        <v>0</v>
      </c>
      <c r="Q39" s="430">
        <f t="shared" si="4"/>
        <v>0</v>
      </c>
      <c r="R39" s="430">
        <f t="shared" si="4"/>
        <v>0</v>
      </c>
      <c r="S39" s="430">
        <f t="shared" si="4"/>
        <v>0</v>
      </c>
      <c r="T39" s="430">
        <f t="shared" si="4"/>
        <v>0</v>
      </c>
      <c r="U39" s="430">
        <f t="shared" si="4"/>
        <v>0</v>
      </c>
      <c r="V39" s="430">
        <f t="shared" si="4"/>
        <v>0</v>
      </c>
      <c r="W39" s="430">
        <f t="shared" si="4"/>
        <v>0</v>
      </c>
      <c r="X39" s="430">
        <f t="shared" si="4"/>
        <v>0</v>
      </c>
      <c r="Y39" s="424"/>
    </row>
    <row r="40" spans="1:25" ht="13" thickBot="1">
      <c r="A40" s="17"/>
      <c r="L40" s="17"/>
      <c r="M40" s="17"/>
      <c r="N40" s="17"/>
      <c r="O40" s="17"/>
      <c r="P40" s="17"/>
      <c r="Q40" s="17"/>
      <c r="R40" s="17"/>
      <c r="S40" s="17"/>
      <c r="T40" s="17"/>
      <c r="U40" s="17"/>
      <c r="V40" s="17"/>
      <c r="W40" s="17"/>
      <c r="X40" s="17"/>
      <c r="Y40" s="17"/>
    </row>
    <row r="41" spans="1:25" ht="13.5" thickBot="1">
      <c r="A41" s="416" t="s">
        <v>315</v>
      </c>
      <c r="B41" s="414">
        <f>ROW(A41)</f>
        <v>41</v>
      </c>
      <c r="C41" s="418" t="s">
        <v>116</v>
      </c>
      <c r="D41" s="408">
        <f>SUM(B44:Y44)</f>
        <v>19.415000000000003</v>
      </c>
      <c r="E41" s="418" t="s">
        <v>115</v>
      </c>
      <c r="F41" s="460">
        <f>D41/g/J41</f>
        <v>2.6388039415562354</v>
      </c>
      <c r="G41" s="418" t="s">
        <v>57</v>
      </c>
      <c r="H41" s="86">
        <v>0.75</v>
      </c>
      <c r="I41" s="418" t="s">
        <v>274</v>
      </c>
      <c r="J41" s="410">
        <f>H41-L41</f>
        <v>0.75</v>
      </c>
      <c r="K41" s="418" t="s">
        <v>275</v>
      </c>
      <c r="L41" s="86">
        <v>0</v>
      </c>
      <c r="M41" s="418" t="s">
        <v>58</v>
      </c>
      <c r="N41" s="87">
        <f>0.5*R41</f>
        <v>150</v>
      </c>
      <c r="O41" s="418" t="s">
        <v>60</v>
      </c>
      <c r="P41" s="87">
        <v>150</v>
      </c>
      <c r="Q41" s="418" t="s">
        <v>61</v>
      </c>
      <c r="R41" s="87">
        <v>300</v>
      </c>
      <c r="S41" s="418" t="s">
        <v>62</v>
      </c>
      <c r="T41" s="87">
        <v>90</v>
      </c>
      <c r="U41" s="418" t="s">
        <v>55</v>
      </c>
      <c r="V41" s="88" t="s">
        <v>279</v>
      </c>
      <c r="W41" s="17"/>
      <c r="X41" s="17"/>
      <c r="Y41" s="17"/>
    </row>
    <row r="42" spans="1:25">
      <c r="A42" s="417" t="s">
        <v>33</v>
      </c>
      <c r="B42" s="425">
        <v>0</v>
      </c>
      <c r="C42" s="426">
        <v>1E-3</v>
      </c>
      <c r="D42" s="426">
        <v>0.02</v>
      </c>
      <c r="E42" s="426">
        <v>0.04</v>
      </c>
      <c r="F42" s="426">
        <v>0.06</v>
      </c>
      <c r="G42" s="426">
        <v>0.08</v>
      </c>
      <c r="H42" s="426">
        <v>0.1</v>
      </c>
      <c r="I42" s="426">
        <v>0.123</v>
      </c>
      <c r="J42" s="426">
        <v>0.124</v>
      </c>
      <c r="K42" s="426">
        <v>0.124</v>
      </c>
      <c r="L42" s="426">
        <v>0.124</v>
      </c>
      <c r="M42" s="426">
        <v>0.124</v>
      </c>
      <c r="N42" s="426">
        <v>0.124</v>
      </c>
      <c r="O42" s="426">
        <v>0.124</v>
      </c>
      <c r="P42" s="426">
        <v>0.124</v>
      </c>
      <c r="Q42" s="426">
        <v>0.124</v>
      </c>
      <c r="R42" s="426">
        <v>0.124</v>
      </c>
      <c r="S42" s="426">
        <v>0.124</v>
      </c>
      <c r="T42" s="426">
        <v>0.124</v>
      </c>
      <c r="U42" s="426">
        <v>0.124</v>
      </c>
      <c r="V42" s="426">
        <v>0.124</v>
      </c>
      <c r="W42" s="426">
        <v>0.124</v>
      </c>
      <c r="X42" s="426">
        <v>0.124</v>
      </c>
      <c r="Y42" s="437">
        <v>1000</v>
      </c>
    </row>
    <row r="43" spans="1:25">
      <c r="A43" s="434" t="s">
        <v>34</v>
      </c>
      <c r="B43" s="427">
        <v>0</v>
      </c>
      <c r="C43" s="428">
        <v>310</v>
      </c>
      <c r="D43" s="428">
        <v>230</v>
      </c>
      <c r="E43" s="428">
        <v>175</v>
      </c>
      <c r="F43" s="428">
        <v>140</v>
      </c>
      <c r="G43" s="428">
        <v>118</v>
      </c>
      <c r="H43" s="428">
        <v>100</v>
      </c>
      <c r="I43" s="428">
        <v>85</v>
      </c>
      <c r="J43" s="428">
        <v>0</v>
      </c>
      <c r="K43" s="428">
        <v>0</v>
      </c>
      <c r="L43" s="428">
        <v>0</v>
      </c>
      <c r="M43" s="428">
        <v>0</v>
      </c>
      <c r="N43" s="428">
        <v>0</v>
      </c>
      <c r="O43" s="428">
        <v>0</v>
      </c>
      <c r="P43" s="428">
        <v>0</v>
      </c>
      <c r="Q43" s="428">
        <v>0</v>
      </c>
      <c r="R43" s="428">
        <v>0</v>
      </c>
      <c r="S43" s="428">
        <v>0</v>
      </c>
      <c r="T43" s="428">
        <v>0</v>
      </c>
      <c r="U43" s="428">
        <v>0</v>
      </c>
      <c r="V43" s="428">
        <v>0</v>
      </c>
      <c r="W43" s="428">
        <v>0</v>
      </c>
      <c r="X43" s="428">
        <v>0</v>
      </c>
      <c r="Y43" s="438">
        <v>0</v>
      </c>
    </row>
    <row r="44" spans="1:25" ht="13" thickBot="1">
      <c r="A44" s="435" t="s">
        <v>117</v>
      </c>
      <c r="B44" s="429">
        <f t="shared" ref="B44:X44" si="5">(C43+B43)*(C42-B42)/2</f>
        <v>0.155</v>
      </c>
      <c r="C44" s="430">
        <f t="shared" si="5"/>
        <v>5.13</v>
      </c>
      <c r="D44" s="430">
        <f t="shared" si="5"/>
        <v>4.05</v>
      </c>
      <c r="E44" s="430">
        <f t="shared" si="5"/>
        <v>3.1499999999999995</v>
      </c>
      <c r="F44" s="430">
        <f t="shared" si="5"/>
        <v>2.5800000000000005</v>
      </c>
      <c r="G44" s="430">
        <f t="shared" si="5"/>
        <v>2.1800000000000006</v>
      </c>
      <c r="H44" s="430">
        <f t="shared" si="5"/>
        <v>2.1274999999999995</v>
      </c>
      <c r="I44" s="430">
        <f t="shared" si="5"/>
        <v>4.2500000000000038E-2</v>
      </c>
      <c r="J44" s="430">
        <f t="shared" si="5"/>
        <v>0</v>
      </c>
      <c r="K44" s="430">
        <f t="shared" si="5"/>
        <v>0</v>
      </c>
      <c r="L44" s="430">
        <f t="shared" si="5"/>
        <v>0</v>
      </c>
      <c r="M44" s="430">
        <f t="shared" si="5"/>
        <v>0</v>
      </c>
      <c r="N44" s="430">
        <f t="shared" si="5"/>
        <v>0</v>
      </c>
      <c r="O44" s="430">
        <f t="shared" si="5"/>
        <v>0</v>
      </c>
      <c r="P44" s="430">
        <f t="shared" si="5"/>
        <v>0</v>
      </c>
      <c r="Q44" s="430">
        <f t="shared" si="5"/>
        <v>0</v>
      </c>
      <c r="R44" s="430">
        <f t="shared" si="5"/>
        <v>0</v>
      </c>
      <c r="S44" s="430">
        <f t="shared" si="5"/>
        <v>0</v>
      </c>
      <c r="T44" s="430">
        <f t="shared" si="5"/>
        <v>0</v>
      </c>
      <c r="U44" s="430">
        <f t="shared" si="5"/>
        <v>0</v>
      </c>
      <c r="V44" s="430">
        <f t="shared" si="5"/>
        <v>0</v>
      </c>
      <c r="W44" s="430">
        <f t="shared" si="5"/>
        <v>0</v>
      </c>
      <c r="X44" s="430">
        <f t="shared" si="5"/>
        <v>0</v>
      </c>
      <c r="Y44" s="424"/>
    </row>
    <row r="45" spans="1:25" ht="13" thickBot="1"/>
    <row r="46" spans="1:25" ht="13.5" thickBot="1">
      <c r="A46" s="416" t="s">
        <v>280</v>
      </c>
      <c r="B46" s="414">
        <f>ROW(A46)</f>
        <v>46</v>
      </c>
      <c r="C46" s="418" t="s">
        <v>116</v>
      </c>
      <c r="D46" s="408">
        <f>SUM(B49:Y49)</f>
        <v>12.8695</v>
      </c>
      <c r="E46" s="418" t="s">
        <v>115</v>
      </c>
      <c r="F46" s="460">
        <f>D46/g/J46</f>
        <v>3.2796890927624869</v>
      </c>
      <c r="G46" s="418" t="s">
        <v>57</v>
      </c>
      <c r="H46" s="86">
        <v>0.5</v>
      </c>
      <c r="I46" s="418" t="s">
        <v>274</v>
      </c>
      <c r="J46" s="410">
        <f>H46-L46</f>
        <v>0.4</v>
      </c>
      <c r="K46" s="418" t="s">
        <v>275</v>
      </c>
      <c r="L46" s="86">
        <v>0.1</v>
      </c>
      <c r="M46" s="418" t="s">
        <v>58</v>
      </c>
      <c r="N46" s="87">
        <f>0.2*R46</f>
        <v>60</v>
      </c>
      <c r="O46" s="418" t="s">
        <v>60</v>
      </c>
      <c r="P46" s="87">
        <v>150</v>
      </c>
      <c r="Q46" s="418" t="s">
        <v>61</v>
      </c>
      <c r="R46" s="87">
        <v>300</v>
      </c>
      <c r="S46" s="418" t="s">
        <v>62</v>
      </c>
      <c r="T46" s="87">
        <v>98</v>
      </c>
      <c r="U46" s="418" t="s">
        <v>55</v>
      </c>
      <c r="V46" s="88" t="s">
        <v>279</v>
      </c>
      <c r="W46" s="17"/>
      <c r="X46" s="17"/>
      <c r="Y46" s="17"/>
    </row>
    <row r="47" spans="1:25">
      <c r="A47" s="417" t="s">
        <v>33</v>
      </c>
      <c r="B47" s="425">
        <v>0</v>
      </c>
      <c r="C47" s="426">
        <v>1E-3</v>
      </c>
      <c r="D47" s="426">
        <v>0.02</v>
      </c>
      <c r="E47" s="426">
        <v>0.04</v>
      </c>
      <c r="F47" s="426">
        <v>0.05</v>
      </c>
      <c r="G47" s="426">
        <v>5.0999999999999997E-2</v>
      </c>
      <c r="H47" s="426">
        <v>5.0999999999999997E-2</v>
      </c>
      <c r="I47" s="426">
        <v>5.0999999999999997E-2</v>
      </c>
      <c r="J47" s="426">
        <v>5.0999999999999997E-2</v>
      </c>
      <c r="K47" s="426">
        <v>5.0999999999999997E-2</v>
      </c>
      <c r="L47" s="426">
        <v>5.0999999999999997E-2</v>
      </c>
      <c r="M47" s="426">
        <v>5.0999999999999997E-2</v>
      </c>
      <c r="N47" s="426">
        <v>5.0999999999999997E-2</v>
      </c>
      <c r="O47" s="426">
        <v>5.0999999999999997E-2</v>
      </c>
      <c r="P47" s="426">
        <v>5.0999999999999997E-2</v>
      </c>
      <c r="Q47" s="426">
        <v>5.0999999999999997E-2</v>
      </c>
      <c r="R47" s="426">
        <v>5.0999999999999997E-2</v>
      </c>
      <c r="S47" s="426">
        <v>5.0999999999999997E-2</v>
      </c>
      <c r="T47" s="426">
        <v>5.0999999999999997E-2</v>
      </c>
      <c r="U47" s="426">
        <v>5.0999999999999997E-2</v>
      </c>
      <c r="V47" s="426">
        <v>5.0999999999999997E-2</v>
      </c>
      <c r="W47" s="426">
        <v>5.0999999999999997E-2</v>
      </c>
      <c r="X47" s="426">
        <v>5.0999999999999997E-2</v>
      </c>
      <c r="Y47" s="437">
        <v>1000</v>
      </c>
    </row>
    <row r="48" spans="1:25">
      <c r="A48" s="434" t="s">
        <v>34</v>
      </c>
      <c r="B48" s="427">
        <v>0</v>
      </c>
      <c r="C48" s="428">
        <v>310</v>
      </c>
      <c r="D48" s="428">
        <v>264</v>
      </c>
      <c r="E48" s="428">
        <v>230</v>
      </c>
      <c r="F48" s="428">
        <v>213</v>
      </c>
      <c r="G48" s="428">
        <v>0</v>
      </c>
      <c r="H48" s="428">
        <v>0</v>
      </c>
      <c r="I48" s="428">
        <v>0</v>
      </c>
      <c r="J48" s="428">
        <v>0</v>
      </c>
      <c r="K48" s="428">
        <v>0</v>
      </c>
      <c r="L48" s="428">
        <v>0</v>
      </c>
      <c r="M48" s="428">
        <v>0</v>
      </c>
      <c r="N48" s="428">
        <v>0</v>
      </c>
      <c r="O48" s="428">
        <v>0</v>
      </c>
      <c r="P48" s="428">
        <v>0</v>
      </c>
      <c r="Q48" s="428">
        <v>0</v>
      </c>
      <c r="R48" s="428">
        <v>0</v>
      </c>
      <c r="S48" s="428">
        <v>0</v>
      </c>
      <c r="T48" s="428">
        <v>0</v>
      </c>
      <c r="U48" s="428">
        <v>0</v>
      </c>
      <c r="V48" s="428">
        <v>0</v>
      </c>
      <c r="W48" s="428">
        <v>0</v>
      </c>
      <c r="X48" s="428">
        <v>0</v>
      </c>
      <c r="Y48" s="438">
        <v>0</v>
      </c>
    </row>
    <row r="49" spans="1:25" ht="13" thickBot="1">
      <c r="A49" s="435" t="s">
        <v>117</v>
      </c>
      <c r="B49" s="429">
        <f t="shared" ref="B49:X49" si="6">(C48+B48)*(C47-B47)/2</f>
        <v>0.155</v>
      </c>
      <c r="C49" s="430">
        <f t="shared" si="6"/>
        <v>5.4530000000000003</v>
      </c>
      <c r="D49" s="430">
        <f t="shared" si="6"/>
        <v>4.9400000000000004</v>
      </c>
      <c r="E49" s="430">
        <f t="shared" si="6"/>
        <v>2.2150000000000003</v>
      </c>
      <c r="F49" s="430">
        <f t="shared" si="6"/>
        <v>0.10649999999999936</v>
      </c>
      <c r="G49" s="430">
        <f t="shared" si="6"/>
        <v>0</v>
      </c>
      <c r="H49" s="430">
        <f t="shared" si="6"/>
        <v>0</v>
      </c>
      <c r="I49" s="430">
        <f t="shared" si="6"/>
        <v>0</v>
      </c>
      <c r="J49" s="430">
        <f t="shared" si="6"/>
        <v>0</v>
      </c>
      <c r="K49" s="430">
        <f t="shared" si="6"/>
        <v>0</v>
      </c>
      <c r="L49" s="430">
        <f t="shared" si="6"/>
        <v>0</v>
      </c>
      <c r="M49" s="430">
        <f t="shared" si="6"/>
        <v>0</v>
      </c>
      <c r="N49" s="430">
        <f t="shared" si="6"/>
        <v>0</v>
      </c>
      <c r="O49" s="430">
        <f t="shared" si="6"/>
        <v>0</v>
      </c>
      <c r="P49" s="430">
        <f t="shared" si="6"/>
        <v>0</v>
      </c>
      <c r="Q49" s="430">
        <f t="shared" si="6"/>
        <v>0</v>
      </c>
      <c r="R49" s="430">
        <f t="shared" si="6"/>
        <v>0</v>
      </c>
      <c r="S49" s="430">
        <f t="shared" si="6"/>
        <v>0</v>
      </c>
      <c r="T49" s="430">
        <f t="shared" si="6"/>
        <v>0</v>
      </c>
      <c r="U49" s="430">
        <f t="shared" si="6"/>
        <v>0</v>
      </c>
      <c r="V49" s="430">
        <f t="shared" si="6"/>
        <v>0</v>
      </c>
      <c r="W49" s="430">
        <f t="shared" si="6"/>
        <v>0</v>
      </c>
      <c r="X49" s="430">
        <f t="shared" si="6"/>
        <v>0</v>
      </c>
      <c r="Y49" s="424"/>
    </row>
    <row r="50" spans="1:25" ht="13" thickBot="1">
      <c r="A50" s="17"/>
      <c r="L50" s="17"/>
      <c r="M50" s="17"/>
      <c r="N50" s="17"/>
      <c r="O50" s="17"/>
      <c r="P50" s="17"/>
      <c r="Q50" s="17"/>
      <c r="R50" s="17"/>
      <c r="S50" s="17"/>
      <c r="T50" s="17"/>
      <c r="U50" s="17"/>
      <c r="V50" s="17"/>
      <c r="W50" s="17"/>
      <c r="X50" s="17"/>
      <c r="Y50" s="17"/>
    </row>
    <row r="51" spans="1:25" ht="13.5" thickBot="1">
      <c r="A51" s="416" t="s">
        <v>281</v>
      </c>
      <c r="B51" s="414">
        <f>ROW(A51)</f>
        <v>51</v>
      </c>
      <c r="C51" s="418" t="s">
        <v>116</v>
      </c>
      <c r="D51" s="408">
        <f>SUM(B54:Y54)</f>
        <v>18.123500000000003</v>
      </c>
      <c r="E51" s="418" t="s">
        <v>115</v>
      </c>
      <c r="F51" s="460">
        <f>D51/g/J51</f>
        <v>3.0790859667006463</v>
      </c>
      <c r="G51" s="418" t="s">
        <v>57</v>
      </c>
      <c r="H51" s="86">
        <v>0.7</v>
      </c>
      <c r="I51" s="418" t="s">
        <v>274</v>
      </c>
      <c r="J51" s="410">
        <f>H51-L51</f>
        <v>0.6</v>
      </c>
      <c r="K51" s="418" t="s">
        <v>275</v>
      </c>
      <c r="L51" s="86">
        <v>0.1</v>
      </c>
      <c r="M51" s="418" t="s">
        <v>58</v>
      </c>
      <c r="N51" s="87">
        <f>0.3*R51</f>
        <v>90</v>
      </c>
      <c r="O51" s="418" t="s">
        <v>60</v>
      </c>
      <c r="P51" s="87">
        <v>150</v>
      </c>
      <c r="Q51" s="418" t="s">
        <v>61</v>
      </c>
      <c r="R51" s="87">
        <v>300</v>
      </c>
      <c r="S51" s="418" t="s">
        <v>62</v>
      </c>
      <c r="T51" s="87">
        <v>98</v>
      </c>
      <c r="U51" s="418" t="s">
        <v>55</v>
      </c>
      <c r="V51" s="88" t="s">
        <v>279</v>
      </c>
      <c r="W51" s="17"/>
      <c r="X51" s="17"/>
      <c r="Y51" s="17"/>
    </row>
    <row r="52" spans="1:25">
      <c r="A52" s="417" t="s">
        <v>33</v>
      </c>
      <c r="B52" s="425">
        <v>0</v>
      </c>
      <c r="C52" s="426">
        <v>1E-3</v>
      </c>
      <c r="D52" s="426">
        <v>0.02</v>
      </c>
      <c r="E52" s="426">
        <v>0.04</v>
      </c>
      <c r="F52" s="426">
        <v>0.06</v>
      </c>
      <c r="G52" s="426">
        <v>0.08</v>
      </c>
      <c r="H52" s="426">
        <v>8.1000000000000003E-2</v>
      </c>
      <c r="I52" s="426">
        <v>8.1000000000000003E-2</v>
      </c>
      <c r="J52" s="426">
        <v>8.1000000000000003E-2</v>
      </c>
      <c r="K52" s="426">
        <v>8.1000000000000003E-2</v>
      </c>
      <c r="L52" s="426">
        <v>8.1000000000000003E-2</v>
      </c>
      <c r="M52" s="426">
        <v>8.1000000000000003E-2</v>
      </c>
      <c r="N52" s="426">
        <v>8.1000000000000003E-2</v>
      </c>
      <c r="O52" s="426">
        <v>8.1000000000000003E-2</v>
      </c>
      <c r="P52" s="426">
        <v>8.1000000000000003E-2</v>
      </c>
      <c r="Q52" s="426">
        <v>8.1000000000000003E-2</v>
      </c>
      <c r="R52" s="426">
        <v>8.1000000000000003E-2</v>
      </c>
      <c r="S52" s="426">
        <v>8.1000000000000003E-2</v>
      </c>
      <c r="T52" s="426">
        <v>8.1000000000000003E-2</v>
      </c>
      <c r="U52" s="426">
        <v>8.1000000000000003E-2</v>
      </c>
      <c r="V52" s="426">
        <v>8.1000000000000003E-2</v>
      </c>
      <c r="W52" s="426">
        <v>8.1000000000000003E-2</v>
      </c>
      <c r="X52" s="426">
        <v>8.1000000000000003E-2</v>
      </c>
      <c r="Y52" s="437">
        <v>1000</v>
      </c>
    </row>
    <row r="53" spans="1:25">
      <c r="A53" s="434" t="s">
        <v>34</v>
      </c>
      <c r="B53" s="427">
        <v>0</v>
      </c>
      <c r="C53" s="428">
        <v>310</v>
      </c>
      <c r="D53" s="428">
        <v>260</v>
      </c>
      <c r="E53" s="428">
        <v>220</v>
      </c>
      <c r="F53" s="428">
        <v>190</v>
      </c>
      <c r="G53" s="428">
        <v>167</v>
      </c>
      <c r="H53" s="428">
        <v>0</v>
      </c>
      <c r="I53" s="428">
        <v>0</v>
      </c>
      <c r="J53" s="428">
        <v>0</v>
      </c>
      <c r="K53" s="428">
        <v>0</v>
      </c>
      <c r="L53" s="428">
        <v>0</v>
      </c>
      <c r="M53" s="428">
        <v>0</v>
      </c>
      <c r="N53" s="428">
        <v>0</v>
      </c>
      <c r="O53" s="428">
        <v>0</v>
      </c>
      <c r="P53" s="428">
        <v>0</v>
      </c>
      <c r="Q53" s="428">
        <v>0</v>
      </c>
      <c r="R53" s="428">
        <v>0</v>
      </c>
      <c r="S53" s="428">
        <v>0</v>
      </c>
      <c r="T53" s="428">
        <v>0</v>
      </c>
      <c r="U53" s="428">
        <v>0</v>
      </c>
      <c r="V53" s="428">
        <v>0</v>
      </c>
      <c r="W53" s="428">
        <v>0</v>
      </c>
      <c r="X53" s="428">
        <v>0</v>
      </c>
      <c r="Y53" s="438">
        <v>0</v>
      </c>
    </row>
    <row r="54" spans="1:25" ht="13" thickBot="1">
      <c r="A54" s="435" t="s">
        <v>117</v>
      </c>
      <c r="B54" s="429">
        <f t="shared" ref="B54:X54" si="7">(C53+B53)*(C52-B52)/2</f>
        <v>0.155</v>
      </c>
      <c r="C54" s="430">
        <f t="shared" si="7"/>
        <v>5.415</v>
      </c>
      <c r="D54" s="430">
        <f t="shared" si="7"/>
        <v>4.8</v>
      </c>
      <c r="E54" s="430">
        <f t="shared" si="7"/>
        <v>4.0999999999999996</v>
      </c>
      <c r="F54" s="430">
        <f t="shared" si="7"/>
        <v>3.5700000000000007</v>
      </c>
      <c r="G54" s="430">
        <f t="shared" si="7"/>
        <v>8.3500000000000074E-2</v>
      </c>
      <c r="H54" s="430">
        <f t="shared" si="7"/>
        <v>0</v>
      </c>
      <c r="I54" s="430">
        <f t="shared" si="7"/>
        <v>0</v>
      </c>
      <c r="J54" s="430">
        <f t="shared" si="7"/>
        <v>0</v>
      </c>
      <c r="K54" s="430">
        <f t="shared" si="7"/>
        <v>0</v>
      </c>
      <c r="L54" s="430">
        <f t="shared" si="7"/>
        <v>0</v>
      </c>
      <c r="M54" s="430">
        <f t="shared" si="7"/>
        <v>0</v>
      </c>
      <c r="N54" s="430">
        <f t="shared" si="7"/>
        <v>0</v>
      </c>
      <c r="O54" s="430">
        <f t="shared" si="7"/>
        <v>0</v>
      </c>
      <c r="P54" s="430">
        <f t="shared" si="7"/>
        <v>0</v>
      </c>
      <c r="Q54" s="430">
        <f t="shared" si="7"/>
        <v>0</v>
      </c>
      <c r="R54" s="430">
        <f t="shared" si="7"/>
        <v>0</v>
      </c>
      <c r="S54" s="430">
        <f t="shared" si="7"/>
        <v>0</v>
      </c>
      <c r="T54" s="430">
        <f t="shared" si="7"/>
        <v>0</v>
      </c>
      <c r="U54" s="430">
        <f t="shared" si="7"/>
        <v>0</v>
      </c>
      <c r="V54" s="430">
        <f t="shared" si="7"/>
        <v>0</v>
      </c>
      <c r="W54" s="430">
        <f t="shared" si="7"/>
        <v>0</v>
      </c>
      <c r="X54" s="430">
        <f t="shared" si="7"/>
        <v>0</v>
      </c>
      <c r="Y54" s="424"/>
    </row>
    <row r="55" spans="1:25" ht="13" thickBot="1">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3.5" thickBot="1">
      <c r="A56" s="416" t="s">
        <v>282</v>
      </c>
      <c r="B56" s="414">
        <f>ROW(A56)</f>
        <v>56</v>
      </c>
      <c r="C56" s="418" t="s">
        <v>116</v>
      </c>
      <c r="D56" s="408">
        <f>SUM(B59:Y59)</f>
        <v>22.610000000000003</v>
      </c>
      <c r="E56" s="418" t="s">
        <v>115</v>
      </c>
      <c r="F56" s="460">
        <f>D56/g/J56</f>
        <v>2.88098878695209</v>
      </c>
      <c r="G56" s="418" t="s">
        <v>57</v>
      </c>
      <c r="H56" s="86">
        <v>0.9</v>
      </c>
      <c r="I56" s="418" t="s">
        <v>274</v>
      </c>
      <c r="J56" s="410">
        <f>H56-L56</f>
        <v>0.8</v>
      </c>
      <c r="K56" s="418" t="s">
        <v>275</v>
      </c>
      <c r="L56" s="86">
        <v>0.1</v>
      </c>
      <c r="M56" s="418" t="s">
        <v>58</v>
      </c>
      <c r="N56" s="87">
        <f>0.4*R56</f>
        <v>120</v>
      </c>
      <c r="O56" s="418" t="s">
        <v>60</v>
      </c>
      <c r="P56" s="87">
        <v>150</v>
      </c>
      <c r="Q56" s="418" t="s">
        <v>61</v>
      </c>
      <c r="R56" s="87">
        <v>300</v>
      </c>
      <c r="S56" s="418" t="s">
        <v>62</v>
      </c>
      <c r="T56" s="87">
        <v>98</v>
      </c>
      <c r="U56" s="418" t="s">
        <v>55</v>
      </c>
      <c r="V56" s="88" t="s">
        <v>279</v>
      </c>
      <c r="W56" s="17"/>
      <c r="X56" s="17"/>
      <c r="Y56" s="17"/>
    </row>
    <row r="57" spans="1:25">
      <c r="A57" s="417" t="s">
        <v>33</v>
      </c>
      <c r="B57" s="425">
        <v>0</v>
      </c>
      <c r="C57" s="426">
        <v>1E-3</v>
      </c>
      <c r="D57" s="426">
        <v>0.02</v>
      </c>
      <c r="E57" s="426">
        <v>0.04</v>
      </c>
      <c r="F57" s="426">
        <v>0.06</v>
      </c>
      <c r="G57" s="426">
        <v>0.08</v>
      </c>
      <c r="H57" s="426">
        <v>0.1</v>
      </c>
      <c r="I57" s="426">
        <v>0.11700000000000001</v>
      </c>
      <c r="J57" s="426">
        <v>0.11799999999999999</v>
      </c>
      <c r="K57" s="426">
        <v>0.11799999999999999</v>
      </c>
      <c r="L57" s="426">
        <v>0.11799999999999999</v>
      </c>
      <c r="M57" s="426">
        <v>0.11799999999999999</v>
      </c>
      <c r="N57" s="426">
        <v>0.11799999999999999</v>
      </c>
      <c r="O57" s="426">
        <v>0.11799999999999999</v>
      </c>
      <c r="P57" s="426">
        <v>0.11799999999999999</v>
      </c>
      <c r="Q57" s="426">
        <v>0.11799999999999999</v>
      </c>
      <c r="R57" s="426">
        <v>0.11799999999999999</v>
      </c>
      <c r="S57" s="426">
        <v>0.11799999999999999</v>
      </c>
      <c r="T57" s="426">
        <v>0.11799999999999999</v>
      </c>
      <c r="U57" s="426">
        <v>0.11799999999999999</v>
      </c>
      <c r="V57" s="426">
        <v>0.11799999999999999</v>
      </c>
      <c r="W57" s="426">
        <v>0.11799999999999999</v>
      </c>
      <c r="X57" s="426">
        <v>0.11799999999999999</v>
      </c>
      <c r="Y57" s="437">
        <v>1000</v>
      </c>
    </row>
    <row r="58" spans="1:25">
      <c r="A58" s="434" t="s">
        <v>34</v>
      </c>
      <c r="B58" s="427">
        <v>0</v>
      </c>
      <c r="C58" s="428">
        <v>310</v>
      </c>
      <c r="D58" s="428">
        <v>250</v>
      </c>
      <c r="E58" s="428">
        <v>210</v>
      </c>
      <c r="F58" s="428">
        <v>180</v>
      </c>
      <c r="G58" s="428">
        <v>156</v>
      </c>
      <c r="H58" s="428">
        <v>140</v>
      </c>
      <c r="I58" s="428">
        <v>125</v>
      </c>
      <c r="J58" s="428">
        <v>0</v>
      </c>
      <c r="K58" s="428">
        <v>0</v>
      </c>
      <c r="L58" s="428">
        <v>0</v>
      </c>
      <c r="M58" s="428">
        <v>0</v>
      </c>
      <c r="N58" s="428">
        <v>0</v>
      </c>
      <c r="O58" s="428">
        <v>0</v>
      </c>
      <c r="P58" s="428">
        <v>0</v>
      </c>
      <c r="Q58" s="428">
        <v>0</v>
      </c>
      <c r="R58" s="428">
        <v>0</v>
      </c>
      <c r="S58" s="428">
        <v>0</v>
      </c>
      <c r="T58" s="428">
        <v>0</v>
      </c>
      <c r="U58" s="428">
        <v>0</v>
      </c>
      <c r="V58" s="428">
        <v>0</v>
      </c>
      <c r="W58" s="428">
        <v>0</v>
      </c>
      <c r="X58" s="428">
        <v>0</v>
      </c>
      <c r="Y58" s="438">
        <v>0</v>
      </c>
    </row>
    <row r="59" spans="1:25" ht="13" thickBot="1">
      <c r="A59" s="435" t="s">
        <v>117</v>
      </c>
      <c r="B59" s="429">
        <f t="shared" ref="B59:X59" si="8">(C58+B58)*(C57-B57)/2</f>
        <v>0.155</v>
      </c>
      <c r="C59" s="430">
        <f t="shared" si="8"/>
        <v>5.32</v>
      </c>
      <c r="D59" s="430">
        <f t="shared" si="8"/>
        <v>4.6000000000000005</v>
      </c>
      <c r="E59" s="430">
        <f t="shared" si="8"/>
        <v>3.8999999999999995</v>
      </c>
      <c r="F59" s="430">
        <f t="shared" si="8"/>
        <v>3.3600000000000008</v>
      </c>
      <c r="G59" s="430">
        <f t="shared" si="8"/>
        <v>2.9600000000000004</v>
      </c>
      <c r="H59" s="430">
        <f t="shared" si="8"/>
        <v>2.2524999999999999</v>
      </c>
      <c r="I59" s="430">
        <f t="shared" si="8"/>
        <v>6.2499999999999188E-2</v>
      </c>
      <c r="J59" s="430">
        <f t="shared" si="8"/>
        <v>0</v>
      </c>
      <c r="K59" s="430">
        <f t="shared" si="8"/>
        <v>0</v>
      </c>
      <c r="L59" s="430">
        <f t="shared" si="8"/>
        <v>0</v>
      </c>
      <c r="M59" s="430">
        <f t="shared" si="8"/>
        <v>0</v>
      </c>
      <c r="N59" s="430">
        <f t="shared" si="8"/>
        <v>0</v>
      </c>
      <c r="O59" s="430">
        <f t="shared" si="8"/>
        <v>0</v>
      </c>
      <c r="P59" s="430">
        <f t="shared" si="8"/>
        <v>0</v>
      </c>
      <c r="Q59" s="430">
        <f t="shared" si="8"/>
        <v>0</v>
      </c>
      <c r="R59" s="430">
        <f t="shared" si="8"/>
        <v>0</v>
      </c>
      <c r="S59" s="430">
        <f t="shared" si="8"/>
        <v>0</v>
      </c>
      <c r="T59" s="430">
        <f t="shared" si="8"/>
        <v>0</v>
      </c>
      <c r="U59" s="430">
        <f t="shared" si="8"/>
        <v>0</v>
      </c>
      <c r="V59" s="430">
        <f t="shared" si="8"/>
        <v>0</v>
      </c>
      <c r="W59" s="430">
        <f t="shared" si="8"/>
        <v>0</v>
      </c>
      <c r="X59" s="430">
        <f t="shared" si="8"/>
        <v>0</v>
      </c>
      <c r="Y59" s="424"/>
    </row>
    <row r="60" spans="1:25" ht="13" thickBot="1">
      <c r="A60" s="17"/>
      <c r="L60" s="17"/>
      <c r="M60" s="17"/>
      <c r="N60" s="17"/>
      <c r="O60" s="17"/>
      <c r="P60" s="17"/>
      <c r="Q60" s="17"/>
      <c r="R60" s="17"/>
      <c r="S60" s="17"/>
      <c r="T60" s="17"/>
      <c r="U60" s="17"/>
      <c r="V60" s="17"/>
      <c r="W60" s="17"/>
      <c r="X60" s="17"/>
      <c r="Y60" s="17"/>
    </row>
    <row r="61" spans="1:25" ht="13.5" thickBot="1">
      <c r="A61" s="416" t="s">
        <v>283</v>
      </c>
      <c r="B61" s="414">
        <f>ROW(A61)</f>
        <v>61</v>
      </c>
      <c r="C61" s="418" t="s">
        <v>116</v>
      </c>
      <c r="D61" s="408">
        <f>SUM(B64:Y64)</f>
        <v>25.874000000000006</v>
      </c>
      <c r="E61" s="418" t="s">
        <v>115</v>
      </c>
      <c r="F61" s="460">
        <f>D61/g/J61</f>
        <v>2.6375127420998985</v>
      </c>
      <c r="G61" s="418" t="s">
        <v>57</v>
      </c>
      <c r="H61" s="86">
        <v>1.1000000000000001</v>
      </c>
      <c r="I61" s="418" t="s">
        <v>274</v>
      </c>
      <c r="J61" s="410">
        <f>H61-L61</f>
        <v>1</v>
      </c>
      <c r="K61" s="418" t="s">
        <v>275</v>
      </c>
      <c r="L61" s="86">
        <v>0.1</v>
      </c>
      <c r="M61" s="418" t="s">
        <v>58</v>
      </c>
      <c r="N61" s="87">
        <f>0.5*R61</f>
        <v>150</v>
      </c>
      <c r="O61" s="418" t="s">
        <v>60</v>
      </c>
      <c r="P61" s="87">
        <v>150</v>
      </c>
      <c r="Q61" s="418" t="s">
        <v>61</v>
      </c>
      <c r="R61" s="87">
        <v>300</v>
      </c>
      <c r="S61" s="418" t="s">
        <v>62</v>
      </c>
      <c r="T61" s="87">
        <v>98</v>
      </c>
      <c r="U61" s="418" t="s">
        <v>55</v>
      </c>
      <c r="V61" s="88" t="s">
        <v>279</v>
      </c>
      <c r="W61" s="17"/>
      <c r="X61" s="17"/>
      <c r="Y61" s="17"/>
    </row>
    <row r="62" spans="1:25">
      <c r="A62" s="417" t="s">
        <v>33</v>
      </c>
      <c r="B62" s="425">
        <v>0</v>
      </c>
      <c r="C62" s="426">
        <v>1E-3</v>
      </c>
      <c r="D62" s="426">
        <v>0.02</v>
      </c>
      <c r="E62" s="426">
        <v>0.04</v>
      </c>
      <c r="F62" s="426">
        <v>0.06</v>
      </c>
      <c r="G62" s="426">
        <v>0.08</v>
      </c>
      <c r="H62" s="426">
        <v>0.1</v>
      </c>
      <c r="I62" s="426">
        <v>0.12</v>
      </c>
      <c r="J62" s="426">
        <v>0.14000000000000001</v>
      </c>
      <c r="K62" s="426">
        <v>0.16400000000000001</v>
      </c>
      <c r="L62" s="426">
        <v>0.16500000000000001</v>
      </c>
      <c r="M62" s="426">
        <v>0.16500000000000001</v>
      </c>
      <c r="N62" s="426">
        <v>0.16500000000000001</v>
      </c>
      <c r="O62" s="426">
        <v>0.16500000000000001</v>
      </c>
      <c r="P62" s="426">
        <v>0.16500000000000001</v>
      </c>
      <c r="Q62" s="426">
        <v>0.16500000000000001</v>
      </c>
      <c r="R62" s="426">
        <v>0.16500000000000001</v>
      </c>
      <c r="S62" s="426">
        <v>0.16500000000000001</v>
      </c>
      <c r="T62" s="426">
        <v>0.16500000000000001</v>
      </c>
      <c r="U62" s="426">
        <v>0.16500000000000001</v>
      </c>
      <c r="V62" s="426">
        <v>0.16500000000000001</v>
      </c>
      <c r="W62" s="426">
        <v>0.16500000000000001</v>
      </c>
      <c r="X62" s="426">
        <v>0.16500000000000001</v>
      </c>
      <c r="Y62" s="437">
        <v>1000</v>
      </c>
    </row>
    <row r="63" spans="1:25">
      <c r="A63" s="434" t="s">
        <v>34</v>
      </c>
      <c r="B63" s="427">
        <v>0</v>
      </c>
      <c r="C63" s="428">
        <v>310</v>
      </c>
      <c r="D63" s="428">
        <v>245</v>
      </c>
      <c r="E63" s="428">
        <v>200</v>
      </c>
      <c r="F63" s="428">
        <v>165</v>
      </c>
      <c r="G63" s="428">
        <v>143</v>
      </c>
      <c r="H63" s="428">
        <v>124</v>
      </c>
      <c r="I63" s="428">
        <v>108</v>
      </c>
      <c r="J63" s="428">
        <v>97</v>
      </c>
      <c r="K63" s="428">
        <v>85</v>
      </c>
      <c r="L63" s="428">
        <v>0</v>
      </c>
      <c r="M63" s="428">
        <v>0</v>
      </c>
      <c r="N63" s="428">
        <v>0</v>
      </c>
      <c r="O63" s="428">
        <v>0</v>
      </c>
      <c r="P63" s="428">
        <v>0</v>
      </c>
      <c r="Q63" s="428">
        <v>0</v>
      </c>
      <c r="R63" s="428">
        <v>0</v>
      </c>
      <c r="S63" s="428">
        <v>0</v>
      </c>
      <c r="T63" s="428">
        <v>0</v>
      </c>
      <c r="U63" s="428">
        <v>0</v>
      </c>
      <c r="V63" s="428">
        <v>0</v>
      </c>
      <c r="W63" s="428">
        <v>0</v>
      </c>
      <c r="X63" s="428">
        <v>0</v>
      </c>
      <c r="Y63" s="438">
        <v>0</v>
      </c>
    </row>
    <row r="64" spans="1:25" ht="13" thickBot="1">
      <c r="A64" s="435" t="s">
        <v>117</v>
      </c>
      <c r="B64" s="429">
        <f t="shared" ref="B64:X64" si="9">(C63+B63)*(C62-B62)/2</f>
        <v>0.155</v>
      </c>
      <c r="C64" s="430">
        <f t="shared" si="9"/>
        <v>5.2725</v>
      </c>
      <c r="D64" s="430">
        <f t="shared" si="9"/>
        <v>4.45</v>
      </c>
      <c r="E64" s="430">
        <f t="shared" si="9"/>
        <v>3.6499999999999995</v>
      </c>
      <c r="F64" s="430">
        <f t="shared" si="9"/>
        <v>3.0800000000000005</v>
      </c>
      <c r="G64" s="430">
        <f t="shared" si="9"/>
        <v>2.6700000000000004</v>
      </c>
      <c r="H64" s="430">
        <f t="shared" si="9"/>
        <v>2.319999999999999</v>
      </c>
      <c r="I64" s="430">
        <f t="shared" si="9"/>
        <v>2.0500000000000016</v>
      </c>
      <c r="J64" s="430">
        <f t="shared" si="9"/>
        <v>2.1839999999999993</v>
      </c>
      <c r="K64" s="430">
        <f t="shared" si="9"/>
        <v>4.2500000000000038E-2</v>
      </c>
      <c r="L64" s="430">
        <f t="shared" si="9"/>
        <v>0</v>
      </c>
      <c r="M64" s="430">
        <f t="shared" si="9"/>
        <v>0</v>
      </c>
      <c r="N64" s="430">
        <f t="shared" si="9"/>
        <v>0</v>
      </c>
      <c r="O64" s="430">
        <f t="shared" si="9"/>
        <v>0</v>
      </c>
      <c r="P64" s="430">
        <f t="shared" si="9"/>
        <v>0</v>
      </c>
      <c r="Q64" s="430">
        <f t="shared" si="9"/>
        <v>0</v>
      </c>
      <c r="R64" s="430">
        <f t="shared" si="9"/>
        <v>0</v>
      </c>
      <c r="S64" s="430">
        <f t="shared" si="9"/>
        <v>0</v>
      </c>
      <c r="T64" s="430">
        <f t="shared" si="9"/>
        <v>0</v>
      </c>
      <c r="U64" s="430">
        <f t="shared" si="9"/>
        <v>0</v>
      </c>
      <c r="V64" s="430">
        <f t="shared" si="9"/>
        <v>0</v>
      </c>
      <c r="W64" s="430">
        <f t="shared" si="9"/>
        <v>0</v>
      </c>
      <c r="X64" s="430">
        <f t="shared" si="9"/>
        <v>0</v>
      </c>
      <c r="Y64" s="424"/>
    </row>
    <row r="66" spans="1:26" ht="13.5" thickBot="1">
      <c r="A66" s="492" t="s">
        <v>184</v>
      </c>
    </row>
    <row r="67" spans="1:26" ht="13.5" thickBot="1">
      <c r="A67" s="416" t="s">
        <v>112</v>
      </c>
      <c r="B67" s="414">
        <f>ROW(A67)</f>
        <v>67</v>
      </c>
      <c r="C67" s="418" t="s">
        <v>116</v>
      </c>
      <c r="D67" s="408">
        <f>SUM(B70:Y70)</f>
        <v>2.65</v>
      </c>
      <c r="E67" s="418" t="s">
        <v>115</v>
      </c>
      <c r="F67" s="409">
        <f>D67/g/J67</f>
        <v>54.026503567787969</v>
      </c>
      <c r="G67" s="418" t="s">
        <v>57</v>
      </c>
      <c r="H67" s="86">
        <v>1.4999999999999999E-2</v>
      </c>
      <c r="I67" s="418" t="s">
        <v>274</v>
      </c>
      <c r="J67" s="410">
        <f>H67-L67</f>
        <v>4.9999999999999992E-3</v>
      </c>
      <c r="K67" s="418" t="s">
        <v>275</v>
      </c>
      <c r="L67" s="86">
        <v>0.01</v>
      </c>
      <c r="M67" s="418" t="s">
        <v>58</v>
      </c>
      <c r="N67" s="87">
        <v>30</v>
      </c>
      <c r="O67" s="418" t="s">
        <v>60</v>
      </c>
      <c r="P67" s="87">
        <v>30</v>
      </c>
      <c r="Q67" s="418" t="s">
        <v>61</v>
      </c>
      <c r="R67" s="87">
        <v>70</v>
      </c>
      <c r="S67" s="418" t="s">
        <v>62</v>
      </c>
      <c r="T67" s="87">
        <v>15</v>
      </c>
      <c r="U67" s="418" t="s">
        <v>55</v>
      </c>
      <c r="V67" s="88" t="s">
        <v>118</v>
      </c>
      <c r="W67" s="547" t="s">
        <v>398</v>
      </c>
      <c r="X67" s="549">
        <v>0.32</v>
      </c>
      <c r="Y67" s="547" t="s">
        <v>397</v>
      </c>
      <c r="Z67" s="413">
        <v>3</v>
      </c>
    </row>
    <row r="68" spans="1:26">
      <c r="A68" s="417" t="s">
        <v>33</v>
      </c>
      <c r="B68" s="425">
        <v>0</v>
      </c>
      <c r="C68" s="426">
        <v>0.2</v>
      </c>
      <c r="D68" s="426">
        <v>0.3</v>
      </c>
      <c r="E68" s="426">
        <v>0.4</v>
      </c>
      <c r="F68" s="426">
        <v>0.5</v>
      </c>
      <c r="G68" s="426">
        <v>0.55000000000000004</v>
      </c>
      <c r="H68" s="426">
        <v>0.6</v>
      </c>
      <c r="I68" s="426">
        <v>0.6</v>
      </c>
      <c r="J68" s="426">
        <v>0.6</v>
      </c>
      <c r="K68" s="426">
        <v>0.6</v>
      </c>
      <c r="L68" s="426">
        <v>0.6</v>
      </c>
      <c r="M68" s="426">
        <v>0.6</v>
      </c>
      <c r="N68" s="426">
        <v>0.6</v>
      </c>
      <c r="O68" s="426">
        <v>0.6</v>
      </c>
      <c r="P68" s="426">
        <v>0.6</v>
      </c>
      <c r="Q68" s="426">
        <v>0.6</v>
      </c>
      <c r="R68" s="426">
        <v>0.6</v>
      </c>
      <c r="S68" s="426">
        <v>0.6</v>
      </c>
      <c r="T68" s="426">
        <v>0.6</v>
      </c>
      <c r="U68" s="426">
        <v>0.6</v>
      </c>
      <c r="V68" s="426">
        <v>0.6</v>
      </c>
      <c r="W68" s="426">
        <v>0.6</v>
      </c>
      <c r="X68" s="426">
        <v>0.6</v>
      </c>
      <c r="Y68" s="437">
        <v>1000</v>
      </c>
    </row>
    <row r="69" spans="1:26">
      <c r="A69" s="434" t="s">
        <v>34</v>
      </c>
      <c r="B69" s="427">
        <v>0</v>
      </c>
      <c r="C69" s="428">
        <v>9</v>
      </c>
      <c r="D69" s="428">
        <v>4.5</v>
      </c>
      <c r="E69" s="428">
        <v>4</v>
      </c>
      <c r="F69" s="428">
        <v>4</v>
      </c>
      <c r="G69" s="428">
        <v>3</v>
      </c>
      <c r="H69" s="428">
        <v>0</v>
      </c>
      <c r="I69" s="428">
        <v>0</v>
      </c>
      <c r="J69" s="428">
        <v>0</v>
      </c>
      <c r="K69" s="428">
        <v>0</v>
      </c>
      <c r="L69" s="428">
        <v>0</v>
      </c>
      <c r="M69" s="428">
        <v>0</v>
      </c>
      <c r="N69" s="428">
        <v>0</v>
      </c>
      <c r="O69" s="428">
        <v>0</v>
      </c>
      <c r="P69" s="428">
        <v>0</v>
      </c>
      <c r="Q69" s="428">
        <v>0</v>
      </c>
      <c r="R69" s="428">
        <v>0</v>
      </c>
      <c r="S69" s="428">
        <v>0</v>
      </c>
      <c r="T69" s="428">
        <v>0</v>
      </c>
      <c r="U69" s="428">
        <v>0</v>
      </c>
      <c r="V69" s="428">
        <v>0</v>
      </c>
      <c r="W69" s="428">
        <v>0</v>
      </c>
      <c r="X69" s="428">
        <v>0</v>
      </c>
      <c r="Y69" s="438">
        <v>0</v>
      </c>
    </row>
    <row r="70" spans="1:26" ht="13" thickBot="1">
      <c r="A70" s="435" t="s">
        <v>117</v>
      </c>
      <c r="B70" s="429">
        <f t="shared" ref="B70:X70" si="10">(C69+B69)*(C68-B68)/2</f>
        <v>0.9</v>
      </c>
      <c r="C70" s="430">
        <f t="shared" si="10"/>
        <v>0.67499999999999982</v>
      </c>
      <c r="D70" s="430">
        <f t="shared" si="10"/>
        <v>0.42500000000000016</v>
      </c>
      <c r="E70" s="430">
        <f t="shared" si="10"/>
        <v>0.39999999999999991</v>
      </c>
      <c r="F70" s="430">
        <f t="shared" si="10"/>
        <v>0.17500000000000016</v>
      </c>
      <c r="G70" s="430">
        <f t="shared" si="10"/>
        <v>7.49999999999999E-2</v>
      </c>
      <c r="H70" s="430">
        <f t="shared" si="10"/>
        <v>0</v>
      </c>
      <c r="I70" s="430">
        <f t="shared" si="10"/>
        <v>0</v>
      </c>
      <c r="J70" s="430">
        <f t="shared" si="10"/>
        <v>0</v>
      </c>
      <c r="K70" s="430">
        <f t="shared" si="10"/>
        <v>0</v>
      </c>
      <c r="L70" s="430">
        <f t="shared" si="10"/>
        <v>0</v>
      </c>
      <c r="M70" s="430">
        <f t="shared" si="10"/>
        <v>0</v>
      </c>
      <c r="N70" s="430">
        <f t="shared" si="10"/>
        <v>0</v>
      </c>
      <c r="O70" s="430">
        <f t="shared" si="10"/>
        <v>0</v>
      </c>
      <c r="P70" s="430">
        <f t="shared" si="10"/>
        <v>0</v>
      </c>
      <c r="Q70" s="430">
        <f t="shared" si="10"/>
        <v>0</v>
      </c>
      <c r="R70" s="430">
        <f t="shared" si="10"/>
        <v>0</v>
      </c>
      <c r="S70" s="430">
        <f t="shared" si="10"/>
        <v>0</v>
      </c>
      <c r="T70" s="430">
        <f t="shared" si="10"/>
        <v>0</v>
      </c>
      <c r="U70" s="430">
        <f t="shared" si="10"/>
        <v>0</v>
      </c>
      <c r="V70" s="430">
        <f t="shared" si="10"/>
        <v>0</v>
      </c>
      <c r="W70" s="430">
        <f t="shared" si="10"/>
        <v>0</v>
      </c>
      <c r="X70" s="430">
        <f t="shared" si="10"/>
        <v>0</v>
      </c>
      <c r="Y70" s="424"/>
    </row>
    <row r="71" spans="1:26" ht="13" thickBot="1">
      <c r="A71" s="17"/>
      <c r="L71" s="17"/>
      <c r="M71" s="17"/>
      <c r="N71" s="17"/>
      <c r="O71" s="17"/>
      <c r="P71" s="17"/>
      <c r="Q71" s="17"/>
      <c r="R71" s="17"/>
      <c r="S71" s="17"/>
      <c r="T71" s="17"/>
      <c r="U71" s="17"/>
      <c r="V71" s="17"/>
      <c r="W71" s="17"/>
      <c r="X71" s="17"/>
      <c r="Y71" s="17"/>
    </row>
    <row r="72" spans="1:26" ht="13.5" thickBot="1">
      <c r="A72" s="416" t="s">
        <v>113</v>
      </c>
      <c r="B72" s="414">
        <f>ROW(A72)</f>
        <v>72</v>
      </c>
      <c r="C72" s="418" t="s">
        <v>116</v>
      </c>
      <c r="D72" s="408">
        <f>SUM(B75:Y75)</f>
        <v>5.25</v>
      </c>
      <c r="E72" s="418" t="s">
        <v>115</v>
      </c>
      <c r="F72" s="409">
        <f>D72/g/J72</f>
        <v>89.1946992864424</v>
      </c>
      <c r="G72" s="418" t="s">
        <v>57</v>
      </c>
      <c r="H72" s="86">
        <v>0.02</v>
      </c>
      <c r="I72" s="418" t="s">
        <v>274</v>
      </c>
      <c r="J72" s="410">
        <f>H72-L72</f>
        <v>6.0000000000000001E-3</v>
      </c>
      <c r="K72" s="418" t="s">
        <v>275</v>
      </c>
      <c r="L72" s="86">
        <v>1.4E-2</v>
      </c>
      <c r="M72" s="418" t="s">
        <v>58</v>
      </c>
      <c r="N72" s="87">
        <v>30</v>
      </c>
      <c r="O72" s="418" t="s">
        <v>60</v>
      </c>
      <c r="P72" s="87">
        <v>30</v>
      </c>
      <c r="Q72" s="418" t="s">
        <v>61</v>
      </c>
      <c r="R72" s="87">
        <v>70</v>
      </c>
      <c r="S72" s="418" t="s">
        <v>62</v>
      </c>
      <c r="T72" s="87">
        <v>15</v>
      </c>
      <c r="U72" s="418" t="s">
        <v>55</v>
      </c>
      <c r="V72" s="88" t="s">
        <v>118</v>
      </c>
      <c r="W72" s="547" t="s">
        <v>398</v>
      </c>
      <c r="X72" s="549">
        <v>1.2</v>
      </c>
      <c r="Y72" s="547" t="s">
        <v>397</v>
      </c>
      <c r="Z72" s="413">
        <v>4</v>
      </c>
    </row>
    <row r="73" spans="1:26">
      <c r="A73" s="417" t="s">
        <v>33</v>
      </c>
      <c r="B73" s="425">
        <v>0</v>
      </c>
      <c r="C73" s="426">
        <v>0.2</v>
      </c>
      <c r="D73" s="426">
        <v>0.3</v>
      </c>
      <c r="E73" s="426">
        <v>0.55000000000000004</v>
      </c>
      <c r="F73" s="426">
        <v>1.05</v>
      </c>
      <c r="G73" s="426">
        <v>1.1499999999999999</v>
      </c>
      <c r="H73" s="426">
        <v>1.1499999999999999</v>
      </c>
      <c r="I73" s="426">
        <v>1.1499999999999999</v>
      </c>
      <c r="J73" s="426">
        <v>1.1499999999999999</v>
      </c>
      <c r="K73" s="426">
        <v>1.1499999999999999</v>
      </c>
      <c r="L73" s="426">
        <v>1.1499999999999999</v>
      </c>
      <c r="M73" s="426">
        <v>1.1499999999999999</v>
      </c>
      <c r="N73" s="426">
        <v>1.1499999999999999</v>
      </c>
      <c r="O73" s="426">
        <v>1.1499999999999999</v>
      </c>
      <c r="P73" s="426">
        <v>1.1499999999999999</v>
      </c>
      <c r="Q73" s="426">
        <v>1.1499999999999999</v>
      </c>
      <c r="R73" s="426">
        <v>1.1499999999999999</v>
      </c>
      <c r="S73" s="426">
        <v>1.1499999999999999</v>
      </c>
      <c r="T73" s="426">
        <v>1.1499999999999999</v>
      </c>
      <c r="U73" s="426">
        <v>1.1499999999999999</v>
      </c>
      <c r="V73" s="426">
        <v>1.1499999999999999</v>
      </c>
      <c r="W73" s="426">
        <v>1.1499999999999999</v>
      </c>
      <c r="X73" s="426">
        <v>1.1499999999999999</v>
      </c>
      <c r="Y73" s="437">
        <v>1000</v>
      </c>
    </row>
    <row r="74" spans="1:26">
      <c r="A74" s="434" t="s">
        <v>34</v>
      </c>
      <c r="B74" s="427">
        <v>0</v>
      </c>
      <c r="C74" s="428">
        <v>10</v>
      </c>
      <c r="D74" s="428">
        <v>6</v>
      </c>
      <c r="E74" s="428">
        <v>4</v>
      </c>
      <c r="F74" s="428">
        <v>4</v>
      </c>
      <c r="G74" s="428">
        <v>0</v>
      </c>
      <c r="H74" s="428">
        <v>0</v>
      </c>
      <c r="I74" s="428">
        <v>0</v>
      </c>
      <c r="J74" s="428">
        <v>0</v>
      </c>
      <c r="K74" s="428">
        <v>0</v>
      </c>
      <c r="L74" s="428">
        <v>0</v>
      </c>
      <c r="M74" s="428">
        <v>0</v>
      </c>
      <c r="N74" s="428">
        <v>0</v>
      </c>
      <c r="O74" s="428">
        <v>0</v>
      </c>
      <c r="P74" s="428">
        <v>0</v>
      </c>
      <c r="Q74" s="428">
        <v>0</v>
      </c>
      <c r="R74" s="428">
        <v>0</v>
      </c>
      <c r="S74" s="428">
        <v>0</v>
      </c>
      <c r="T74" s="428">
        <v>0</v>
      </c>
      <c r="U74" s="428">
        <v>0</v>
      </c>
      <c r="V74" s="428">
        <v>0</v>
      </c>
      <c r="W74" s="428">
        <v>0</v>
      </c>
      <c r="X74" s="428">
        <v>0</v>
      </c>
      <c r="Y74" s="438">
        <v>0</v>
      </c>
    </row>
    <row r="75" spans="1:26" ht="13" thickBot="1">
      <c r="A75" s="435" t="s">
        <v>117</v>
      </c>
      <c r="B75" s="429">
        <f t="shared" ref="B75:V75" si="11">(C74+B74)*(C73-B73)/2</f>
        <v>1</v>
      </c>
      <c r="C75" s="430">
        <f t="shared" si="11"/>
        <v>0.79999999999999982</v>
      </c>
      <c r="D75" s="430">
        <f t="shared" si="11"/>
        <v>1.2500000000000002</v>
      </c>
      <c r="E75" s="430">
        <f t="shared" si="11"/>
        <v>2</v>
      </c>
      <c r="F75" s="430">
        <f t="shared" si="11"/>
        <v>0.19999999999999973</v>
      </c>
      <c r="G75" s="430">
        <f t="shared" si="11"/>
        <v>0</v>
      </c>
      <c r="H75" s="430">
        <f t="shared" si="11"/>
        <v>0</v>
      </c>
      <c r="I75" s="430">
        <f t="shared" si="11"/>
        <v>0</v>
      </c>
      <c r="J75" s="430">
        <f>(K74+J74)*(K73-J73)/2</f>
        <v>0</v>
      </c>
      <c r="K75" s="430">
        <f t="shared" si="11"/>
        <v>0</v>
      </c>
      <c r="L75" s="430">
        <f t="shared" si="11"/>
        <v>0</v>
      </c>
      <c r="M75" s="430">
        <f t="shared" si="11"/>
        <v>0</v>
      </c>
      <c r="N75" s="430">
        <f t="shared" si="11"/>
        <v>0</v>
      </c>
      <c r="O75" s="430">
        <f t="shared" si="11"/>
        <v>0</v>
      </c>
      <c r="P75" s="430">
        <f t="shared" si="11"/>
        <v>0</v>
      </c>
      <c r="Q75" s="430">
        <f t="shared" si="11"/>
        <v>0</v>
      </c>
      <c r="R75" s="430">
        <f t="shared" si="11"/>
        <v>0</v>
      </c>
      <c r="S75" s="430">
        <f>(T74+S74)*(T73-S73)/2</f>
        <v>0</v>
      </c>
      <c r="T75" s="430">
        <f t="shared" si="11"/>
        <v>0</v>
      </c>
      <c r="U75" s="430">
        <f t="shared" si="11"/>
        <v>0</v>
      </c>
      <c r="V75" s="430">
        <f t="shared" si="11"/>
        <v>0</v>
      </c>
      <c r="W75" s="430">
        <f>(X74+W74)*(X73-W73)/2</f>
        <v>0</v>
      </c>
      <c r="X75" s="430">
        <f>(Y74+X74)*(Y73-X73)/2</f>
        <v>0</v>
      </c>
      <c r="Y75" s="424"/>
    </row>
    <row r="76" spans="1:26" ht="13" thickBot="1">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6" ht="13.5" thickBot="1">
      <c r="A77" s="416" t="s">
        <v>114</v>
      </c>
      <c r="B77" s="414">
        <f>ROW(A77)</f>
        <v>77</v>
      </c>
      <c r="C77" s="418" t="s">
        <v>116</v>
      </c>
      <c r="D77" s="408">
        <f>SUM(B80:Y80)</f>
        <v>10.26</v>
      </c>
      <c r="E77" s="418" t="s">
        <v>115</v>
      </c>
      <c r="F77" s="409">
        <f>D77/g/J77</f>
        <v>80.451658433309802</v>
      </c>
      <c r="G77" s="418" t="s">
        <v>57</v>
      </c>
      <c r="H77" s="86">
        <v>2.4E-2</v>
      </c>
      <c r="I77" s="418" t="s">
        <v>274</v>
      </c>
      <c r="J77" s="410">
        <f>H77-L77</f>
        <v>1.3000000000000001E-2</v>
      </c>
      <c r="K77" s="418" t="s">
        <v>275</v>
      </c>
      <c r="L77" s="86">
        <v>1.0999999999999999E-2</v>
      </c>
      <c r="M77" s="418" t="s">
        <v>58</v>
      </c>
      <c r="N77" s="87">
        <v>30</v>
      </c>
      <c r="O77" s="418" t="s">
        <v>60</v>
      </c>
      <c r="P77" s="87">
        <v>30</v>
      </c>
      <c r="Q77" s="418" t="s">
        <v>61</v>
      </c>
      <c r="R77" s="87">
        <v>70</v>
      </c>
      <c r="S77" s="418" t="s">
        <v>62</v>
      </c>
      <c r="T77" s="87">
        <v>15</v>
      </c>
      <c r="U77" s="418" t="s">
        <v>55</v>
      </c>
      <c r="V77" s="88" t="s">
        <v>118</v>
      </c>
      <c r="W77" s="547" t="s">
        <v>398</v>
      </c>
      <c r="X77" s="549">
        <v>1.7</v>
      </c>
      <c r="Y77" s="547" t="s">
        <v>397</v>
      </c>
      <c r="Z77" s="413">
        <v>3</v>
      </c>
    </row>
    <row r="78" spans="1:26">
      <c r="A78" s="417" t="s">
        <v>33</v>
      </c>
      <c r="B78" s="425">
        <v>0</v>
      </c>
      <c r="C78" s="426">
        <v>0.2</v>
      </c>
      <c r="D78" s="426">
        <v>0.3</v>
      </c>
      <c r="E78" s="426">
        <v>0.6</v>
      </c>
      <c r="F78" s="426">
        <v>0.8</v>
      </c>
      <c r="G78" s="426">
        <v>2</v>
      </c>
      <c r="H78" s="426">
        <v>2.1</v>
      </c>
      <c r="I78" s="426">
        <v>2.1</v>
      </c>
      <c r="J78" s="426">
        <v>2.1</v>
      </c>
      <c r="K78" s="426">
        <v>2.1</v>
      </c>
      <c r="L78" s="426">
        <v>2.1</v>
      </c>
      <c r="M78" s="426">
        <v>2.1</v>
      </c>
      <c r="N78" s="426">
        <v>2.1</v>
      </c>
      <c r="O78" s="426">
        <v>2.1</v>
      </c>
      <c r="P78" s="426">
        <v>2.1</v>
      </c>
      <c r="Q78" s="426">
        <v>2.1</v>
      </c>
      <c r="R78" s="426">
        <v>2.1</v>
      </c>
      <c r="S78" s="426">
        <v>2.1</v>
      </c>
      <c r="T78" s="426">
        <v>2.1</v>
      </c>
      <c r="U78" s="426">
        <v>2.1</v>
      </c>
      <c r="V78" s="426">
        <v>2.1</v>
      </c>
      <c r="W78" s="426">
        <v>2.1</v>
      </c>
      <c r="X78" s="426">
        <v>2.1</v>
      </c>
      <c r="Y78" s="437">
        <v>1000</v>
      </c>
    </row>
    <row r="79" spans="1:26">
      <c r="A79" s="434" t="s">
        <v>34</v>
      </c>
      <c r="B79" s="427">
        <v>0</v>
      </c>
      <c r="C79" s="428">
        <v>11</v>
      </c>
      <c r="D79" s="428">
        <v>7</v>
      </c>
      <c r="E79" s="428">
        <v>4</v>
      </c>
      <c r="F79" s="428">
        <v>4.5999999999999996</v>
      </c>
      <c r="G79" s="428">
        <v>4.5999999999999996</v>
      </c>
      <c r="H79" s="428">
        <v>0</v>
      </c>
      <c r="I79" s="428">
        <v>0</v>
      </c>
      <c r="J79" s="428">
        <v>0</v>
      </c>
      <c r="K79" s="428">
        <v>0</v>
      </c>
      <c r="L79" s="428">
        <v>0</v>
      </c>
      <c r="M79" s="428">
        <v>0</v>
      </c>
      <c r="N79" s="428">
        <v>0</v>
      </c>
      <c r="O79" s="428">
        <v>0</v>
      </c>
      <c r="P79" s="428">
        <v>0</v>
      </c>
      <c r="Q79" s="428">
        <v>0</v>
      </c>
      <c r="R79" s="428">
        <v>0</v>
      </c>
      <c r="S79" s="428">
        <v>0</v>
      </c>
      <c r="T79" s="428">
        <v>0</v>
      </c>
      <c r="U79" s="428">
        <v>0</v>
      </c>
      <c r="V79" s="428">
        <v>0</v>
      </c>
      <c r="W79" s="428">
        <v>0</v>
      </c>
      <c r="X79" s="428">
        <v>0</v>
      </c>
      <c r="Y79" s="438">
        <v>0</v>
      </c>
    </row>
    <row r="80" spans="1:26" ht="13" thickBot="1">
      <c r="A80" s="435" t="s">
        <v>117</v>
      </c>
      <c r="B80" s="429">
        <f t="shared" ref="B80:G80" si="12">(C79+B79)*(C78-B78)/2</f>
        <v>1.1000000000000001</v>
      </c>
      <c r="C80" s="430">
        <f t="shared" si="12"/>
        <v>0.8999999999999998</v>
      </c>
      <c r="D80" s="430">
        <f t="shared" si="12"/>
        <v>1.65</v>
      </c>
      <c r="E80" s="430">
        <f t="shared" si="12"/>
        <v>0.86000000000000021</v>
      </c>
      <c r="F80" s="430">
        <f t="shared" si="12"/>
        <v>5.52</v>
      </c>
      <c r="G80" s="430">
        <f t="shared" si="12"/>
        <v>0.23000000000000018</v>
      </c>
      <c r="H80" s="430">
        <f t="shared" ref="H80:V80" si="13">(I79+H79)*(I78-H78)/2</f>
        <v>0</v>
      </c>
      <c r="I80" s="430">
        <f t="shared" si="13"/>
        <v>0</v>
      </c>
      <c r="J80" s="430">
        <f>(K79+J79)*(K78-J78)/2</f>
        <v>0</v>
      </c>
      <c r="K80" s="430">
        <f t="shared" si="13"/>
        <v>0</v>
      </c>
      <c r="L80" s="430">
        <f t="shared" si="13"/>
        <v>0</v>
      </c>
      <c r="M80" s="430">
        <f t="shared" si="13"/>
        <v>0</v>
      </c>
      <c r="N80" s="430">
        <f t="shared" si="13"/>
        <v>0</v>
      </c>
      <c r="O80" s="430">
        <f t="shared" si="13"/>
        <v>0</v>
      </c>
      <c r="P80" s="430">
        <f t="shared" si="13"/>
        <v>0</v>
      </c>
      <c r="Q80" s="430">
        <f t="shared" si="13"/>
        <v>0</v>
      </c>
      <c r="R80" s="430">
        <f t="shared" si="13"/>
        <v>0</v>
      </c>
      <c r="S80" s="430">
        <f>(T79+S79)*(T78-S78)/2</f>
        <v>0</v>
      </c>
      <c r="T80" s="430">
        <f t="shared" si="13"/>
        <v>0</v>
      </c>
      <c r="U80" s="430">
        <f t="shared" si="13"/>
        <v>0</v>
      </c>
      <c r="V80" s="430">
        <f t="shared" si="13"/>
        <v>0</v>
      </c>
      <c r="W80" s="430">
        <f>(X79+W79)*(X78-W78)/2</f>
        <v>0</v>
      </c>
      <c r="X80" s="430">
        <f>(Y79+X79)*(Y78-X78)/2</f>
        <v>0</v>
      </c>
      <c r="Y80" s="424"/>
    </row>
    <row r="81" spans="1:26" ht="13" thickBot="1">
      <c r="A81" s="17"/>
      <c r="L81" s="17"/>
      <c r="M81" s="17"/>
      <c r="N81" s="17"/>
      <c r="O81" s="17"/>
      <c r="P81" s="17"/>
      <c r="Q81" s="17"/>
      <c r="R81" s="17"/>
      <c r="S81" s="17"/>
      <c r="T81" s="17"/>
      <c r="U81" s="17"/>
      <c r="V81" s="17"/>
      <c r="W81" s="17"/>
      <c r="X81" s="17"/>
      <c r="Y81" s="17"/>
    </row>
    <row r="82" spans="1:26" ht="13.5" thickBot="1">
      <c r="A82" s="416" t="s">
        <v>333</v>
      </c>
      <c r="B82" s="414">
        <f>ROW(A82)</f>
        <v>82</v>
      </c>
      <c r="C82" s="418" t="s">
        <v>116</v>
      </c>
      <c r="D82" s="408">
        <f>SUM(B85:Y85)</f>
        <v>20.52</v>
      </c>
      <c r="E82" s="418" t="s">
        <v>115</v>
      </c>
      <c r="F82" s="409">
        <f>D82/g/J82</f>
        <v>80.451658433309802</v>
      </c>
      <c r="G82" s="418" t="s">
        <v>57</v>
      </c>
      <c r="H82" s="86">
        <f>H77*2</f>
        <v>4.8000000000000001E-2</v>
      </c>
      <c r="I82" s="418" t="s">
        <v>274</v>
      </c>
      <c r="J82" s="410">
        <f>H82-L82</f>
        <v>2.6000000000000002E-2</v>
      </c>
      <c r="K82" s="418" t="s">
        <v>275</v>
      </c>
      <c r="L82" s="86">
        <f>L77*2</f>
        <v>2.1999999999999999E-2</v>
      </c>
      <c r="M82" s="418" t="s">
        <v>58</v>
      </c>
      <c r="N82" s="87">
        <v>30</v>
      </c>
      <c r="O82" s="418" t="s">
        <v>60</v>
      </c>
      <c r="P82" s="87">
        <v>30</v>
      </c>
      <c r="Q82" s="418" t="s">
        <v>61</v>
      </c>
      <c r="R82" s="87">
        <v>70</v>
      </c>
      <c r="S82" s="418" t="s">
        <v>62</v>
      </c>
      <c r="T82" s="87">
        <v>30</v>
      </c>
      <c r="U82" s="418" t="s">
        <v>55</v>
      </c>
      <c r="V82" s="88" t="s">
        <v>118</v>
      </c>
      <c r="W82" s="547" t="s">
        <v>398</v>
      </c>
      <c r="X82" s="549">
        <v>1.7</v>
      </c>
      <c r="Y82" s="547" t="s">
        <v>397</v>
      </c>
      <c r="Z82" s="413">
        <v>3</v>
      </c>
    </row>
    <row r="83" spans="1:26">
      <c r="A83" s="417" t="s">
        <v>33</v>
      </c>
      <c r="B83" s="425">
        <v>0</v>
      </c>
      <c r="C83" s="426">
        <v>0.2</v>
      </c>
      <c r="D83" s="426">
        <v>0.3</v>
      </c>
      <c r="E83" s="426">
        <v>0.6</v>
      </c>
      <c r="F83" s="426">
        <v>0.8</v>
      </c>
      <c r="G83" s="426">
        <v>2</v>
      </c>
      <c r="H83" s="426">
        <v>2.1</v>
      </c>
      <c r="I83" s="426">
        <v>2.1</v>
      </c>
      <c r="J83" s="426">
        <v>2.1</v>
      </c>
      <c r="K83" s="426">
        <v>2.1</v>
      </c>
      <c r="L83" s="426">
        <v>2.1</v>
      </c>
      <c r="M83" s="426">
        <v>2.1</v>
      </c>
      <c r="N83" s="426">
        <v>2.1</v>
      </c>
      <c r="O83" s="426">
        <v>2.1</v>
      </c>
      <c r="P83" s="426">
        <v>2.1</v>
      </c>
      <c r="Q83" s="426">
        <v>2.1</v>
      </c>
      <c r="R83" s="426">
        <v>2.1</v>
      </c>
      <c r="S83" s="426">
        <v>2.1</v>
      </c>
      <c r="T83" s="426">
        <v>2.1</v>
      </c>
      <c r="U83" s="426">
        <v>2.1</v>
      </c>
      <c r="V83" s="426">
        <v>2.1</v>
      </c>
      <c r="W83" s="426">
        <v>2.1</v>
      </c>
      <c r="X83" s="426">
        <v>2.1</v>
      </c>
      <c r="Y83" s="437">
        <v>1000</v>
      </c>
    </row>
    <row r="84" spans="1:26">
      <c r="A84" s="434" t="s">
        <v>34</v>
      </c>
      <c r="B84" s="427">
        <f>B79*2</f>
        <v>0</v>
      </c>
      <c r="C84" s="428">
        <f t="shared" ref="C84:X84" si="14">C79*2</f>
        <v>22</v>
      </c>
      <c r="D84" s="428">
        <f t="shared" si="14"/>
        <v>14</v>
      </c>
      <c r="E84" s="428">
        <f t="shared" si="14"/>
        <v>8</v>
      </c>
      <c r="F84" s="428">
        <f t="shared" si="14"/>
        <v>9.1999999999999993</v>
      </c>
      <c r="G84" s="428">
        <f t="shared" si="14"/>
        <v>9.1999999999999993</v>
      </c>
      <c r="H84" s="428">
        <f t="shared" si="14"/>
        <v>0</v>
      </c>
      <c r="I84" s="428">
        <f t="shared" si="14"/>
        <v>0</v>
      </c>
      <c r="J84" s="428">
        <f t="shared" si="14"/>
        <v>0</v>
      </c>
      <c r="K84" s="428">
        <f t="shared" si="14"/>
        <v>0</v>
      </c>
      <c r="L84" s="428">
        <f t="shared" si="14"/>
        <v>0</v>
      </c>
      <c r="M84" s="428">
        <f t="shared" si="14"/>
        <v>0</v>
      </c>
      <c r="N84" s="428">
        <f t="shared" si="14"/>
        <v>0</v>
      </c>
      <c r="O84" s="428">
        <f t="shared" si="14"/>
        <v>0</v>
      </c>
      <c r="P84" s="428">
        <f t="shared" si="14"/>
        <v>0</v>
      </c>
      <c r="Q84" s="428">
        <f t="shared" si="14"/>
        <v>0</v>
      </c>
      <c r="R84" s="428">
        <f t="shared" si="14"/>
        <v>0</v>
      </c>
      <c r="S84" s="428">
        <f t="shared" si="14"/>
        <v>0</v>
      </c>
      <c r="T84" s="428">
        <f t="shared" si="14"/>
        <v>0</v>
      </c>
      <c r="U84" s="428">
        <f t="shared" si="14"/>
        <v>0</v>
      </c>
      <c r="V84" s="428">
        <f t="shared" si="14"/>
        <v>0</v>
      </c>
      <c r="W84" s="428">
        <f t="shared" si="14"/>
        <v>0</v>
      </c>
      <c r="X84" s="428">
        <f t="shared" si="14"/>
        <v>0</v>
      </c>
      <c r="Y84" s="438">
        <v>0</v>
      </c>
    </row>
    <row r="85" spans="1:26" ht="13" thickBot="1">
      <c r="A85" s="435" t="s">
        <v>117</v>
      </c>
      <c r="B85" s="429">
        <f t="shared" ref="B85:X85" si="15">(C84+B84)*(C83-B83)/2</f>
        <v>2.2000000000000002</v>
      </c>
      <c r="C85" s="430">
        <f t="shared" si="15"/>
        <v>1.7999999999999996</v>
      </c>
      <c r="D85" s="430">
        <f t="shared" si="15"/>
        <v>3.3</v>
      </c>
      <c r="E85" s="430">
        <f t="shared" si="15"/>
        <v>1.7200000000000004</v>
      </c>
      <c r="F85" s="430">
        <f t="shared" si="15"/>
        <v>11.04</v>
      </c>
      <c r="G85" s="430">
        <f t="shared" si="15"/>
        <v>0.46000000000000035</v>
      </c>
      <c r="H85" s="430">
        <f t="shared" si="15"/>
        <v>0</v>
      </c>
      <c r="I85" s="430">
        <f t="shared" si="15"/>
        <v>0</v>
      </c>
      <c r="J85" s="430">
        <f t="shared" si="15"/>
        <v>0</v>
      </c>
      <c r="K85" s="430">
        <f t="shared" si="15"/>
        <v>0</v>
      </c>
      <c r="L85" s="430">
        <f t="shared" si="15"/>
        <v>0</v>
      </c>
      <c r="M85" s="430">
        <f t="shared" si="15"/>
        <v>0</v>
      </c>
      <c r="N85" s="430">
        <f t="shared" si="15"/>
        <v>0</v>
      </c>
      <c r="O85" s="430">
        <f t="shared" si="15"/>
        <v>0</v>
      </c>
      <c r="P85" s="430">
        <f t="shared" si="15"/>
        <v>0</v>
      </c>
      <c r="Q85" s="430">
        <f t="shared" si="15"/>
        <v>0</v>
      </c>
      <c r="R85" s="430">
        <f t="shared" si="15"/>
        <v>0</v>
      </c>
      <c r="S85" s="430">
        <f t="shared" si="15"/>
        <v>0</v>
      </c>
      <c r="T85" s="430">
        <f t="shared" si="15"/>
        <v>0</v>
      </c>
      <c r="U85" s="430">
        <f t="shared" si="15"/>
        <v>0</v>
      </c>
      <c r="V85" s="430">
        <f t="shared" si="15"/>
        <v>0</v>
      </c>
      <c r="W85" s="430">
        <f t="shared" si="15"/>
        <v>0</v>
      </c>
      <c r="X85" s="430">
        <f t="shared" si="15"/>
        <v>0</v>
      </c>
      <c r="Y85" s="424"/>
    </row>
    <row r="86" spans="1:26" ht="13" thickBot="1">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6" ht="13.5" thickBot="1">
      <c r="A87" s="416" t="s">
        <v>334</v>
      </c>
      <c r="B87" s="414">
        <f>ROW(A87)</f>
        <v>87</v>
      </c>
      <c r="C87" s="418" t="s">
        <v>116</v>
      </c>
      <c r="D87" s="408">
        <f>SUM(B90:Y90)</f>
        <v>30.779999999999998</v>
      </c>
      <c r="E87" s="418" t="s">
        <v>115</v>
      </c>
      <c r="F87" s="409">
        <f>D87/g/J87</f>
        <v>80.451658433309774</v>
      </c>
      <c r="G87" s="418" t="s">
        <v>57</v>
      </c>
      <c r="H87" s="86">
        <f>H77*3</f>
        <v>7.2000000000000008E-2</v>
      </c>
      <c r="I87" s="418" t="s">
        <v>274</v>
      </c>
      <c r="J87" s="410">
        <f>H87-L87</f>
        <v>3.9000000000000007E-2</v>
      </c>
      <c r="K87" s="418" t="s">
        <v>275</v>
      </c>
      <c r="L87" s="86">
        <f>L77*3</f>
        <v>3.3000000000000002E-2</v>
      </c>
      <c r="M87" s="418" t="s">
        <v>58</v>
      </c>
      <c r="N87" s="87">
        <v>30</v>
      </c>
      <c r="O87" s="418" t="s">
        <v>60</v>
      </c>
      <c r="P87" s="87">
        <v>30</v>
      </c>
      <c r="Q87" s="418" t="s">
        <v>61</v>
      </c>
      <c r="R87" s="87">
        <v>70</v>
      </c>
      <c r="S87" s="418" t="s">
        <v>62</v>
      </c>
      <c r="T87" s="87">
        <v>40</v>
      </c>
      <c r="U87" s="418" t="s">
        <v>55</v>
      </c>
      <c r="V87" s="88" t="s">
        <v>118</v>
      </c>
      <c r="W87" s="547" t="s">
        <v>398</v>
      </c>
      <c r="X87" s="549">
        <v>1.7</v>
      </c>
      <c r="Y87" s="547" t="s">
        <v>397</v>
      </c>
      <c r="Z87" s="413">
        <v>3</v>
      </c>
    </row>
    <row r="88" spans="1:26">
      <c r="A88" s="417" t="s">
        <v>33</v>
      </c>
      <c r="B88" s="425">
        <v>0</v>
      </c>
      <c r="C88" s="426">
        <v>0.2</v>
      </c>
      <c r="D88" s="426">
        <v>0.3</v>
      </c>
      <c r="E88" s="426">
        <v>0.6</v>
      </c>
      <c r="F88" s="426">
        <v>0.8</v>
      </c>
      <c r="G88" s="426">
        <v>2</v>
      </c>
      <c r="H88" s="426">
        <v>2.1</v>
      </c>
      <c r="I88" s="426">
        <v>2.1</v>
      </c>
      <c r="J88" s="426">
        <v>2.1</v>
      </c>
      <c r="K88" s="426">
        <v>2.1</v>
      </c>
      <c r="L88" s="426">
        <v>2.1</v>
      </c>
      <c r="M88" s="426">
        <v>2.1</v>
      </c>
      <c r="N88" s="426">
        <v>2.1</v>
      </c>
      <c r="O88" s="426">
        <v>2.1</v>
      </c>
      <c r="P88" s="426">
        <v>2.1</v>
      </c>
      <c r="Q88" s="426">
        <v>2.1</v>
      </c>
      <c r="R88" s="426">
        <v>2.1</v>
      </c>
      <c r="S88" s="426">
        <v>2.1</v>
      </c>
      <c r="T88" s="426">
        <v>2.1</v>
      </c>
      <c r="U88" s="426">
        <v>2.1</v>
      </c>
      <c r="V88" s="426">
        <v>2.1</v>
      </c>
      <c r="W88" s="426">
        <v>2.1</v>
      </c>
      <c r="X88" s="426">
        <v>2.1</v>
      </c>
      <c r="Y88" s="437">
        <v>1000</v>
      </c>
    </row>
    <row r="89" spans="1:26">
      <c r="A89" s="434" t="s">
        <v>34</v>
      </c>
      <c r="B89" s="427">
        <f>B79*3</f>
        <v>0</v>
      </c>
      <c r="C89" s="428">
        <f t="shared" ref="C89:X89" si="16">C79*3</f>
        <v>33</v>
      </c>
      <c r="D89" s="428">
        <f t="shared" si="16"/>
        <v>21</v>
      </c>
      <c r="E89" s="428">
        <f t="shared" si="16"/>
        <v>12</v>
      </c>
      <c r="F89" s="428">
        <f t="shared" si="16"/>
        <v>13.799999999999999</v>
      </c>
      <c r="G89" s="428">
        <f t="shared" si="16"/>
        <v>13.799999999999999</v>
      </c>
      <c r="H89" s="428">
        <f t="shared" si="16"/>
        <v>0</v>
      </c>
      <c r="I89" s="428">
        <f t="shared" si="16"/>
        <v>0</v>
      </c>
      <c r="J89" s="428">
        <f t="shared" si="16"/>
        <v>0</v>
      </c>
      <c r="K89" s="428">
        <f t="shared" si="16"/>
        <v>0</v>
      </c>
      <c r="L89" s="428">
        <f t="shared" si="16"/>
        <v>0</v>
      </c>
      <c r="M89" s="428">
        <f t="shared" si="16"/>
        <v>0</v>
      </c>
      <c r="N89" s="428">
        <f t="shared" si="16"/>
        <v>0</v>
      </c>
      <c r="O89" s="428">
        <f t="shared" si="16"/>
        <v>0</v>
      </c>
      <c r="P89" s="428">
        <f t="shared" si="16"/>
        <v>0</v>
      </c>
      <c r="Q89" s="428">
        <f t="shared" si="16"/>
        <v>0</v>
      </c>
      <c r="R89" s="428">
        <f t="shared" si="16"/>
        <v>0</v>
      </c>
      <c r="S89" s="428">
        <f t="shared" si="16"/>
        <v>0</v>
      </c>
      <c r="T89" s="428">
        <f t="shared" si="16"/>
        <v>0</v>
      </c>
      <c r="U89" s="428">
        <f t="shared" si="16"/>
        <v>0</v>
      </c>
      <c r="V89" s="428">
        <f t="shared" si="16"/>
        <v>0</v>
      </c>
      <c r="W89" s="428">
        <f t="shared" si="16"/>
        <v>0</v>
      </c>
      <c r="X89" s="428">
        <f t="shared" si="16"/>
        <v>0</v>
      </c>
      <c r="Y89" s="438">
        <v>0</v>
      </c>
    </row>
    <row r="90" spans="1:26" ht="13" thickBot="1">
      <c r="A90" s="435" t="s">
        <v>117</v>
      </c>
      <c r="B90" s="429">
        <f t="shared" ref="B90:X90" si="17">(C89+B89)*(C88-B88)/2</f>
        <v>3.3000000000000003</v>
      </c>
      <c r="C90" s="430">
        <f t="shared" si="17"/>
        <v>2.6999999999999993</v>
      </c>
      <c r="D90" s="430">
        <f t="shared" si="17"/>
        <v>4.95</v>
      </c>
      <c r="E90" s="430">
        <f t="shared" si="17"/>
        <v>2.5800000000000005</v>
      </c>
      <c r="F90" s="430">
        <f t="shared" si="17"/>
        <v>16.559999999999999</v>
      </c>
      <c r="G90" s="430">
        <f t="shared" si="17"/>
        <v>0.69000000000000061</v>
      </c>
      <c r="H90" s="430">
        <f t="shared" si="17"/>
        <v>0</v>
      </c>
      <c r="I90" s="430">
        <f t="shared" si="17"/>
        <v>0</v>
      </c>
      <c r="J90" s="430">
        <f t="shared" si="17"/>
        <v>0</v>
      </c>
      <c r="K90" s="430">
        <f t="shared" si="17"/>
        <v>0</v>
      </c>
      <c r="L90" s="430">
        <f t="shared" si="17"/>
        <v>0</v>
      </c>
      <c r="M90" s="430">
        <f t="shared" si="17"/>
        <v>0</v>
      </c>
      <c r="N90" s="430">
        <f t="shared" si="17"/>
        <v>0</v>
      </c>
      <c r="O90" s="430">
        <f t="shared" si="17"/>
        <v>0</v>
      </c>
      <c r="P90" s="430">
        <f t="shared" si="17"/>
        <v>0</v>
      </c>
      <c r="Q90" s="430">
        <f t="shared" si="17"/>
        <v>0</v>
      </c>
      <c r="R90" s="430">
        <f t="shared" si="17"/>
        <v>0</v>
      </c>
      <c r="S90" s="430">
        <f t="shared" si="17"/>
        <v>0</v>
      </c>
      <c r="T90" s="430">
        <f t="shared" si="17"/>
        <v>0</v>
      </c>
      <c r="U90" s="430">
        <f t="shared" si="17"/>
        <v>0</v>
      </c>
      <c r="V90" s="430">
        <f t="shared" si="17"/>
        <v>0</v>
      </c>
      <c r="W90" s="430">
        <f t="shared" si="17"/>
        <v>0</v>
      </c>
      <c r="X90" s="430">
        <f t="shared" si="17"/>
        <v>0</v>
      </c>
      <c r="Y90" s="424"/>
    </row>
    <row r="91" spans="1:26" ht="13" thickBot="1">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6" ht="13.5" thickBot="1">
      <c r="A92" s="416" t="s">
        <v>545</v>
      </c>
      <c r="B92" s="414">
        <f>ROW(A92)</f>
        <v>92</v>
      </c>
      <c r="C92" s="418" t="s">
        <v>116</v>
      </c>
      <c r="D92" s="408">
        <f>SUM(B95:Y95)</f>
        <v>19.961989000000003</v>
      </c>
      <c r="E92" s="418" t="s">
        <v>115</v>
      </c>
      <c r="F92" s="409">
        <f>D92/g/J92</f>
        <v>118.30588744280873</v>
      </c>
      <c r="G92" s="418" t="s">
        <v>57</v>
      </c>
      <c r="H92" s="86">
        <v>2.8199999999999999E-2</v>
      </c>
      <c r="I92" s="418" t="s">
        <v>274</v>
      </c>
      <c r="J92" s="410">
        <f>H92-L92</f>
        <v>1.72E-2</v>
      </c>
      <c r="K92" s="418" t="s">
        <v>275</v>
      </c>
      <c r="L92" s="86">
        <v>1.0999999999999999E-2</v>
      </c>
      <c r="M92" s="418" t="s">
        <v>58</v>
      </c>
      <c r="N92" s="87">
        <v>30</v>
      </c>
      <c r="O92" s="418" t="s">
        <v>60</v>
      </c>
      <c r="P92" s="87">
        <v>30</v>
      </c>
      <c r="Q92" s="418" t="s">
        <v>61</v>
      </c>
      <c r="R92" s="87">
        <v>70</v>
      </c>
      <c r="S92" s="418" t="s">
        <v>62</v>
      </c>
      <c r="T92" s="87">
        <v>18</v>
      </c>
      <c r="U92" s="418" t="s">
        <v>55</v>
      </c>
      <c r="V92" s="88" t="s">
        <v>405</v>
      </c>
      <c r="W92" s="547" t="s">
        <v>398</v>
      </c>
      <c r="X92" s="549">
        <v>2.1</v>
      </c>
      <c r="Y92" s="547" t="s">
        <v>397</v>
      </c>
      <c r="Z92" s="413">
        <v>7</v>
      </c>
    </row>
    <row r="93" spans="1:26">
      <c r="A93" s="417" t="s">
        <v>33</v>
      </c>
      <c r="B93" s="425">
        <v>0</v>
      </c>
      <c r="C93" s="557">
        <v>0.04</v>
      </c>
      <c r="D93" s="557">
        <v>0.11600000000000001</v>
      </c>
      <c r="E93" s="557">
        <v>0.21299999999999999</v>
      </c>
      <c r="F93" s="557">
        <v>0.28599999999999998</v>
      </c>
      <c r="G93" s="557">
        <v>0.32900000000000001</v>
      </c>
      <c r="H93" s="557">
        <v>0.36899999999999999</v>
      </c>
      <c r="I93" s="557">
        <v>0.42</v>
      </c>
      <c r="J93" s="557">
        <v>0.495</v>
      </c>
      <c r="K93" s="557">
        <v>0.59699999999999998</v>
      </c>
      <c r="L93" s="557">
        <v>1.7110000000000001</v>
      </c>
      <c r="M93" s="557">
        <v>1.8260000000000001</v>
      </c>
      <c r="N93" s="557">
        <v>1.917</v>
      </c>
      <c r="O93" s="557">
        <v>1.9750000000000001</v>
      </c>
      <c r="P93" s="557">
        <v>2.206</v>
      </c>
      <c r="Q93" s="557">
        <v>2.242</v>
      </c>
      <c r="R93" s="426">
        <v>2.5</v>
      </c>
      <c r="S93" s="426">
        <v>2.5</v>
      </c>
      <c r="T93" s="426">
        <v>2.5</v>
      </c>
      <c r="U93" s="426">
        <v>2.5</v>
      </c>
      <c r="V93" s="426">
        <v>2.5</v>
      </c>
      <c r="W93" s="426">
        <v>2.5</v>
      </c>
      <c r="X93" s="426">
        <v>2.5</v>
      </c>
      <c r="Y93" s="437">
        <v>1000</v>
      </c>
    </row>
    <row r="94" spans="1:26">
      <c r="A94" s="434" t="s">
        <v>34</v>
      </c>
      <c r="B94" s="427">
        <v>0</v>
      </c>
      <c r="C94" s="557">
        <v>2.1110000000000002</v>
      </c>
      <c r="D94" s="557">
        <v>9.6850000000000005</v>
      </c>
      <c r="E94" s="557">
        <v>25</v>
      </c>
      <c r="F94" s="557">
        <v>15.738</v>
      </c>
      <c r="G94" s="557">
        <v>12.472</v>
      </c>
      <c r="H94" s="557">
        <v>10.67</v>
      </c>
      <c r="I94" s="557">
        <v>9.7129999999999992</v>
      </c>
      <c r="J94" s="557">
        <v>9.1780000000000008</v>
      </c>
      <c r="K94" s="557">
        <v>8.8960000000000008</v>
      </c>
      <c r="L94" s="557">
        <v>8.9250000000000007</v>
      </c>
      <c r="M94" s="557">
        <v>8.6989999999999998</v>
      </c>
      <c r="N94" s="557">
        <v>8.0519999999999996</v>
      </c>
      <c r="O94" s="557">
        <v>6.9539999999999997</v>
      </c>
      <c r="P94" s="557">
        <v>1.07</v>
      </c>
      <c r="Q94" s="557">
        <v>0</v>
      </c>
      <c r="R94" s="428">
        <v>0</v>
      </c>
      <c r="S94" s="428">
        <v>0</v>
      </c>
      <c r="T94" s="428">
        <v>0</v>
      </c>
      <c r="U94" s="428">
        <v>0</v>
      </c>
      <c r="V94" s="428">
        <v>0</v>
      </c>
      <c r="W94" s="428">
        <v>0</v>
      </c>
      <c r="X94" s="428">
        <v>0</v>
      </c>
      <c r="Y94" s="438">
        <v>0</v>
      </c>
    </row>
    <row r="95" spans="1:26" ht="13" thickBot="1">
      <c r="A95" s="435" t="s">
        <v>117</v>
      </c>
      <c r="B95" s="429">
        <f t="shared" ref="B95:X95" si="18">(C94+B94)*(C93-B93)/2</f>
        <v>4.2220000000000008E-2</v>
      </c>
      <c r="C95" s="430">
        <f t="shared" si="18"/>
        <v>0.44824800000000009</v>
      </c>
      <c r="D95" s="430">
        <f t="shared" si="18"/>
        <v>1.6822225</v>
      </c>
      <c r="E95" s="430">
        <f t="shared" si="18"/>
        <v>1.4869369999999995</v>
      </c>
      <c r="F95" s="430">
        <f t="shared" si="18"/>
        <v>0.60651500000000058</v>
      </c>
      <c r="G95" s="430">
        <f t="shared" si="18"/>
        <v>0.46283999999999975</v>
      </c>
      <c r="H95" s="430">
        <f t="shared" si="18"/>
        <v>0.51976649999999991</v>
      </c>
      <c r="I95" s="430">
        <f t="shared" si="18"/>
        <v>0.7084125</v>
      </c>
      <c r="J95" s="430">
        <f t="shared" si="18"/>
        <v>0.92177399999999987</v>
      </c>
      <c r="K95" s="430">
        <f t="shared" si="18"/>
        <v>9.9262970000000017</v>
      </c>
      <c r="L95" s="430">
        <f t="shared" si="18"/>
        <v>1.0133799999999999</v>
      </c>
      <c r="M95" s="430">
        <f t="shared" si="18"/>
        <v>0.76217049999999964</v>
      </c>
      <c r="N95" s="430">
        <f t="shared" si="18"/>
        <v>0.43517400000000039</v>
      </c>
      <c r="O95" s="430">
        <f t="shared" si="18"/>
        <v>0.92677199999999937</v>
      </c>
      <c r="P95" s="430">
        <f t="shared" si="18"/>
        <v>1.9260000000000017E-2</v>
      </c>
      <c r="Q95" s="430">
        <f t="shared" si="18"/>
        <v>0</v>
      </c>
      <c r="R95" s="430">
        <f t="shared" si="18"/>
        <v>0</v>
      </c>
      <c r="S95" s="430">
        <f t="shared" si="18"/>
        <v>0</v>
      </c>
      <c r="T95" s="430">
        <f t="shared" si="18"/>
        <v>0</v>
      </c>
      <c r="U95" s="430">
        <f t="shared" si="18"/>
        <v>0</v>
      </c>
      <c r="V95" s="430">
        <f t="shared" si="18"/>
        <v>0</v>
      </c>
      <c r="W95" s="430">
        <f t="shared" si="18"/>
        <v>0</v>
      </c>
      <c r="X95" s="430">
        <f t="shared" si="18"/>
        <v>0</v>
      </c>
      <c r="Y95" s="424"/>
    </row>
    <row r="96" spans="1:26" ht="13" thickBot="1">
      <c r="A96" s="17"/>
      <c r="L96" s="17"/>
      <c r="M96" s="17"/>
      <c r="N96" s="17"/>
      <c r="O96" s="17"/>
      <c r="P96" s="17"/>
      <c r="Q96" s="17"/>
      <c r="R96" s="17"/>
      <c r="S96" s="17"/>
      <c r="T96" s="17"/>
      <c r="U96" s="17"/>
      <c r="V96" s="17"/>
      <c r="W96" s="17"/>
      <c r="X96" s="17"/>
      <c r="Y96" s="17"/>
    </row>
    <row r="97" spans="1:26" ht="13.5" thickBot="1">
      <c r="A97" s="416" t="s">
        <v>543</v>
      </c>
      <c r="B97" s="414">
        <f>ROW(A97)</f>
        <v>97</v>
      </c>
      <c r="C97" s="418" t="s">
        <v>116</v>
      </c>
      <c r="D97" s="408">
        <f>SUM(B100:Y100)</f>
        <v>39.923978000000005</v>
      </c>
      <c r="E97" s="418" t="s">
        <v>115</v>
      </c>
      <c r="F97" s="409">
        <f>D97/g/J97</f>
        <v>118.30588744280873</v>
      </c>
      <c r="G97" s="418" t="s">
        <v>57</v>
      </c>
      <c r="H97" s="86">
        <f>H92*2</f>
        <v>5.6399999999999999E-2</v>
      </c>
      <c r="I97" s="418" t="s">
        <v>274</v>
      </c>
      <c r="J97" s="410">
        <f>H97-L97</f>
        <v>3.44E-2</v>
      </c>
      <c r="K97" s="418" t="s">
        <v>275</v>
      </c>
      <c r="L97" s="86">
        <f>L92*2</f>
        <v>2.1999999999999999E-2</v>
      </c>
      <c r="M97" s="418" t="s">
        <v>58</v>
      </c>
      <c r="N97" s="87">
        <v>30</v>
      </c>
      <c r="O97" s="418" t="s">
        <v>60</v>
      </c>
      <c r="P97" s="87">
        <v>30</v>
      </c>
      <c r="Q97" s="418" t="s">
        <v>61</v>
      </c>
      <c r="R97" s="87">
        <v>70</v>
      </c>
      <c r="S97" s="418" t="s">
        <v>62</v>
      </c>
      <c r="T97" s="87">
        <v>30</v>
      </c>
      <c r="U97" s="418" t="s">
        <v>55</v>
      </c>
      <c r="V97" s="88" t="s">
        <v>405</v>
      </c>
      <c r="W97" s="547" t="s">
        <v>398</v>
      </c>
      <c r="X97" s="549">
        <v>2.1</v>
      </c>
      <c r="Y97" s="547" t="s">
        <v>397</v>
      </c>
      <c r="Z97" s="413">
        <v>7</v>
      </c>
    </row>
    <row r="98" spans="1:26">
      <c r="A98" s="417" t="s">
        <v>33</v>
      </c>
      <c r="B98" s="425">
        <v>0</v>
      </c>
      <c r="C98" s="426">
        <f>C93</f>
        <v>0.04</v>
      </c>
      <c r="D98" s="426">
        <f t="shared" ref="D98:X98" si="19">D93</f>
        <v>0.11600000000000001</v>
      </c>
      <c r="E98" s="426">
        <f t="shared" si="19"/>
        <v>0.21299999999999999</v>
      </c>
      <c r="F98" s="426">
        <f t="shared" si="19"/>
        <v>0.28599999999999998</v>
      </c>
      <c r="G98" s="426">
        <f t="shared" si="19"/>
        <v>0.32900000000000001</v>
      </c>
      <c r="H98" s="426">
        <f t="shared" si="19"/>
        <v>0.36899999999999999</v>
      </c>
      <c r="I98" s="426">
        <f t="shared" si="19"/>
        <v>0.42</v>
      </c>
      <c r="J98" s="426">
        <f t="shared" si="19"/>
        <v>0.495</v>
      </c>
      <c r="K98" s="426">
        <f t="shared" si="19"/>
        <v>0.59699999999999998</v>
      </c>
      <c r="L98" s="426">
        <f t="shared" si="19"/>
        <v>1.7110000000000001</v>
      </c>
      <c r="M98" s="426">
        <f t="shared" si="19"/>
        <v>1.8260000000000001</v>
      </c>
      <c r="N98" s="426">
        <f t="shared" si="19"/>
        <v>1.917</v>
      </c>
      <c r="O98" s="426">
        <f t="shared" si="19"/>
        <v>1.9750000000000001</v>
      </c>
      <c r="P98" s="426">
        <f t="shared" si="19"/>
        <v>2.206</v>
      </c>
      <c r="Q98" s="426">
        <f t="shared" si="19"/>
        <v>2.242</v>
      </c>
      <c r="R98" s="426">
        <f t="shared" si="19"/>
        <v>2.5</v>
      </c>
      <c r="S98" s="426">
        <f>S93</f>
        <v>2.5</v>
      </c>
      <c r="T98" s="426">
        <f t="shared" si="19"/>
        <v>2.5</v>
      </c>
      <c r="U98" s="426">
        <f t="shared" si="19"/>
        <v>2.5</v>
      </c>
      <c r="V98" s="426">
        <f t="shared" si="19"/>
        <v>2.5</v>
      </c>
      <c r="W98" s="426">
        <f t="shared" si="19"/>
        <v>2.5</v>
      </c>
      <c r="X98" s="426">
        <f t="shared" si="19"/>
        <v>2.5</v>
      </c>
      <c r="Y98" s="437">
        <v>1000</v>
      </c>
    </row>
    <row r="99" spans="1:26">
      <c r="A99" s="434" t="s">
        <v>34</v>
      </c>
      <c r="B99" s="427">
        <f>B94*2</f>
        <v>0</v>
      </c>
      <c r="C99" s="428">
        <f t="shared" ref="C99:X99" si="20">C94*2</f>
        <v>4.2220000000000004</v>
      </c>
      <c r="D99" s="428">
        <f t="shared" si="20"/>
        <v>19.37</v>
      </c>
      <c r="E99" s="428">
        <f t="shared" si="20"/>
        <v>50</v>
      </c>
      <c r="F99" s="428">
        <f t="shared" si="20"/>
        <v>31.475999999999999</v>
      </c>
      <c r="G99" s="428">
        <f t="shared" si="20"/>
        <v>24.943999999999999</v>
      </c>
      <c r="H99" s="428">
        <f t="shared" si="20"/>
        <v>21.34</v>
      </c>
      <c r="I99" s="428">
        <f t="shared" si="20"/>
        <v>19.425999999999998</v>
      </c>
      <c r="J99" s="428">
        <f t="shared" si="20"/>
        <v>18.356000000000002</v>
      </c>
      <c r="K99" s="428">
        <f t="shared" si="20"/>
        <v>17.792000000000002</v>
      </c>
      <c r="L99" s="428">
        <f t="shared" si="20"/>
        <v>17.850000000000001</v>
      </c>
      <c r="M99" s="428">
        <f t="shared" si="20"/>
        <v>17.398</v>
      </c>
      <c r="N99" s="428">
        <f t="shared" si="20"/>
        <v>16.103999999999999</v>
      </c>
      <c r="O99" s="428">
        <f t="shared" si="20"/>
        <v>13.907999999999999</v>
      </c>
      <c r="P99" s="428">
        <f t="shared" si="20"/>
        <v>2.14</v>
      </c>
      <c r="Q99" s="428">
        <f t="shared" si="20"/>
        <v>0</v>
      </c>
      <c r="R99" s="428">
        <f t="shared" si="20"/>
        <v>0</v>
      </c>
      <c r="S99" s="428">
        <f t="shared" si="20"/>
        <v>0</v>
      </c>
      <c r="T99" s="428">
        <f t="shared" si="20"/>
        <v>0</v>
      </c>
      <c r="U99" s="428">
        <f t="shared" si="20"/>
        <v>0</v>
      </c>
      <c r="V99" s="428">
        <f t="shared" si="20"/>
        <v>0</v>
      </c>
      <c r="W99" s="428">
        <f t="shared" si="20"/>
        <v>0</v>
      </c>
      <c r="X99" s="428">
        <f t="shared" si="20"/>
        <v>0</v>
      </c>
      <c r="Y99" s="438">
        <v>0</v>
      </c>
    </row>
    <row r="100" spans="1:26" ht="13" thickBot="1">
      <c r="A100" s="435" t="s">
        <v>117</v>
      </c>
      <c r="B100" s="429">
        <f t="shared" ref="B100:X100" si="21">(C99+B99)*(C98-B98)/2</f>
        <v>8.4440000000000015E-2</v>
      </c>
      <c r="C100" s="430">
        <f t="shared" si="21"/>
        <v>0.89649600000000018</v>
      </c>
      <c r="D100" s="430">
        <f t="shared" si="21"/>
        <v>3.3644449999999999</v>
      </c>
      <c r="E100" s="430">
        <f t="shared" si="21"/>
        <v>2.973873999999999</v>
      </c>
      <c r="F100" s="430">
        <f t="shared" si="21"/>
        <v>1.2130300000000012</v>
      </c>
      <c r="G100" s="430">
        <f t="shared" si="21"/>
        <v>0.9256799999999995</v>
      </c>
      <c r="H100" s="430">
        <f t="shared" si="21"/>
        <v>1.0395329999999998</v>
      </c>
      <c r="I100" s="430">
        <f t="shared" si="21"/>
        <v>1.416825</v>
      </c>
      <c r="J100" s="430">
        <f t="shared" si="21"/>
        <v>1.8435479999999997</v>
      </c>
      <c r="K100" s="430">
        <f t="shared" si="21"/>
        <v>19.852594000000003</v>
      </c>
      <c r="L100" s="430">
        <f t="shared" si="21"/>
        <v>2.0267599999999999</v>
      </c>
      <c r="M100" s="430">
        <f t="shared" si="21"/>
        <v>1.5243409999999993</v>
      </c>
      <c r="N100" s="430">
        <f t="shared" si="21"/>
        <v>0.87034800000000079</v>
      </c>
      <c r="O100" s="430">
        <f t="shared" si="21"/>
        <v>1.8535439999999987</v>
      </c>
      <c r="P100" s="430">
        <f t="shared" si="21"/>
        <v>3.8520000000000033E-2</v>
      </c>
      <c r="Q100" s="430">
        <f t="shared" si="21"/>
        <v>0</v>
      </c>
      <c r="R100" s="430">
        <f t="shared" si="21"/>
        <v>0</v>
      </c>
      <c r="S100" s="430">
        <f t="shared" si="21"/>
        <v>0</v>
      </c>
      <c r="T100" s="430">
        <f t="shared" si="21"/>
        <v>0</v>
      </c>
      <c r="U100" s="430">
        <f t="shared" si="21"/>
        <v>0</v>
      </c>
      <c r="V100" s="430">
        <f t="shared" si="21"/>
        <v>0</v>
      </c>
      <c r="W100" s="430">
        <f t="shared" si="21"/>
        <v>0</v>
      </c>
      <c r="X100" s="430">
        <f t="shared" si="21"/>
        <v>0</v>
      </c>
      <c r="Y100" s="424"/>
    </row>
    <row r="101" spans="1:26" ht="13" thickBot="1">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6" ht="13.5" thickBot="1">
      <c r="A102" s="416" t="s">
        <v>544</v>
      </c>
      <c r="B102" s="414">
        <f>ROW(A102)</f>
        <v>102</v>
      </c>
      <c r="C102" s="418" t="s">
        <v>116</v>
      </c>
      <c r="D102" s="408">
        <f>SUM(B105:Y105)</f>
        <v>59.885967000000008</v>
      </c>
      <c r="E102" s="418" t="s">
        <v>115</v>
      </c>
      <c r="F102" s="409">
        <f>D102/g/J102</f>
        <v>118.30588744280874</v>
      </c>
      <c r="G102" s="418" t="s">
        <v>57</v>
      </c>
      <c r="H102" s="86">
        <f>H92*3</f>
        <v>8.4599999999999995E-2</v>
      </c>
      <c r="I102" s="418" t="s">
        <v>274</v>
      </c>
      <c r="J102" s="410">
        <f>H102-L102</f>
        <v>5.1599999999999993E-2</v>
      </c>
      <c r="K102" s="418" t="s">
        <v>275</v>
      </c>
      <c r="L102" s="86">
        <f>L92*3</f>
        <v>3.3000000000000002E-2</v>
      </c>
      <c r="M102" s="418" t="s">
        <v>58</v>
      </c>
      <c r="N102" s="87">
        <v>30</v>
      </c>
      <c r="O102" s="418" t="s">
        <v>60</v>
      </c>
      <c r="P102" s="87">
        <v>30</v>
      </c>
      <c r="Q102" s="418" t="s">
        <v>61</v>
      </c>
      <c r="R102" s="87">
        <v>70</v>
      </c>
      <c r="S102" s="418" t="s">
        <v>62</v>
      </c>
      <c r="T102" s="87">
        <v>40</v>
      </c>
      <c r="U102" s="418" t="s">
        <v>55</v>
      </c>
      <c r="V102" s="88" t="s">
        <v>405</v>
      </c>
      <c r="W102" s="547" t="s">
        <v>398</v>
      </c>
      <c r="X102" s="549">
        <v>2.1</v>
      </c>
      <c r="Y102" s="547" t="s">
        <v>397</v>
      </c>
      <c r="Z102" s="413">
        <v>7</v>
      </c>
    </row>
    <row r="103" spans="1:26">
      <c r="A103" s="417" t="s">
        <v>33</v>
      </c>
      <c r="B103" s="425">
        <v>0</v>
      </c>
      <c r="C103" s="426">
        <f>C93</f>
        <v>0.04</v>
      </c>
      <c r="D103" s="426">
        <f t="shared" ref="D103:X103" si="22">D93</f>
        <v>0.11600000000000001</v>
      </c>
      <c r="E103" s="426">
        <f t="shared" si="22"/>
        <v>0.21299999999999999</v>
      </c>
      <c r="F103" s="426">
        <f t="shared" si="22"/>
        <v>0.28599999999999998</v>
      </c>
      <c r="G103" s="426">
        <f t="shared" si="22"/>
        <v>0.32900000000000001</v>
      </c>
      <c r="H103" s="426">
        <f t="shared" si="22"/>
        <v>0.36899999999999999</v>
      </c>
      <c r="I103" s="426">
        <f t="shared" si="22"/>
        <v>0.42</v>
      </c>
      <c r="J103" s="426">
        <f t="shared" si="22"/>
        <v>0.495</v>
      </c>
      <c r="K103" s="426">
        <f t="shared" si="22"/>
        <v>0.59699999999999998</v>
      </c>
      <c r="L103" s="426">
        <f t="shared" si="22"/>
        <v>1.7110000000000001</v>
      </c>
      <c r="M103" s="426">
        <f t="shared" si="22"/>
        <v>1.8260000000000001</v>
      </c>
      <c r="N103" s="426">
        <f t="shared" si="22"/>
        <v>1.917</v>
      </c>
      <c r="O103" s="426">
        <f t="shared" si="22"/>
        <v>1.9750000000000001</v>
      </c>
      <c r="P103" s="426">
        <f t="shared" si="22"/>
        <v>2.206</v>
      </c>
      <c r="Q103" s="426">
        <f t="shared" si="22"/>
        <v>2.242</v>
      </c>
      <c r="R103" s="426">
        <f t="shared" si="22"/>
        <v>2.5</v>
      </c>
      <c r="S103" s="426">
        <f t="shared" si="22"/>
        <v>2.5</v>
      </c>
      <c r="T103" s="426">
        <f t="shared" si="22"/>
        <v>2.5</v>
      </c>
      <c r="U103" s="426">
        <f t="shared" si="22"/>
        <v>2.5</v>
      </c>
      <c r="V103" s="426">
        <f t="shared" si="22"/>
        <v>2.5</v>
      </c>
      <c r="W103" s="426">
        <f t="shared" si="22"/>
        <v>2.5</v>
      </c>
      <c r="X103" s="426">
        <f t="shared" si="22"/>
        <v>2.5</v>
      </c>
      <c r="Y103" s="437">
        <v>1000</v>
      </c>
    </row>
    <row r="104" spans="1:26">
      <c r="A104" s="434" t="s">
        <v>34</v>
      </c>
      <c r="B104" s="427">
        <f>B94*3</f>
        <v>0</v>
      </c>
      <c r="C104" s="428">
        <f t="shared" ref="C104:X104" si="23">C94*3</f>
        <v>6.3330000000000002</v>
      </c>
      <c r="D104" s="428">
        <f t="shared" si="23"/>
        <v>29.055</v>
      </c>
      <c r="E104" s="428">
        <f t="shared" si="23"/>
        <v>75</v>
      </c>
      <c r="F104" s="428">
        <f t="shared" si="23"/>
        <v>47.213999999999999</v>
      </c>
      <c r="G104" s="428">
        <f t="shared" si="23"/>
        <v>37.415999999999997</v>
      </c>
      <c r="H104" s="428">
        <f t="shared" si="23"/>
        <v>32.01</v>
      </c>
      <c r="I104" s="428">
        <f t="shared" si="23"/>
        <v>29.138999999999996</v>
      </c>
      <c r="J104" s="428">
        <f t="shared" si="23"/>
        <v>27.534000000000002</v>
      </c>
      <c r="K104" s="428">
        <f t="shared" si="23"/>
        <v>26.688000000000002</v>
      </c>
      <c r="L104" s="428">
        <f t="shared" si="23"/>
        <v>26.775000000000002</v>
      </c>
      <c r="M104" s="428">
        <f t="shared" si="23"/>
        <v>26.097000000000001</v>
      </c>
      <c r="N104" s="428">
        <f t="shared" si="23"/>
        <v>24.155999999999999</v>
      </c>
      <c r="O104" s="428">
        <f t="shared" si="23"/>
        <v>20.861999999999998</v>
      </c>
      <c r="P104" s="428">
        <f t="shared" si="23"/>
        <v>3.21</v>
      </c>
      <c r="Q104" s="428">
        <f t="shared" si="23"/>
        <v>0</v>
      </c>
      <c r="R104" s="428">
        <f t="shared" si="23"/>
        <v>0</v>
      </c>
      <c r="S104" s="428">
        <f t="shared" si="23"/>
        <v>0</v>
      </c>
      <c r="T104" s="428">
        <f t="shared" si="23"/>
        <v>0</v>
      </c>
      <c r="U104" s="428">
        <f t="shared" si="23"/>
        <v>0</v>
      </c>
      <c r="V104" s="428">
        <f t="shared" si="23"/>
        <v>0</v>
      </c>
      <c r="W104" s="428">
        <f t="shared" si="23"/>
        <v>0</v>
      </c>
      <c r="X104" s="428">
        <f t="shared" si="23"/>
        <v>0</v>
      </c>
      <c r="Y104" s="438">
        <v>0</v>
      </c>
    </row>
    <row r="105" spans="1:26" ht="13" thickBot="1">
      <c r="A105" s="435" t="s">
        <v>117</v>
      </c>
      <c r="B105" s="429">
        <f t="shared" ref="B105:X105" si="24">(C104+B104)*(C103-B103)/2</f>
        <v>0.12665999999999999</v>
      </c>
      <c r="C105" s="430">
        <f t="shared" si="24"/>
        <v>1.3447440000000002</v>
      </c>
      <c r="D105" s="430">
        <f t="shared" si="24"/>
        <v>5.0466674999999999</v>
      </c>
      <c r="E105" s="430">
        <f t="shared" si="24"/>
        <v>4.4608109999999987</v>
      </c>
      <c r="F105" s="430">
        <f t="shared" si="24"/>
        <v>1.8195450000000015</v>
      </c>
      <c r="G105" s="430">
        <f t="shared" si="24"/>
        <v>1.3885199999999991</v>
      </c>
      <c r="H105" s="430">
        <f t="shared" si="24"/>
        <v>1.5592994999999996</v>
      </c>
      <c r="I105" s="430">
        <f t="shared" si="24"/>
        <v>2.1252375000000003</v>
      </c>
      <c r="J105" s="430">
        <f t="shared" si="24"/>
        <v>2.7653219999999998</v>
      </c>
      <c r="K105" s="430">
        <f t="shared" si="24"/>
        <v>29.778891000000009</v>
      </c>
      <c r="L105" s="430">
        <f t="shared" si="24"/>
        <v>3.0401399999999996</v>
      </c>
      <c r="M105" s="430">
        <f t="shared" si="24"/>
        <v>2.2865114999999991</v>
      </c>
      <c r="N105" s="430">
        <f t="shared" si="24"/>
        <v>1.3055220000000012</v>
      </c>
      <c r="O105" s="430">
        <f t="shared" si="24"/>
        <v>2.7803159999999982</v>
      </c>
      <c r="P105" s="430">
        <f t="shared" si="24"/>
        <v>5.7780000000000054E-2</v>
      </c>
      <c r="Q105" s="430">
        <f t="shared" si="24"/>
        <v>0</v>
      </c>
      <c r="R105" s="430">
        <f t="shared" si="24"/>
        <v>0</v>
      </c>
      <c r="S105" s="430">
        <f t="shared" si="24"/>
        <v>0</v>
      </c>
      <c r="T105" s="430">
        <f t="shared" si="24"/>
        <v>0</v>
      </c>
      <c r="U105" s="430">
        <f t="shared" si="24"/>
        <v>0</v>
      </c>
      <c r="V105" s="430">
        <f t="shared" si="24"/>
        <v>0</v>
      </c>
      <c r="W105" s="430">
        <f t="shared" si="24"/>
        <v>0</v>
      </c>
      <c r="X105" s="430">
        <f t="shared" si="24"/>
        <v>0</v>
      </c>
      <c r="Y105" s="424"/>
    </row>
    <row r="107" spans="1:26" ht="13.5" thickBot="1">
      <c r="A107" s="492" t="s">
        <v>320</v>
      </c>
    </row>
    <row r="108" spans="1:26" ht="13.5" thickBot="1">
      <c r="A108" s="416" t="s">
        <v>323</v>
      </c>
      <c r="B108" s="414">
        <f>ROW(A108)</f>
        <v>108</v>
      </c>
      <c r="C108" s="418" t="s">
        <v>116</v>
      </c>
      <c r="D108" s="408">
        <f>SUM(B111:Y111)</f>
        <v>24.269519000000003</v>
      </c>
      <c r="E108" s="418" t="s">
        <v>115</v>
      </c>
      <c r="F108" s="409">
        <f>D108/g/J108</f>
        <v>154.62231778797147</v>
      </c>
      <c r="G108" s="418" t="s">
        <v>57</v>
      </c>
      <c r="H108" s="86">
        <v>5.1999999999999998E-2</v>
      </c>
      <c r="I108" s="418" t="s">
        <v>274</v>
      </c>
      <c r="J108" s="410">
        <f>H108-L108</f>
        <v>1.6E-2</v>
      </c>
      <c r="K108" s="418" t="s">
        <v>275</v>
      </c>
      <c r="L108" s="86">
        <v>3.5999999999999997E-2</v>
      </c>
      <c r="M108" s="418" t="s">
        <v>58</v>
      </c>
      <c r="N108" s="457">
        <v>35</v>
      </c>
      <c r="O108" s="418" t="s">
        <v>60</v>
      </c>
      <c r="P108" s="457">
        <v>35</v>
      </c>
      <c r="Q108" s="418" t="s">
        <v>61</v>
      </c>
      <c r="R108" s="87">
        <v>69</v>
      </c>
      <c r="S108" s="418" t="s">
        <v>62</v>
      </c>
      <c r="T108" s="87">
        <v>24</v>
      </c>
      <c r="U108" s="418" t="s">
        <v>55</v>
      </c>
      <c r="V108" s="88" t="s">
        <v>403</v>
      </c>
      <c r="W108" s="547" t="s">
        <v>398</v>
      </c>
      <c r="X108" s="549">
        <v>1</v>
      </c>
      <c r="Y108" s="547" t="s">
        <v>397</v>
      </c>
      <c r="Z108" s="413">
        <v>13</v>
      </c>
    </row>
    <row r="109" spans="1:26">
      <c r="A109" s="417" t="s">
        <v>33</v>
      </c>
      <c r="B109" s="425">
        <v>0</v>
      </c>
      <c r="C109" s="426">
        <v>8.0000000000000002E-3</v>
      </c>
      <c r="D109" s="426">
        <v>2.5999999999999999E-2</v>
      </c>
      <c r="E109" s="426">
        <v>3.7999999999999999E-2</v>
      </c>
      <c r="F109" s="426">
        <v>6.7000000000000004E-2</v>
      </c>
      <c r="G109" s="426">
        <v>0.10100000000000001</v>
      </c>
      <c r="H109" s="426">
        <v>0.33</v>
      </c>
      <c r="I109" s="426">
        <v>0.52800000000000002</v>
      </c>
      <c r="J109" s="426">
        <v>0.71599999999999997</v>
      </c>
      <c r="K109" s="426">
        <v>0.84099999999999997</v>
      </c>
      <c r="L109" s="426">
        <v>0.91200000000000003</v>
      </c>
      <c r="M109" s="426">
        <v>0.98699999999999999</v>
      </c>
      <c r="N109" s="426">
        <v>1.016</v>
      </c>
      <c r="O109" s="426">
        <v>1.0649999999999999</v>
      </c>
      <c r="P109" s="426">
        <v>1.087</v>
      </c>
      <c r="Q109" s="442">
        <v>2</v>
      </c>
      <c r="R109" s="442">
        <v>2</v>
      </c>
      <c r="S109" s="442">
        <v>2</v>
      </c>
      <c r="T109" s="442">
        <v>2</v>
      </c>
      <c r="U109" s="442">
        <v>2</v>
      </c>
      <c r="V109" s="442">
        <v>2</v>
      </c>
      <c r="W109" s="442">
        <v>2</v>
      </c>
      <c r="X109" s="442">
        <v>2</v>
      </c>
      <c r="Y109" s="444">
        <v>1000</v>
      </c>
    </row>
    <row r="110" spans="1:26">
      <c r="A110" s="434" t="s">
        <v>34</v>
      </c>
      <c r="B110" s="427">
        <v>0</v>
      </c>
      <c r="C110" s="428">
        <v>18.292000000000002</v>
      </c>
      <c r="D110" s="428">
        <v>30</v>
      </c>
      <c r="E110" s="428">
        <v>30.792000000000002</v>
      </c>
      <c r="F110" s="428">
        <v>18.707999999999998</v>
      </c>
      <c r="G110" s="428">
        <v>21.875</v>
      </c>
      <c r="H110" s="428">
        <v>26.082999999999998</v>
      </c>
      <c r="I110" s="428">
        <v>28.042000000000002</v>
      </c>
      <c r="J110" s="428">
        <v>27.875</v>
      </c>
      <c r="K110" s="428">
        <v>23.542000000000002</v>
      </c>
      <c r="L110" s="428">
        <v>17.832999999999998</v>
      </c>
      <c r="M110" s="428">
        <v>7</v>
      </c>
      <c r="N110" s="428">
        <v>3.3330000000000002</v>
      </c>
      <c r="O110" s="428">
        <v>1.083</v>
      </c>
      <c r="P110" s="428">
        <v>0</v>
      </c>
      <c r="Q110" s="433">
        <v>0</v>
      </c>
      <c r="R110" s="433">
        <v>0</v>
      </c>
      <c r="S110" s="433">
        <v>0</v>
      </c>
      <c r="T110" s="433">
        <f>S110</f>
        <v>0</v>
      </c>
      <c r="U110" s="433">
        <f>T110</f>
        <v>0</v>
      </c>
      <c r="V110" s="433">
        <f>U110</f>
        <v>0</v>
      </c>
      <c r="W110" s="433">
        <f>V110</f>
        <v>0</v>
      </c>
      <c r="X110" s="433">
        <f>W110</f>
        <v>0</v>
      </c>
      <c r="Y110" s="439">
        <v>0</v>
      </c>
    </row>
    <row r="111" spans="1:26" ht="13" thickBot="1">
      <c r="A111" s="435" t="s">
        <v>117</v>
      </c>
      <c r="B111" s="429">
        <f t="shared" ref="B111:V111" si="25">(C110+B110)*(C109-B109)/2</f>
        <v>7.3168000000000011E-2</v>
      </c>
      <c r="C111" s="430">
        <f t="shared" si="25"/>
        <v>0.43462799999999996</v>
      </c>
      <c r="D111" s="430">
        <f t="shared" si="25"/>
        <v>0.36475200000000002</v>
      </c>
      <c r="E111" s="430">
        <f t="shared" si="25"/>
        <v>0.71775000000000011</v>
      </c>
      <c r="F111" s="430">
        <f t="shared" si="25"/>
        <v>0.68991100000000005</v>
      </c>
      <c r="G111" s="430">
        <f t="shared" si="25"/>
        <v>5.4911909999999997</v>
      </c>
      <c r="H111" s="430">
        <f t="shared" si="25"/>
        <v>5.3583750000000006</v>
      </c>
      <c r="I111" s="430">
        <f t="shared" si="25"/>
        <v>5.2561979999999986</v>
      </c>
      <c r="J111" s="430">
        <f>(K110+J110)*(K109-J109)/2</f>
        <v>3.2135625000000001</v>
      </c>
      <c r="K111" s="430">
        <f t="shared" si="25"/>
        <v>1.4688125000000014</v>
      </c>
      <c r="L111" s="430">
        <f t="shared" si="25"/>
        <v>0.93123749999999939</v>
      </c>
      <c r="M111" s="430">
        <f t="shared" si="25"/>
        <v>0.14982850000000014</v>
      </c>
      <c r="N111" s="430">
        <f t="shared" si="25"/>
        <v>0.10819199999999986</v>
      </c>
      <c r="O111" s="430">
        <f t="shared" si="25"/>
        <v>1.191300000000001E-2</v>
      </c>
      <c r="P111" s="430">
        <f t="shared" si="25"/>
        <v>0</v>
      </c>
      <c r="Q111" s="430">
        <f t="shared" si="25"/>
        <v>0</v>
      </c>
      <c r="R111" s="430">
        <f t="shared" si="25"/>
        <v>0</v>
      </c>
      <c r="S111" s="430">
        <f>(T110+S110)*(T109-S109)/2</f>
        <v>0</v>
      </c>
      <c r="T111" s="430">
        <f t="shared" si="25"/>
        <v>0</v>
      </c>
      <c r="U111" s="430">
        <f t="shared" si="25"/>
        <v>0</v>
      </c>
      <c r="V111" s="430">
        <f t="shared" si="25"/>
        <v>0</v>
      </c>
      <c r="W111" s="430">
        <f>(X110+W110)*(X109-W109)/2</f>
        <v>0</v>
      </c>
      <c r="X111" s="430">
        <f>(Y110+X110)*(Y109-X109)/2</f>
        <v>0</v>
      </c>
      <c r="Y111" s="424"/>
    </row>
    <row r="112" spans="1:26" ht="13" thickBot="1"/>
    <row r="113" spans="1:26" ht="13.5" thickBot="1">
      <c r="A113" s="416" t="s">
        <v>421</v>
      </c>
      <c r="B113" s="414">
        <f>ROW(A113)</f>
        <v>113</v>
      </c>
      <c r="C113" s="418" t="s">
        <v>116</v>
      </c>
      <c r="D113" s="408">
        <f>SUM(B116:Y116)</f>
        <v>24.488898000000002</v>
      </c>
      <c r="E113" s="418" t="s">
        <v>115</v>
      </c>
      <c r="F113" s="409">
        <f>D113/g/J113</f>
        <v>121.771701350041</v>
      </c>
      <c r="G113" s="418" t="s">
        <v>57</v>
      </c>
      <c r="H113" s="86">
        <v>5.6500000000000002E-2</v>
      </c>
      <c r="I113" s="418" t="s">
        <v>274</v>
      </c>
      <c r="J113" s="410">
        <f>H113-L113</f>
        <v>2.0500000000000004E-2</v>
      </c>
      <c r="K113" s="418" t="s">
        <v>275</v>
      </c>
      <c r="L113" s="86">
        <v>3.5999999999999997E-2</v>
      </c>
      <c r="M113" s="418" t="s">
        <v>58</v>
      </c>
      <c r="N113" s="457">
        <v>35</v>
      </c>
      <c r="O113" s="418" t="s">
        <v>60</v>
      </c>
      <c r="P113" s="457">
        <v>35</v>
      </c>
      <c r="Q113" s="418" t="s">
        <v>61</v>
      </c>
      <c r="R113" s="87">
        <v>69</v>
      </c>
      <c r="S113" s="418" t="s">
        <v>62</v>
      </c>
      <c r="T113" s="87">
        <v>24</v>
      </c>
      <c r="U113" s="418" t="s">
        <v>55</v>
      </c>
      <c r="V113" s="88" t="s">
        <v>404</v>
      </c>
      <c r="W113" s="547" t="s">
        <v>398</v>
      </c>
      <c r="X113" s="549">
        <v>0.33</v>
      </c>
      <c r="Y113" s="547" t="s">
        <v>397</v>
      </c>
      <c r="Z113" s="413">
        <v>17</v>
      </c>
    </row>
    <row r="114" spans="1:26">
      <c r="A114" s="417" t="s">
        <v>33</v>
      </c>
      <c r="B114" s="425">
        <v>0</v>
      </c>
      <c r="C114" s="426">
        <v>8.9999999999999993E-3</v>
      </c>
      <c r="D114" s="426">
        <v>1.2E-2</v>
      </c>
      <c r="E114" s="426">
        <v>2.3E-2</v>
      </c>
      <c r="F114" s="426">
        <v>2.7E-2</v>
      </c>
      <c r="G114" s="426">
        <v>4.7E-2</v>
      </c>
      <c r="H114" s="426">
        <v>9.1999999999999998E-2</v>
      </c>
      <c r="I114" s="426">
        <v>0.11799999999999999</v>
      </c>
      <c r="J114" s="426">
        <v>0.14099999999999999</v>
      </c>
      <c r="K114" s="426">
        <v>0.192</v>
      </c>
      <c r="L114" s="426">
        <v>0.222</v>
      </c>
      <c r="M114" s="426">
        <v>0.25</v>
      </c>
      <c r="N114" s="426">
        <v>0.26</v>
      </c>
      <c r="O114" s="426">
        <v>0.28100000000000003</v>
      </c>
      <c r="P114" s="426">
        <v>0.28699999999999998</v>
      </c>
      <c r="Q114" s="426">
        <v>0.30599999999999999</v>
      </c>
      <c r="R114" s="426">
        <v>0.314</v>
      </c>
      <c r="S114" s="426">
        <v>0.32600000000000001</v>
      </c>
      <c r="T114" s="426">
        <v>0.32900000000000001</v>
      </c>
      <c r="U114" s="442">
        <v>0.5</v>
      </c>
      <c r="V114" s="442">
        <v>1</v>
      </c>
      <c r="W114" s="442">
        <v>2</v>
      </c>
      <c r="X114" s="442">
        <v>2</v>
      </c>
      <c r="Y114" s="444">
        <v>1000</v>
      </c>
    </row>
    <row r="115" spans="1:26">
      <c r="A115" s="434" t="s">
        <v>34</v>
      </c>
      <c r="B115" s="427">
        <v>0</v>
      </c>
      <c r="C115" s="428">
        <v>84.212999999999994</v>
      </c>
      <c r="D115" s="428">
        <v>95.099000000000004</v>
      </c>
      <c r="E115" s="428">
        <v>77.08</v>
      </c>
      <c r="F115" s="428">
        <v>68.697000000000003</v>
      </c>
      <c r="G115" s="428">
        <v>73.451999999999998</v>
      </c>
      <c r="H115" s="428">
        <v>81.834999999999994</v>
      </c>
      <c r="I115" s="428">
        <v>83.837000000000003</v>
      </c>
      <c r="J115" s="428">
        <v>86.465000000000003</v>
      </c>
      <c r="K115" s="428">
        <v>86.965999999999994</v>
      </c>
      <c r="L115" s="428">
        <v>85.338999999999999</v>
      </c>
      <c r="M115" s="428">
        <v>80.082999999999998</v>
      </c>
      <c r="N115" s="428">
        <v>78.331999999999994</v>
      </c>
      <c r="O115" s="428">
        <v>82.960999999999999</v>
      </c>
      <c r="P115" s="428">
        <v>78.206000000000003</v>
      </c>
      <c r="Q115" s="428">
        <v>24.776</v>
      </c>
      <c r="R115" s="428">
        <v>14.14</v>
      </c>
      <c r="S115" s="428">
        <v>8.5090000000000003</v>
      </c>
      <c r="T115" s="428">
        <v>0</v>
      </c>
      <c r="U115" s="433">
        <f>T115</f>
        <v>0</v>
      </c>
      <c r="V115" s="433">
        <f>U115</f>
        <v>0</v>
      </c>
      <c r="W115" s="433">
        <f>V115</f>
        <v>0</v>
      </c>
      <c r="X115" s="433">
        <f>W115</f>
        <v>0</v>
      </c>
      <c r="Y115" s="439">
        <v>0</v>
      </c>
    </row>
    <row r="116" spans="1:26" ht="13" thickBot="1">
      <c r="A116" s="435" t="s">
        <v>117</v>
      </c>
      <c r="B116" s="429">
        <f t="shared" ref="B116:V116" si="26">(C115+B115)*(C114-B114)/2</f>
        <v>0.37895849999999992</v>
      </c>
      <c r="C116" s="430">
        <f t="shared" si="26"/>
        <v>0.2689680000000001</v>
      </c>
      <c r="D116" s="430">
        <f t="shared" si="26"/>
        <v>0.94698450000000001</v>
      </c>
      <c r="E116" s="430">
        <f t="shared" si="26"/>
        <v>0.29155399999999998</v>
      </c>
      <c r="F116" s="430">
        <f t="shared" si="26"/>
        <v>1.4214900000000001</v>
      </c>
      <c r="G116" s="430">
        <f t="shared" si="26"/>
        <v>3.4939574999999992</v>
      </c>
      <c r="H116" s="430">
        <f t="shared" si="26"/>
        <v>2.1537359999999994</v>
      </c>
      <c r="I116" s="430">
        <f t="shared" si="26"/>
        <v>1.9584729999999997</v>
      </c>
      <c r="J116" s="430">
        <f>(K115+J115)*(K114-J114)/2</f>
        <v>4.4224905000000012</v>
      </c>
      <c r="K116" s="430">
        <f t="shared" si="26"/>
        <v>2.5845750000000001</v>
      </c>
      <c r="L116" s="430">
        <f t="shared" si="26"/>
        <v>2.3159079999999999</v>
      </c>
      <c r="M116" s="430">
        <f t="shared" si="26"/>
        <v>0.79207500000000064</v>
      </c>
      <c r="N116" s="430">
        <f t="shared" si="26"/>
        <v>1.6935765000000016</v>
      </c>
      <c r="O116" s="430">
        <f t="shared" si="26"/>
        <v>0.48350099999999596</v>
      </c>
      <c r="P116" s="430">
        <f t="shared" si="26"/>
        <v>0.97832900000000089</v>
      </c>
      <c r="Q116" s="430">
        <f t="shared" si="26"/>
        <v>0.15566400000000014</v>
      </c>
      <c r="R116" s="430">
        <f t="shared" si="26"/>
        <v>0.13589400000000013</v>
      </c>
      <c r="S116" s="430">
        <f>(T115+S115)*(T114-S114)/2</f>
        <v>1.2763500000000013E-2</v>
      </c>
      <c r="T116" s="430">
        <f t="shared" si="26"/>
        <v>0</v>
      </c>
      <c r="U116" s="430">
        <f t="shared" si="26"/>
        <v>0</v>
      </c>
      <c r="V116" s="430">
        <f t="shared" si="26"/>
        <v>0</v>
      </c>
      <c r="W116" s="430">
        <f>(X115+W115)*(X114-W114)/2</f>
        <v>0</v>
      </c>
      <c r="X116" s="430">
        <f>(Y115+X115)*(Y114-X114)/2</f>
        <v>0</v>
      </c>
      <c r="Y116" s="424"/>
    </row>
    <row r="117" spans="1:26" ht="13" thickBot="1"/>
    <row r="118" spans="1:26" ht="13.5" thickBot="1">
      <c r="A118" s="416" t="s">
        <v>324</v>
      </c>
      <c r="B118" s="414">
        <f>ROW(A118)</f>
        <v>118</v>
      </c>
      <c r="C118" s="418" t="s">
        <v>116</v>
      </c>
      <c r="D118" s="408">
        <f>SUM(B121:Y121)</f>
        <v>26.083982500000001</v>
      </c>
      <c r="E118" s="418" t="s">
        <v>115</v>
      </c>
      <c r="F118" s="409">
        <f>D118/g/J118</f>
        <v>166.18235537716615</v>
      </c>
      <c r="G118" s="418" t="s">
        <v>57</v>
      </c>
      <c r="H118" s="86">
        <v>5.1999999999999998E-2</v>
      </c>
      <c r="I118" s="418" t="s">
        <v>274</v>
      </c>
      <c r="J118" s="410">
        <f>H118-L118</f>
        <v>1.6E-2</v>
      </c>
      <c r="K118" s="418" t="s">
        <v>275</v>
      </c>
      <c r="L118" s="86">
        <v>3.5999999999999997E-2</v>
      </c>
      <c r="M118" s="418" t="s">
        <v>58</v>
      </c>
      <c r="N118" s="457">
        <v>35</v>
      </c>
      <c r="O118" s="418" t="s">
        <v>60</v>
      </c>
      <c r="P118" s="457">
        <v>35</v>
      </c>
      <c r="Q118" s="418" t="s">
        <v>61</v>
      </c>
      <c r="R118" s="87">
        <v>69</v>
      </c>
      <c r="S118" s="418" t="s">
        <v>62</v>
      </c>
      <c r="T118" s="87">
        <v>24</v>
      </c>
      <c r="U118" s="418" t="s">
        <v>55</v>
      </c>
      <c r="V118" s="88" t="s">
        <v>403</v>
      </c>
      <c r="W118" s="547" t="s">
        <v>398</v>
      </c>
      <c r="X118" s="549">
        <v>0.85</v>
      </c>
      <c r="Y118" s="547" t="s">
        <v>397</v>
      </c>
      <c r="Z118" s="413">
        <v>15</v>
      </c>
    </row>
    <row r="119" spans="1:26">
      <c r="A119" s="417" t="s">
        <v>33</v>
      </c>
      <c r="B119" s="425">
        <v>0</v>
      </c>
      <c r="C119" s="426">
        <v>0.02</v>
      </c>
      <c r="D119" s="426">
        <v>2.7E-2</v>
      </c>
      <c r="E119" s="426">
        <v>4.9000000000000002E-2</v>
      </c>
      <c r="F119" s="426">
        <v>0.113</v>
      </c>
      <c r="G119" s="426">
        <v>0.193</v>
      </c>
      <c r="H119" s="426">
        <v>0.28199999999999997</v>
      </c>
      <c r="I119" s="426">
        <v>0.5</v>
      </c>
      <c r="J119" s="426">
        <v>0.72699999999999998</v>
      </c>
      <c r="K119" s="426">
        <v>0.77100000000000002</v>
      </c>
      <c r="L119" s="426">
        <v>0.80700000000000005</v>
      </c>
      <c r="M119" s="426">
        <v>0.84</v>
      </c>
      <c r="N119" s="426">
        <v>0.87</v>
      </c>
      <c r="O119" s="442">
        <v>1</v>
      </c>
      <c r="P119" s="442">
        <v>1</v>
      </c>
      <c r="Q119" s="442">
        <v>1</v>
      </c>
      <c r="R119" s="442">
        <v>1</v>
      </c>
      <c r="S119" s="442">
        <v>1</v>
      </c>
      <c r="T119" s="442">
        <v>1</v>
      </c>
      <c r="U119" s="442">
        <v>1</v>
      </c>
      <c r="V119" s="442">
        <v>1</v>
      </c>
      <c r="W119" s="442">
        <v>1</v>
      </c>
      <c r="X119" s="442">
        <v>2</v>
      </c>
      <c r="Y119" s="444">
        <v>1000</v>
      </c>
    </row>
    <row r="120" spans="1:26">
      <c r="A120" s="434" t="s">
        <v>34</v>
      </c>
      <c r="B120" s="427">
        <v>0</v>
      </c>
      <c r="C120" s="428">
        <v>43.823999999999998</v>
      </c>
      <c r="D120" s="428">
        <v>39.963999999999999</v>
      </c>
      <c r="E120" s="428">
        <v>26.780999999999999</v>
      </c>
      <c r="F120" s="428">
        <v>32.600999999999999</v>
      </c>
      <c r="G120" s="428">
        <v>34.738999999999997</v>
      </c>
      <c r="H120" s="428">
        <v>35.808</v>
      </c>
      <c r="I120" s="428">
        <v>34.442</v>
      </c>
      <c r="J120" s="428">
        <v>29.276</v>
      </c>
      <c r="K120" s="428">
        <v>22.742999999999999</v>
      </c>
      <c r="L120" s="428">
        <v>9.5609999999999999</v>
      </c>
      <c r="M120" s="428">
        <v>3.5630000000000002</v>
      </c>
      <c r="N120" s="428">
        <v>0</v>
      </c>
      <c r="O120" s="433">
        <v>0</v>
      </c>
      <c r="P120" s="433">
        <v>0</v>
      </c>
      <c r="Q120" s="433">
        <v>0</v>
      </c>
      <c r="R120" s="433">
        <v>0</v>
      </c>
      <c r="S120" s="433">
        <v>0</v>
      </c>
      <c r="T120" s="433">
        <f>S120</f>
        <v>0</v>
      </c>
      <c r="U120" s="433">
        <f>T120</f>
        <v>0</v>
      </c>
      <c r="V120" s="433">
        <f>U120</f>
        <v>0</v>
      </c>
      <c r="W120" s="433">
        <f>V120</f>
        <v>0</v>
      </c>
      <c r="X120" s="433">
        <f>W120</f>
        <v>0</v>
      </c>
      <c r="Y120" s="439">
        <v>0</v>
      </c>
    </row>
    <row r="121" spans="1:26" ht="13" thickBot="1">
      <c r="A121" s="435" t="s">
        <v>117</v>
      </c>
      <c r="B121" s="429">
        <f t="shared" ref="B121:V121" si="27">(C120+B120)*(C119-B119)/2</f>
        <v>0.43823999999999996</v>
      </c>
      <c r="C121" s="430">
        <f t="shared" si="27"/>
        <v>0.29325799999999996</v>
      </c>
      <c r="D121" s="430">
        <f t="shared" si="27"/>
        <v>0.73419500000000015</v>
      </c>
      <c r="E121" s="430">
        <f t="shared" si="27"/>
        <v>1.9002239999999999</v>
      </c>
      <c r="F121" s="430">
        <f t="shared" si="27"/>
        <v>2.6936</v>
      </c>
      <c r="G121" s="430">
        <f t="shared" si="27"/>
        <v>3.1393414999999987</v>
      </c>
      <c r="H121" s="430">
        <f t="shared" si="27"/>
        <v>7.6572500000000012</v>
      </c>
      <c r="I121" s="430">
        <f t="shared" si="27"/>
        <v>7.2319930000000001</v>
      </c>
      <c r="J121" s="430">
        <f>(K120+J120)*(K119-J119)/2</f>
        <v>1.144418000000001</v>
      </c>
      <c r="K121" s="430">
        <f t="shared" si="27"/>
        <v>0.58147200000000054</v>
      </c>
      <c r="L121" s="430">
        <f t="shared" si="27"/>
        <v>0.21654599999999946</v>
      </c>
      <c r="M121" s="430">
        <f t="shared" si="27"/>
        <v>5.3445000000000048E-2</v>
      </c>
      <c r="N121" s="430">
        <f t="shared" si="27"/>
        <v>0</v>
      </c>
      <c r="O121" s="430">
        <f t="shared" si="27"/>
        <v>0</v>
      </c>
      <c r="P121" s="430">
        <f t="shared" si="27"/>
        <v>0</v>
      </c>
      <c r="Q121" s="430">
        <f t="shared" si="27"/>
        <v>0</v>
      </c>
      <c r="R121" s="430">
        <f t="shared" si="27"/>
        <v>0</v>
      </c>
      <c r="S121" s="430">
        <f>(T120+S120)*(T119-S119)/2</f>
        <v>0</v>
      </c>
      <c r="T121" s="430">
        <f t="shared" si="27"/>
        <v>0</v>
      </c>
      <c r="U121" s="430">
        <f t="shared" si="27"/>
        <v>0</v>
      </c>
      <c r="V121" s="430">
        <f t="shared" si="27"/>
        <v>0</v>
      </c>
      <c r="W121" s="430">
        <f>(X120+W120)*(X119-W119)/2</f>
        <v>0</v>
      </c>
      <c r="X121" s="430">
        <f>(Y120+X120)*(Y119-X119)/2</f>
        <v>0</v>
      </c>
      <c r="Y121" s="424"/>
    </row>
    <row r="122" spans="1:26" ht="13.5" thickBot="1">
      <c r="A122" s="492" t="s">
        <v>393</v>
      </c>
    </row>
    <row r="123" spans="1:26" ht="13.5" thickBot="1">
      <c r="A123" s="416" t="s">
        <v>394</v>
      </c>
      <c r="B123" s="414">
        <f>ROW(A123)</f>
        <v>123</v>
      </c>
      <c r="C123" s="418" t="s">
        <v>116</v>
      </c>
      <c r="D123" s="408">
        <f>SUM(B126:Y126)</f>
        <v>49.788765499999997</v>
      </c>
      <c r="E123" s="418" t="s">
        <v>115</v>
      </c>
      <c r="F123" s="409">
        <v>231</v>
      </c>
      <c r="G123" s="418" t="s">
        <v>57</v>
      </c>
      <c r="H123" s="86">
        <v>7.2999999999999995E-2</v>
      </c>
      <c r="I123" s="418" t="s">
        <v>274</v>
      </c>
      <c r="J123" s="410">
        <f>H123-L123</f>
        <v>2.7999999999999997E-2</v>
      </c>
      <c r="K123" s="418" t="s">
        <v>275</v>
      </c>
      <c r="L123" s="86">
        <v>4.4999999999999998E-2</v>
      </c>
      <c r="M123" s="418" t="s">
        <v>58</v>
      </c>
      <c r="N123" s="457">
        <v>50</v>
      </c>
      <c r="O123" s="418" t="s">
        <v>60</v>
      </c>
      <c r="P123" s="457">
        <v>50</v>
      </c>
      <c r="Q123" s="418" t="s">
        <v>61</v>
      </c>
      <c r="R123" s="87">
        <v>101</v>
      </c>
      <c r="S123" s="418" t="s">
        <v>62</v>
      </c>
      <c r="T123" s="87">
        <v>24</v>
      </c>
      <c r="U123" s="418" t="s">
        <v>55</v>
      </c>
      <c r="V123" s="88" t="s">
        <v>120</v>
      </c>
      <c r="W123" s="547" t="s">
        <v>398</v>
      </c>
      <c r="X123" s="549">
        <v>1</v>
      </c>
      <c r="Y123" s="547" t="s">
        <v>397</v>
      </c>
      <c r="Z123" s="413">
        <v>13</v>
      </c>
    </row>
    <row r="124" spans="1:26">
      <c r="A124" s="417" t="s">
        <v>33</v>
      </c>
      <c r="B124" s="556">
        <v>0</v>
      </c>
      <c r="C124" s="556">
        <v>1E-3</v>
      </c>
      <c r="D124" s="556">
        <v>2.7E-2</v>
      </c>
      <c r="E124" s="556">
        <v>5.0999999999999997E-2</v>
      </c>
      <c r="F124" s="556">
        <v>0.06</v>
      </c>
      <c r="G124" s="556">
        <v>9.1999999999999998E-2</v>
      </c>
      <c r="H124" s="556">
        <v>0.11899999999999999</v>
      </c>
      <c r="I124" s="556">
        <v>0.17</v>
      </c>
      <c r="J124" s="556">
        <v>0.3</v>
      </c>
      <c r="K124" s="556">
        <v>0.46200000000000002</v>
      </c>
      <c r="L124" s="556">
        <v>0.56899999999999995</v>
      </c>
      <c r="M124" s="556">
        <v>0.67500000000000004</v>
      </c>
      <c r="N124" s="556">
        <v>0.77800000000000002</v>
      </c>
      <c r="O124" s="556">
        <v>0.84599999999999997</v>
      </c>
      <c r="P124" s="556">
        <v>0.91700000000000004</v>
      </c>
      <c r="Q124" s="556">
        <v>1.0089999999999999</v>
      </c>
      <c r="R124" s="556">
        <v>1.032</v>
      </c>
      <c r="S124" s="556">
        <v>1.0449999999999999</v>
      </c>
      <c r="T124" s="442">
        <v>2</v>
      </c>
      <c r="U124" s="442">
        <v>2</v>
      </c>
      <c r="V124" s="442">
        <v>2</v>
      </c>
      <c r="W124" s="442">
        <v>2</v>
      </c>
      <c r="X124" s="442">
        <v>2</v>
      </c>
      <c r="Y124" s="444">
        <v>1000</v>
      </c>
    </row>
    <row r="125" spans="1:26">
      <c r="A125" s="434" t="s">
        <v>34</v>
      </c>
      <c r="B125" s="556">
        <v>0</v>
      </c>
      <c r="C125" s="556">
        <v>5.1449999999999996</v>
      </c>
      <c r="D125" s="556">
        <v>67.975999999999999</v>
      </c>
      <c r="E125" s="556">
        <v>53.807000000000002</v>
      </c>
      <c r="F125" s="556">
        <v>52.88</v>
      </c>
      <c r="G125" s="556">
        <v>55.915999999999997</v>
      </c>
      <c r="H125" s="556">
        <v>57.94</v>
      </c>
      <c r="I125" s="556">
        <v>59.710999999999999</v>
      </c>
      <c r="J125" s="556">
        <v>61.145000000000003</v>
      </c>
      <c r="K125" s="556">
        <v>58.951999999999998</v>
      </c>
      <c r="L125" s="556">
        <v>55.578000000000003</v>
      </c>
      <c r="M125" s="556">
        <v>52.204999999999998</v>
      </c>
      <c r="N125" s="556">
        <v>46.386000000000003</v>
      </c>
      <c r="O125" s="556">
        <v>38.119999999999997</v>
      </c>
      <c r="P125" s="556">
        <v>20.324999999999999</v>
      </c>
      <c r="Q125" s="556">
        <v>3.5419999999999998</v>
      </c>
      <c r="R125" s="556">
        <v>1.6020000000000001</v>
      </c>
      <c r="S125" s="556">
        <v>0</v>
      </c>
      <c r="T125" s="433">
        <f>S125</f>
        <v>0</v>
      </c>
      <c r="U125" s="433">
        <f>T125</f>
        <v>0</v>
      </c>
      <c r="V125" s="433">
        <f>U125</f>
        <v>0</v>
      </c>
      <c r="W125" s="433">
        <f>V125</f>
        <v>0</v>
      </c>
      <c r="X125" s="433">
        <f>W125</f>
        <v>0</v>
      </c>
      <c r="Y125" s="439">
        <v>0</v>
      </c>
    </row>
    <row r="126" spans="1:26" ht="13" thickBot="1">
      <c r="A126" s="435" t="s">
        <v>117</v>
      </c>
      <c r="B126" s="429">
        <f t="shared" ref="B126:X126" si="28">(C125+B125)*(C124-B124)/2</f>
        <v>2.5724999999999997E-3</v>
      </c>
      <c r="C126" s="430">
        <f t="shared" si="28"/>
        <v>0.95057299999999989</v>
      </c>
      <c r="D126" s="430">
        <f t="shared" si="28"/>
        <v>1.4613959999999999</v>
      </c>
      <c r="E126" s="430">
        <f t="shared" si="28"/>
        <v>0.48009150000000012</v>
      </c>
      <c r="F126" s="430">
        <f t="shared" si="28"/>
        <v>1.7407359999999998</v>
      </c>
      <c r="G126" s="430">
        <f t="shared" si="28"/>
        <v>1.5370559999999998</v>
      </c>
      <c r="H126" s="430">
        <f t="shared" si="28"/>
        <v>3.0001005000000007</v>
      </c>
      <c r="I126" s="430">
        <f t="shared" si="28"/>
        <v>7.8556399999999984</v>
      </c>
      <c r="J126" s="430">
        <f t="shared" si="28"/>
        <v>9.727857000000002</v>
      </c>
      <c r="K126" s="430">
        <f t="shared" si="28"/>
        <v>6.1273549999999961</v>
      </c>
      <c r="L126" s="430">
        <f t="shared" si="28"/>
        <v>5.7124990000000055</v>
      </c>
      <c r="M126" s="430">
        <f t="shared" si="28"/>
        <v>5.0774364999999992</v>
      </c>
      <c r="N126" s="430">
        <f t="shared" si="28"/>
        <v>2.8732039999999976</v>
      </c>
      <c r="O126" s="430">
        <f t="shared" si="28"/>
        <v>2.0747975000000016</v>
      </c>
      <c r="P126" s="430">
        <f t="shared" si="28"/>
        <v>1.0978819999999982</v>
      </c>
      <c r="Q126" s="430">
        <f t="shared" si="28"/>
        <v>5.915600000000034E-2</v>
      </c>
      <c r="R126" s="430">
        <f t="shared" si="28"/>
        <v>1.0412999999999921E-2</v>
      </c>
      <c r="S126" s="430">
        <f t="shared" si="28"/>
        <v>0</v>
      </c>
      <c r="T126" s="430">
        <f t="shared" si="28"/>
        <v>0</v>
      </c>
      <c r="U126" s="430">
        <f t="shared" si="28"/>
        <v>0</v>
      </c>
      <c r="V126" s="430">
        <f t="shared" si="28"/>
        <v>0</v>
      </c>
      <c r="W126" s="430">
        <f t="shared" si="28"/>
        <v>0</v>
      </c>
      <c r="X126" s="430">
        <f t="shared" si="28"/>
        <v>0</v>
      </c>
      <c r="Y126" s="424"/>
    </row>
    <row r="127" spans="1:26" ht="13" thickBot="1"/>
    <row r="128" spans="1:26" ht="13.5" thickBot="1">
      <c r="A128" s="416" t="s">
        <v>395</v>
      </c>
      <c r="B128" s="414">
        <f>ROW(A128)</f>
        <v>128</v>
      </c>
      <c r="C128" s="418" t="s">
        <v>116</v>
      </c>
      <c r="D128" s="408">
        <f>SUM(B131:Y131)</f>
        <v>52.815674000000008</v>
      </c>
      <c r="E128" s="418" t="s">
        <v>115</v>
      </c>
      <c r="F128" s="409">
        <v>239</v>
      </c>
      <c r="G128" s="418" t="s">
        <v>57</v>
      </c>
      <c r="H128" s="86">
        <v>7.2999999999999995E-2</v>
      </c>
      <c r="I128" s="418" t="s">
        <v>274</v>
      </c>
      <c r="J128" s="410">
        <f>H128-L128</f>
        <v>2.8999999999999998E-2</v>
      </c>
      <c r="K128" s="418" t="s">
        <v>275</v>
      </c>
      <c r="L128" s="86">
        <v>4.3999999999999997E-2</v>
      </c>
      <c r="M128" s="418" t="s">
        <v>58</v>
      </c>
      <c r="N128" s="457">
        <v>50</v>
      </c>
      <c r="O128" s="418" t="s">
        <v>60</v>
      </c>
      <c r="P128" s="457">
        <v>50</v>
      </c>
      <c r="Q128" s="418" t="s">
        <v>61</v>
      </c>
      <c r="R128" s="87">
        <v>101</v>
      </c>
      <c r="S128" s="418" t="s">
        <v>62</v>
      </c>
      <c r="T128" s="87">
        <v>24</v>
      </c>
      <c r="U128" s="418" t="s">
        <v>55</v>
      </c>
      <c r="V128" s="88" t="s">
        <v>120</v>
      </c>
      <c r="W128" s="547" t="s">
        <v>398</v>
      </c>
      <c r="X128" s="549">
        <v>0.77</v>
      </c>
      <c r="Y128" s="547" t="s">
        <v>397</v>
      </c>
      <c r="Z128" s="413">
        <v>14</v>
      </c>
    </row>
    <row r="129" spans="1:26">
      <c r="A129" s="417" t="s">
        <v>33</v>
      </c>
      <c r="B129" s="556">
        <v>0</v>
      </c>
      <c r="C129" s="556">
        <v>1E-3</v>
      </c>
      <c r="D129" s="556">
        <v>1.2999999999999999E-2</v>
      </c>
      <c r="E129" s="556">
        <v>2.3E-2</v>
      </c>
      <c r="F129" s="556">
        <v>5.1999999999999998E-2</v>
      </c>
      <c r="G129" s="556">
        <v>0.1</v>
      </c>
      <c r="H129" s="556">
        <v>0.379</v>
      </c>
      <c r="I129" s="556">
        <v>0.64100000000000001</v>
      </c>
      <c r="J129" s="556">
        <v>0.66500000000000004</v>
      </c>
      <c r="K129" s="556">
        <v>0.70599999999999996</v>
      </c>
      <c r="L129" s="556">
        <v>0.74399999999999999</v>
      </c>
      <c r="M129" s="556">
        <v>0.78700000000000003</v>
      </c>
      <c r="N129" s="556">
        <v>0.81599999999999995</v>
      </c>
      <c r="O129" s="426">
        <v>1</v>
      </c>
      <c r="P129" s="426">
        <v>1</v>
      </c>
      <c r="Q129" s="426">
        <v>1</v>
      </c>
      <c r="R129" s="426">
        <v>1</v>
      </c>
      <c r="S129" s="426">
        <v>1</v>
      </c>
      <c r="T129" s="426">
        <v>1</v>
      </c>
      <c r="U129" s="426">
        <v>1</v>
      </c>
      <c r="V129" s="442">
        <v>1</v>
      </c>
      <c r="W129" s="442">
        <v>2</v>
      </c>
      <c r="X129" s="442">
        <v>2</v>
      </c>
      <c r="Y129" s="444">
        <v>1000</v>
      </c>
    </row>
    <row r="130" spans="1:26">
      <c r="A130" s="434" t="s">
        <v>34</v>
      </c>
      <c r="B130" s="556">
        <v>0</v>
      </c>
      <c r="C130" s="556">
        <v>8.3030000000000008</v>
      </c>
      <c r="D130" s="556">
        <v>85.68</v>
      </c>
      <c r="E130" s="556">
        <v>96.149000000000001</v>
      </c>
      <c r="F130" s="556">
        <v>78.820999999999998</v>
      </c>
      <c r="G130" s="556">
        <v>83.634</v>
      </c>
      <c r="H130" s="556">
        <v>77.858000000000004</v>
      </c>
      <c r="I130" s="556">
        <v>62.575000000000003</v>
      </c>
      <c r="J130" s="556">
        <v>55.716000000000001</v>
      </c>
      <c r="K130" s="556">
        <v>23.946999999999999</v>
      </c>
      <c r="L130" s="556">
        <v>9.1460000000000008</v>
      </c>
      <c r="M130" s="556">
        <v>2.7679999999999998</v>
      </c>
      <c r="N130" s="556">
        <v>0</v>
      </c>
      <c r="O130" s="428">
        <v>0</v>
      </c>
      <c r="P130" s="428">
        <v>0</v>
      </c>
      <c r="Q130" s="428">
        <v>0</v>
      </c>
      <c r="R130" s="428">
        <v>0</v>
      </c>
      <c r="S130" s="428">
        <v>0</v>
      </c>
      <c r="T130" s="428">
        <v>0</v>
      </c>
      <c r="U130" s="428">
        <v>0</v>
      </c>
      <c r="V130" s="433">
        <f>U130</f>
        <v>0</v>
      </c>
      <c r="W130" s="433">
        <f>V130</f>
        <v>0</v>
      </c>
      <c r="X130" s="433">
        <f>W130</f>
        <v>0</v>
      </c>
      <c r="Y130" s="439">
        <v>0</v>
      </c>
    </row>
    <row r="131" spans="1:26" ht="13" thickBot="1">
      <c r="A131" s="435" t="s">
        <v>117</v>
      </c>
      <c r="B131" s="429">
        <f t="shared" ref="B131:X131" si="29">(C130+B130)*(C129-B129)/2</f>
        <v>4.1515000000000007E-3</v>
      </c>
      <c r="C131" s="430">
        <f t="shared" si="29"/>
        <v>0.56389800000000001</v>
      </c>
      <c r="D131" s="430">
        <f t="shared" si="29"/>
        <v>0.90914500000000009</v>
      </c>
      <c r="E131" s="430">
        <f t="shared" si="29"/>
        <v>2.5370649999999997</v>
      </c>
      <c r="F131" s="430">
        <f t="shared" si="29"/>
        <v>3.8989200000000004</v>
      </c>
      <c r="G131" s="430">
        <f t="shared" si="29"/>
        <v>22.528134000000005</v>
      </c>
      <c r="H131" s="430">
        <f t="shared" si="29"/>
        <v>18.396723000000001</v>
      </c>
      <c r="I131" s="430">
        <f t="shared" si="29"/>
        <v>1.4194920000000013</v>
      </c>
      <c r="J131" s="430">
        <f t="shared" si="29"/>
        <v>1.633091499999997</v>
      </c>
      <c r="K131" s="430">
        <f t="shared" si="29"/>
        <v>0.62876700000000063</v>
      </c>
      <c r="L131" s="430">
        <f t="shared" si="29"/>
        <v>0.25615100000000024</v>
      </c>
      <c r="M131" s="430">
        <f t="shared" si="29"/>
        <v>4.013599999999988E-2</v>
      </c>
      <c r="N131" s="430">
        <f t="shared" si="29"/>
        <v>0</v>
      </c>
      <c r="O131" s="430">
        <f t="shared" si="29"/>
        <v>0</v>
      </c>
      <c r="P131" s="430">
        <f t="shared" si="29"/>
        <v>0</v>
      </c>
      <c r="Q131" s="430">
        <f t="shared" si="29"/>
        <v>0</v>
      </c>
      <c r="R131" s="430">
        <f t="shared" si="29"/>
        <v>0</v>
      </c>
      <c r="S131" s="430">
        <f t="shared" si="29"/>
        <v>0</v>
      </c>
      <c r="T131" s="430">
        <f t="shared" si="29"/>
        <v>0</v>
      </c>
      <c r="U131" s="430">
        <f t="shared" si="29"/>
        <v>0</v>
      </c>
      <c r="V131" s="430">
        <f t="shared" si="29"/>
        <v>0</v>
      </c>
      <c r="W131" s="430">
        <f t="shared" si="29"/>
        <v>0</v>
      </c>
      <c r="X131" s="430">
        <f t="shared" si="29"/>
        <v>0</v>
      </c>
      <c r="Y131" s="424"/>
    </row>
    <row r="132" spans="1:26" ht="13.5" thickBot="1">
      <c r="A132" s="492" t="s">
        <v>317</v>
      </c>
    </row>
    <row r="133" spans="1:26" ht="13.5" thickBot="1">
      <c r="A133" s="416" t="s">
        <v>385</v>
      </c>
      <c r="B133" s="414">
        <f>ROW(A133)</f>
        <v>133</v>
      </c>
      <c r="C133" s="418" t="s">
        <v>116</v>
      </c>
      <c r="D133" s="408">
        <f>SUM(B136:Y136)</f>
        <v>41.835000000000015</v>
      </c>
      <c r="E133" s="418" t="s">
        <v>115</v>
      </c>
      <c r="F133" s="409">
        <f>D133/g/J133</f>
        <v>121.84359982525126</v>
      </c>
      <c r="G133" s="418" t="s">
        <v>57</v>
      </c>
      <c r="H133" s="86">
        <v>0.104</v>
      </c>
      <c r="I133" s="418" t="s">
        <v>274</v>
      </c>
      <c r="J133" s="410">
        <f>H133-L133</f>
        <v>3.4999999999999989E-2</v>
      </c>
      <c r="K133" s="418" t="s">
        <v>275</v>
      </c>
      <c r="L133" s="86">
        <v>6.9000000000000006E-2</v>
      </c>
      <c r="M133" s="418" t="s">
        <v>58</v>
      </c>
      <c r="N133" s="87">
        <v>49</v>
      </c>
      <c r="O133" s="418" t="s">
        <v>60</v>
      </c>
      <c r="P133" s="87">
        <v>49</v>
      </c>
      <c r="Q133" s="418" t="s">
        <v>61</v>
      </c>
      <c r="R133" s="87">
        <v>98</v>
      </c>
      <c r="S133" s="418" t="s">
        <v>62</v>
      </c>
      <c r="T133" s="87">
        <v>29</v>
      </c>
      <c r="U133" s="418" t="s">
        <v>55</v>
      </c>
      <c r="V133" s="88" t="s">
        <v>403</v>
      </c>
      <c r="W133" s="547" t="s">
        <v>398</v>
      </c>
      <c r="X133" s="549">
        <v>1.07</v>
      </c>
      <c r="Y133" s="547" t="s">
        <v>397</v>
      </c>
      <c r="Z133" s="413">
        <v>11</v>
      </c>
    </row>
    <row r="134" spans="1:26">
      <c r="A134" s="417" t="s">
        <v>33</v>
      </c>
      <c r="B134" s="441">
        <v>0</v>
      </c>
      <c r="C134" s="442">
        <v>0.01</v>
      </c>
      <c r="D134" s="442">
        <v>0.02</v>
      </c>
      <c r="E134" s="442">
        <v>0.03</v>
      </c>
      <c r="F134" s="442">
        <v>0.04</v>
      </c>
      <c r="G134" s="442">
        <v>0.06</v>
      </c>
      <c r="H134" s="442">
        <v>7.0000000000000007E-2</v>
      </c>
      <c r="I134" s="442">
        <v>0.08</v>
      </c>
      <c r="J134" s="442">
        <v>0.1</v>
      </c>
      <c r="K134" s="442">
        <v>0.2</v>
      </c>
      <c r="L134" s="442">
        <v>0.3</v>
      </c>
      <c r="M134" s="442">
        <v>0.4</v>
      </c>
      <c r="N134" s="442">
        <v>0.5</v>
      </c>
      <c r="O134" s="442">
        <v>0.6</v>
      </c>
      <c r="P134" s="442">
        <v>0.7</v>
      </c>
      <c r="Q134" s="442">
        <v>0.8</v>
      </c>
      <c r="R134" s="442">
        <v>0.85</v>
      </c>
      <c r="S134" s="442">
        <v>0.92</v>
      </c>
      <c r="T134" s="442">
        <v>0.95</v>
      </c>
      <c r="U134" s="442">
        <v>0.99</v>
      </c>
      <c r="V134" s="442">
        <v>1.05</v>
      </c>
      <c r="W134" s="442">
        <v>1.05</v>
      </c>
      <c r="X134" s="442">
        <v>2</v>
      </c>
      <c r="Y134" s="444">
        <v>1000</v>
      </c>
    </row>
    <row r="135" spans="1:26">
      <c r="A135" s="434" t="s">
        <v>34</v>
      </c>
      <c r="B135" s="443">
        <v>0</v>
      </c>
      <c r="C135" s="433">
        <v>12</v>
      </c>
      <c r="D135" s="433">
        <v>46</v>
      </c>
      <c r="E135" s="433">
        <v>75</v>
      </c>
      <c r="F135" s="433">
        <v>79</v>
      </c>
      <c r="G135" s="433">
        <v>77</v>
      </c>
      <c r="H135" s="433">
        <v>62</v>
      </c>
      <c r="I135" s="433">
        <v>32</v>
      </c>
      <c r="J135" s="433">
        <v>35</v>
      </c>
      <c r="K135" s="433">
        <v>38</v>
      </c>
      <c r="L135" s="433">
        <v>39</v>
      </c>
      <c r="M135" s="433">
        <v>41</v>
      </c>
      <c r="N135" s="433">
        <v>43</v>
      </c>
      <c r="O135" s="433">
        <v>43</v>
      </c>
      <c r="P135" s="433">
        <v>43</v>
      </c>
      <c r="Q135" s="433">
        <v>43</v>
      </c>
      <c r="R135" s="433">
        <v>47</v>
      </c>
      <c r="S135" s="433">
        <v>54</v>
      </c>
      <c r="T135" s="433">
        <v>32</v>
      </c>
      <c r="U135" s="433">
        <v>8</v>
      </c>
      <c r="V135" s="433">
        <v>0</v>
      </c>
      <c r="W135" s="433">
        <v>0</v>
      </c>
      <c r="X135" s="433">
        <v>0</v>
      </c>
      <c r="Y135" s="439">
        <v>0</v>
      </c>
    </row>
    <row r="136" spans="1:26" ht="13" thickBot="1">
      <c r="A136" s="435" t="s">
        <v>117</v>
      </c>
      <c r="B136" s="429">
        <f t="shared" ref="B136:X136" si="30">(C135+B135)*(C134-B134)/2</f>
        <v>0.06</v>
      </c>
      <c r="C136" s="430">
        <f t="shared" si="30"/>
        <v>0.28999999999999998</v>
      </c>
      <c r="D136" s="430">
        <f t="shared" si="30"/>
        <v>0.60499999999999987</v>
      </c>
      <c r="E136" s="430">
        <f t="shared" si="30"/>
        <v>0.77000000000000013</v>
      </c>
      <c r="F136" s="430">
        <f t="shared" si="30"/>
        <v>1.5599999999999998</v>
      </c>
      <c r="G136" s="430">
        <f t="shared" si="30"/>
        <v>0.69500000000000062</v>
      </c>
      <c r="H136" s="430">
        <f t="shared" si="30"/>
        <v>0.46999999999999975</v>
      </c>
      <c r="I136" s="430">
        <f t="shared" si="30"/>
        <v>0.67000000000000015</v>
      </c>
      <c r="J136" s="430">
        <f t="shared" si="30"/>
        <v>3.6500000000000004</v>
      </c>
      <c r="K136" s="430">
        <f t="shared" si="30"/>
        <v>3.8499999999999992</v>
      </c>
      <c r="L136" s="430">
        <f t="shared" si="30"/>
        <v>4.0000000000000018</v>
      </c>
      <c r="M136" s="430">
        <f t="shared" si="30"/>
        <v>4.1999999999999993</v>
      </c>
      <c r="N136" s="430">
        <f t="shared" si="30"/>
        <v>4.2999999999999989</v>
      </c>
      <c r="O136" s="430">
        <f t="shared" si="30"/>
        <v>4.2999999999999989</v>
      </c>
      <c r="P136" s="430">
        <f t="shared" si="30"/>
        <v>4.3000000000000043</v>
      </c>
      <c r="Q136" s="430">
        <f t="shared" si="30"/>
        <v>2.2499999999999969</v>
      </c>
      <c r="R136" s="430">
        <f t="shared" si="30"/>
        <v>3.5350000000000033</v>
      </c>
      <c r="S136" s="430">
        <f t="shared" si="30"/>
        <v>1.2899999999999965</v>
      </c>
      <c r="T136" s="430">
        <f t="shared" si="30"/>
        <v>0.80000000000000071</v>
      </c>
      <c r="U136" s="430">
        <f t="shared" si="30"/>
        <v>0.24000000000000021</v>
      </c>
      <c r="V136" s="430">
        <f t="shared" si="30"/>
        <v>0</v>
      </c>
      <c r="W136" s="430">
        <f t="shared" si="30"/>
        <v>0</v>
      </c>
      <c r="X136" s="430">
        <f t="shared" si="30"/>
        <v>0</v>
      </c>
      <c r="Y136" s="424"/>
    </row>
    <row r="137" spans="1:26" ht="13" thickBot="1">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6" ht="13.5" thickBot="1">
      <c r="A138" s="416" t="s">
        <v>386</v>
      </c>
      <c r="B138" s="414">
        <f>ROW(A138)</f>
        <v>138</v>
      </c>
      <c r="C138" s="418" t="s">
        <v>116</v>
      </c>
      <c r="D138" s="408">
        <f>SUM(B141:Y141)</f>
        <v>52.564999999999998</v>
      </c>
      <c r="E138" s="418" t="s">
        <v>115</v>
      </c>
      <c r="F138" s="409">
        <f>D138/g/J138</f>
        <v>167.44712028542301</v>
      </c>
      <c r="G138" s="418" t="s">
        <v>57</v>
      </c>
      <c r="H138" s="86">
        <v>0.10100000000000001</v>
      </c>
      <c r="I138" s="418" t="s">
        <v>274</v>
      </c>
      <c r="J138" s="410">
        <f>H138-L138</f>
        <v>3.2000000000000001E-2</v>
      </c>
      <c r="K138" s="418" t="s">
        <v>275</v>
      </c>
      <c r="L138" s="86">
        <v>6.9000000000000006E-2</v>
      </c>
      <c r="M138" s="418" t="s">
        <v>58</v>
      </c>
      <c r="N138" s="87">
        <v>49</v>
      </c>
      <c r="O138" s="418" t="s">
        <v>60</v>
      </c>
      <c r="P138" s="87">
        <v>49</v>
      </c>
      <c r="Q138" s="418" t="s">
        <v>61</v>
      </c>
      <c r="R138" s="87">
        <v>98</v>
      </c>
      <c r="S138" s="418" t="s">
        <v>62</v>
      </c>
      <c r="T138" s="87">
        <v>29</v>
      </c>
      <c r="U138" s="418" t="s">
        <v>55</v>
      </c>
      <c r="V138" s="88" t="s">
        <v>404</v>
      </c>
      <c r="W138" s="547" t="s">
        <v>398</v>
      </c>
      <c r="X138" s="549">
        <v>1.8</v>
      </c>
      <c r="Y138" s="547" t="s">
        <v>397</v>
      </c>
      <c r="Z138" s="413">
        <v>12</v>
      </c>
    </row>
    <row r="139" spans="1:26">
      <c r="A139" s="417" t="s">
        <v>33</v>
      </c>
      <c r="B139" s="441">
        <v>0</v>
      </c>
      <c r="C139" s="442">
        <v>0.01</v>
      </c>
      <c r="D139" s="442">
        <v>0.03</v>
      </c>
      <c r="E139" s="442">
        <v>0.04</v>
      </c>
      <c r="F139" s="442">
        <v>0.05</v>
      </c>
      <c r="G139" s="442">
        <v>0.06</v>
      </c>
      <c r="H139" s="442">
        <v>7.0000000000000007E-2</v>
      </c>
      <c r="I139" s="442">
        <v>0.08</v>
      </c>
      <c r="J139" s="442">
        <v>0.09</v>
      </c>
      <c r="K139" s="442">
        <v>0.1</v>
      </c>
      <c r="L139" s="442">
        <v>0.2</v>
      </c>
      <c r="M139" s="442">
        <v>0.3</v>
      </c>
      <c r="N139" s="442">
        <v>0.4</v>
      </c>
      <c r="O139" s="442">
        <v>0.5</v>
      </c>
      <c r="P139" s="442">
        <v>0.7</v>
      </c>
      <c r="Q139" s="442">
        <v>0.8</v>
      </c>
      <c r="R139" s="442">
        <v>0.9</v>
      </c>
      <c r="S139" s="442">
        <v>1</v>
      </c>
      <c r="T139" s="442">
        <v>1.1000000000000001</v>
      </c>
      <c r="U139" s="442">
        <v>1.24</v>
      </c>
      <c r="V139" s="442">
        <v>1.3</v>
      </c>
      <c r="W139" s="442">
        <v>1.5</v>
      </c>
      <c r="X139" s="442">
        <v>2</v>
      </c>
      <c r="Y139" s="444">
        <v>1000</v>
      </c>
    </row>
    <row r="140" spans="1:26">
      <c r="A140" s="434" t="s">
        <v>34</v>
      </c>
      <c r="B140" s="443">
        <v>0</v>
      </c>
      <c r="C140" s="433">
        <v>12</v>
      </c>
      <c r="D140" s="433">
        <v>41</v>
      </c>
      <c r="E140" s="433">
        <v>42</v>
      </c>
      <c r="F140" s="433">
        <v>42</v>
      </c>
      <c r="G140" s="433">
        <v>40</v>
      </c>
      <c r="H140" s="433">
        <v>34</v>
      </c>
      <c r="I140" s="433">
        <v>34</v>
      </c>
      <c r="J140" s="433">
        <v>35</v>
      </c>
      <c r="K140" s="433">
        <v>36</v>
      </c>
      <c r="L140" s="433">
        <v>40</v>
      </c>
      <c r="M140" s="433">
        <v>42</v>
      </c>
      <c r="N140" s="433">
        <v>43</v>
      </c>
      <c r="O140" s="433">
        <v>43</v>
      </c>
      <c r="P140" s="433">
        <v>43</v>
      </c>
      <c r="Q140" s="433">
        <v>42</v>
      </c>
      <c r="R140" s="433">
        <v>41</v>
      </c>
      <c r="S140" s="433">
        <v>40</v>
      </c>
      <c r="T140" s="433">
        <v>38</v>
      </c>
      <c r="U140" s="433">
        <v>37</v>
      </c>
      <c r="V140" s="433">
        <v>12</v>
      </c>
      <c r="W140" s="433">
        <v>0</v>
      </c>
      <c r="X140" s="433">
        <v>0</v>
      </c>
      <c r="Y140" s="439">
        <v>0</v>
      </c>
    </row>
    <row r="141" spans="1:26" ht="13" thickBot="1">
      <c r="A141" s="435" t="s">
        <v>117</v>
      </c>
      <c r="B141" s="429">
        <f t="shared" ref="B141:X141" si="31">(C140+B140)*(C139-B139)/2</f>
        <v>0.06</v>
      </c>
      <c r="C141" s="430">
        <f t="shared" si="31"/>
        <v>0.52999999999999992</v>
      </c>
      <c r="D141" s="430">
        <f t="shared" si="31"/>
        <v>0.41500000000000009</v>
      </c>
      <c r="E141" s="430">
        <f t="shared" si="31"/>
        <v>0.4200000000000001</v>
      </c>
      <c r="F141" s="430">
        <f t="shared" si="31"/>
        <v>0.40999999999999981</v>
      </c>
      <c r="G141" s="430">
        <f t="shared" si="31"/>
        <v>0.37000000000000033</v>
      </c>
      <c r="H141" s="430">
        <f t="shared" si="31"/>
        <v>0.33999999999999986</v>
      </c>
      <c r="I141" s="430">
        <f t="shared" si="31"/>
        <v>0.34499999999999981</v>
      </c>
      <c r="J141" s="430">
        <f t="shared" si="31"/>
        <v>0.35500000000000032</v>
      </c>
      <c r="K141" s="430">
        <f t="shared" si="31"/>
        <v>3.8000000000000003</v>
      </c>
      <c r="L141" s="430">
        <f t="shared" si="31"/>
        <v>4.0999999999999988</v>
      </c>
      <c r="M141" s="430">
        <f t="shared" si="31"/>
        <v>4.2500000000000018</v>
      </c>
      <c r="N141" s="430">
        <f t="shared" si="31"/>
        <v>4.2999999999999989</v>
      </c>
      <c r="O141" s="430">
        <f t="shared" si="31"/>
        <v>8.5999999999999979</v>
      </c>
      <c r="P141" s="430">
        <f t="shared" si="31"/>
        <v>4.2500000000000036</v>
      </c>
      <c r="Q141" s="430">
        <f t="shared" si="31"/>
        <v>4.1499999999999995</v>
      </c>
      <c r="R141" s="430">
        <f t="shared" si="31"/>
        <v>4.0499999999999989</v>
      </c>
      <c r="S141" s="430">
        <f t="shared" si="31"/>
        <v>3.9000000000000035</v>
      </c>
      <c r="T141" s="430">
        <f t="shared" si="31"/>
        <v>5.2499999999999964</v>
      </c>
      <c r="U141" s="430">
        <f t="shared" si="31"/>
        <v>1.4700000000000013</v>
      </c>
      <c r="V141" s="430">
        <f t="shared" si="31"/>
        <v>1.1999999999999997</v>
      </c>
      <c r="W141" s="430">
        <f t="shared" si="31"/>
        <v>0</v>
      </c>
      <c r="X141" s="430">
        <f t="shared" si="31"/>
        <v>0</v>
      </c>
      <c r="Y141" s="424"/>
    </row>
    <row r="142" spans="1:26" ht="13" thickBot="1">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6" ht="13.5" thickBot="1">
      <c r="A143" s="416" t="s">
        <v>387</v>
      </c>
      <c r="B143" s="414">
        <f>ROW(A143)</f>
        <v>143</v>
      </c>
      <c r="C143" s="418" t="s">
        <v>116</v>
      </c>
      <c r="D143" s="408">
        <f>SUM(B146:Y146)</f>
        <v>54.110016122119539</v>
      </c>
      <c r="E143" s="418" t="s">
        <v>115</v>
      </c>
      <c r="F143" s="409">
        <f>D143/g/J143</f>
        <v>146.69685764124625</v>
      </c>
      <c r="G143" s="418" t="s">
        <v>57</v>
      </c>
      <c r="H143" s="86">
        <v>0.10580000000000001</v>
      </c>
      <c r="I143" s="418" t="s">
        <v>274</v>
      </c>
      <c r="J143" s="410">
        <f>H143-L143</f>
        <v>3.7600000000000008E-2</v>
      </c>
      <c r="K143" s="418" t="s">
        <v>275</v>
      </c>
      <c r="L143" s="86">
        <v>6.8199999999999997E-2</v>
      </c>
      <c r="M143" s="418" t="s">
        <v>58</v>
      </c>
      <c r="N143" s="87">
        <v>49</v>
      </c>
      <c r="O143" s="418" t="s">
        <v>60</v>
      </c>
      <c r="P143" s="87">
        <v>49</v>
      </c>
      <c r="Q143" s="418" t="s">
        <v>61</v>
      </c>
      <c r="R143" s="87">
        <v>98</v>
      </c>
      <c r="S143" s="418" t="s">
        <v>62</v>
      </c>
      <c r="T143" s="87">
        <v>29</v>
      </c>
      <c r="U143" s="418" t="s">
        <v>55</v>
      </c>
      <c r="V143" s="88" t="s">
        <v>403</v>
      </c>
      <c r="W143" s="547" t="s">
        <v>398</v>
      </c>
      <c r="X143" s="549">
        <v>1.9</v>
      </c>
      <c r="Y143" s="547" t="s">
        <v>397</v>
      </c>
      <c r="Z143" s="413">
        <v>12</v>
      </c>
    </row>
    <row r="144" spans="1:26">
      <c r="A144" s="417" t="s">
        <v>33</v>
      </c>
      <c r="B144" s="441">
        <v>0</v>
      </c>
      <c r="C144" s="442">
        <v>2.5000000000000001E-2</v>
      </c>
      <c r="D144" s="442">
        <v>0.05</v>
      </c>
      <c r="E144" s="442">
        <v>7.4999999999999997E-2</v>
      </c>
      <c r="F144" s="442">
        <v>0.1</v>
      </c>
      <c r="G144" s="442">
        <v>0.15</v>
      </c>
      <c r="H144" s="442">
        <v>0.17499999999999999</v>
      </c>
      <c r="I144" s="442">
        <v>0.2</v>
      </c>
      <c r="J144" s="442">
        <v>0.3</v>
      </c>
      <c r="K144" s="442">
        <v>0.4</v>
      </c>
      <c r="L144" s="442">
        <v>0.5</v>
      </c>
      <c r="M144" s="442">
        <v>0.6</v>
      </c>
      <c r="N144" s="442">
        <v>0.7</v>
      </c>
      <c r="O144" s="442">
        <v>0.8</v>
      </c>
      <c r="P144" s="442">
        <v>0.9</v>
      </c>
      <c r="Q144" s="442">
        <v>1.1000000000000001</v>
      </c>
      <c r="R144" s="442">
        <v>1.2</v>
      </c>
      <c r="S144" s="442">
        <v>1.6</v>
      </c>
      <c r="T144" s="442">
        <v>1.7</v>
      </c>
      <c r="U144" s="442">
        <v>1.8</v>
      </c>
      <c r="V144" s="442">
        <v>1.9</v>
      </c>
      <c r="W144" s="442">
        <v>1.9999</v>
      </c>
      <c r="X144" s="442">
        <v>2</v>
      </c>
      <c r="Y144" s="444">
        <v>1000</v>
      </c>
    </row>
    <row r="145" spans="1:26">
      <c r="A145" s="434" t="s">
        <v>34</v>
      </c>
      <c r="B145" s="443">
        <v>0</v>
      </c>
      <c r="C145" s="431">
        <v>15.2574001848975</v>
      </c>
      <c r="D145" s="431">
        <v>26.377954255522496</v>
      </c>
      <c r="E145" s="431">
        <v>21.484910464447498</v>
      </c>
      <c r="F145" s="431">
        <v>24.020396792549999</v>
      </c>
      <c r="G145" s="431">
        <v>28.11276069054</v>
      </c>
      <c r="H145" s="431">
        <v>28.691029502212498</v>
      </c>
      <c r="I145" s="431">
        <v>29.180333881319996</v>
      </c>
      <c r="J145" s="431">
        <v>31.493409128009997</v>
      </c>
      <c r="K145" s="431">
        <v>32.560982318789996</v>
      </c>
      <c r="L145" s="431">
        <v>32.827875616484995</v>
      </c>
      <c r="M145" s="431">
        <v>32.649946751354996</v>
      </c>
      <c r="N145" s="431">
        <v>32.383053453659997</v>
      </c>
      <c r="O145" s="431">
        <v>32.249606804812501</v>
      </c>
      <c r="P145" s="431">
        <v>31.804784641987499</v>
      </c>
      <c r="Q145" s="431">
        <v>30.559282586077497</v>
      </c>
      <c r="R145" s="431">
        <v>30.069978206969999</v>
      </c>
      <c r="S145" s="431">
        <v>26.377954255522496</v>
      </c>
      <c r="T145" s="431">
        <v>24.865558901917499</v>
      </c>
      <c r="U145" s="431">
        <v>18.4601197572375</v>
      </c>
      <c r="V145" s="431">
        <v>7.5174945517424998</v>
      </c>
      <c r="W145" s="431">
        <v>1.3789487047575</v>
      </c>
      <c r="X145" s="433">
        <v>0</v>
      </c>
      <c r="Y145" s="439">
        <v>0</v>
      </c>
    </row>
    <row r="146" spans="1:26" ht="13" thickBot="1">
      <c r="A146" s="435" t="s">
        <v>117</v>
      </c>
      <c r="B146" s="429">
        <f t="shared" ref="B146:V146" si="32">(C145+B145)*(C144-B144)/2</f>
        <v>0.19071750231121876</v>
      </c>
      <c r="C146" s="430">
        <f t="shared" si="32"/>
        <v>0.52044193050525001</v>
      </c>
      <c r="D146" s="430">
        <f t="shared" si="32"/>
        <v>0.5982858089996248</v>
      </c>
      <c r="E146" s="430">
        <f t="shared" si="32"/>
        <v>0.56881634071246889</v>
      </c>
      <c r="F146" s="430">
        <f t="shared" si="32"/>
        <v>1.3033289370772498</v>
      </c>
      <c r="G146" s="430">
        <f t="shared" si="32"/>
        <v>0.71004737740940616</v>
      </c>
      <c r="H146" s="430">
        <f t="shared" si="32"/>
        <v>0.72339204229415688</v>
      </c>
      <c r="I146" s="430">
        <f t="shared" si="32"/>
        <v>3.0336871504664993</v>
      </c>
      <c r="J146" s="430">
        <f>(K145+J145)*(K144-J144)/2</f>
        <v>3.2027195723400008</v>
      </c>
      <c r="K146" s="430">
        <f t="shared" si="32"/>
        <v>3.2694428967637483</v>
      </c>
      <c r="L146" s="430">
        <f t="shared" si="32"/>
        <v>3.2738911183919988</v>
      </c>
      <c r="M146" s="430">
        <f t="shared" si="32"/>
        <v>3.2516500102507484</v>
      </c>
      <c r="N146" s="430">
        <f t="shared" si="32"/>
        <v>3.2316330129236279</v>
      </c>
      <c r="O146" s="430">
        <f t="shared" si="32"/>
        <v>3.202719572339999</v>
      </c>
      <c r="P146" s="430">
        <f t="shared" si="32"/>
        <v>6.2364067228065014</v>
      </c>
      <c r="Q146" s="430">
        <f t="shared" si="32"/>
        <v>3.0314630396523707</v>
      </c>
      <c r="R146" s="430">
        <f t="shared" si="32"/>
        <v>11.289586492498502</v>
      </c>
      <c r="S146" s="430">
        <f>(T145+S145)*(T144-S144)/2</f>
        <v>2.5621756578719963</v>
      </c>
      <c r="T146" s="430">
        <f t="shared" si="32"/>
        <v>2.1662839329577519</v>
      </c>
      <c r="U146" s="430">
        <f t="shared" si="32"/>
        <v>1.2988807154489983</v>
      </c>
      <c r="V146" s="430">
        <f t="shared" si="32"/>
        <v>0.44437734066217544</v>
      </c>
      <c r="W146" s="430">
        <f>(X145+W145)*(X144-W144)/2</f>
        <v>6.894743523786741E-5</v>
      </c>
      <c r="X146" s="430">
        <f>(Y145+X145)*(Y144-X144)/2</f>
        <v>0</v>
      </c>
      <c r="Y146" s="424"/>
    </row>
    <row r="147" spans="1:26" ht="13" thickBot="1">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6" ht="13.5" thickBot="1">
      <c r="A148" s="416" t="s">
        <v>550</v>
      </c>
      <c r="B148" s="414">
        <f>ROW(A148)</f>
        <v>148</v>
      </c>
      <c r="C148" s="418" t="s">
        <v>116</v>
      </c>
      <c r="D148" s="408">
        <f>SUM(B151:Y151)</f>
        <v>55.589492</v>
      </c>
      <c r="E148" s="418" t="s">
        <v>115</v>
      </c>
      <c r="F148" s="409">
        <f>D148/g/J148</f>
        <v>177.08171508664634</v>
      </c>
      <c r="G148" s="418" t="s">
        <v>57</v>
      </c>
      <c r="H148" s="86">
        <v>0.10199999999999999</v>
      </c>
      <c r="I148" s="418" t="s">
        <v>274</v>
      </c>
      <c r="J148" s="410">
        <f>H148-L148</f>
        <v>3.1999999999999987E-2</v>
      </c>
      <c r="K148" s="418" t="s">
        <v>275</v>
      </c>
      <c r="L148" s="86">
        <v>7.0000000000000007E-2</v>
      </c>
      <c r="M148" s="418" t="s">
        <v>58</v>
      </c>
      <c r="N148" s="87">
        <v>49</v>
      </c>
      <c r="O148" s="418" t="s">
        <v>60</v>
      </c>
      <c r="P148" s="87">
        <v>49</v>
      </c>
      <c r="Q148" s="418" t="s">
        <v>61</v>
      </c>
      <c r="R148" s="87">
        <v>98</v>
      </c>
      <c r="S148" s="418" t="s">
        <v>62</v>
      </c>
      <c r="T148" s="87">
        <v>29</v>
      </c>
      <c r="U148" s="418" t="s">
        <v>55</v>
      </c>
      <c r="V148" s="88" t="s">
        <v>404</v>
      </c>
      <c r="W148" s="547" t="s">
        <v>398</v>
      </c>
      <c r="X148" s="549">
        <v>0.45</v>
      </c>
      <c r="Y148" s="547" t="s">
        <v>397</v>
      </c>
      <c r="Z148" s="413">
        <v>12</v>
      </c>
    </row>
    <row r="149" spans="1:26">
      <c r="A149" s="417" t="s">
        <v>33</v>
      </c>
      <c r="B149" s="441">
        <v>0</v>
      </c>
      <c r="C149" s="442">
        <v>1E-3</v>
      </c>
      <c r="D149" s="442">
        <v>2.3E-2</v>
      </c>
      <c r="E149" s="442">
        <v>0.05</v>
      </c>
      <c r="F149" s="442">
        <v>5.8999999999999997E-2</v>
      </c>
      <c r="G149" s="442">
        <v>9.5000000000000001E-2</v>
      </c>
      <c r="H149" s="442">
        <v>0.21199999999999999</v>
      </c>
      <c r="I149" s="442">
        <v>0.34399999999999997</v>
      </c>
      <c r="J149" s="442">
        <v>1.5669999999999999</v>
      </c>
      <c r="K149" s="442">
        <v>1.631</v>
      </c>
      <c r="L149" s="442">
        <v>1.663</v>
      </c>
      <c r="M149" s="442">
        <v>1.7849999999999999</v>
      </c>
      <c r="N149" s="442">
        <v>1.8280000000000001</v>
      </c>
      <c r="O149" s="442">
        <v>2</v>
      </c>
      <c r="P149" s="442">
        <v>2</v>
      </c>
      <c r="Q149" s="442">
        <v>2</v>
      </c>
      <c r="R149" s="442">
        <v>2</v>
      </c>
      <c r="S149" s="442">
        <v>2</v>
      </c>
      <c r="T149" s="442">
        <v>2</v>
      </c>
      <c r="U149" s="442">
        <v>2</v>
      </c>
      <c r="V149" s="442">
        <v>2</v>
      </c>
      <c r="W149" s="442">
        <v>2</v>
      </c>
      <c r="X149" s="442">
        <v>2</v>
      </c>
      <c r="Y149" s="444">
        <v>1000</v>
      </c>
    </row>
    <row r="150" spans="1:26">
      <c r="A150" s="434" t="s">
        <v>34</v>
      </c>
      <c r="B150" s="443">
        <v>0</v>
      </c>
      <c r="C150" s="433">
        <v>3.4830000000000001</v>
      </c>
      <c r="D150" s="433">
        <v>64.052999999999997</v>
      </c>
      <c r="E150" s="433">
        <v>31.347000000000001</v>
      </c>
      <c r="F150" s="433">
        <v>28.459</v>
      </c>
      <c r="G150" s="433">
        <v>32.027000000000001</v>
      </c>
      <c r="H150" s="433">
        <v>36.189</v>
      </c>
      <c r="I150" s="433">
        <v>37.548999999999999</v>
      </c>
      <c r="J150" s="433">
        <v>26.164999999999999</v>
      </c>
      <c r="K150" s="433">
        <v>26.93</v>
      </c>
      <c r="L150" s="433">
        <v>25.315999999999999</v>
      </c>
      <c r="M150" s="433">
        <v>3.653</v>
      </c>
      <c r="N150" s="433">
        <v>0</v>
      </c>
      <c r="O150" s="433">
        <v>0</v>
      </c>
      <c r="P150" s="433">
        <v>0</v>
      </c>
      <c r="Q150" s="433">
        <v>0</v>
      </c>
      <c r="R150" s="433">
        <v>0</v>
      </c>
      <c r="S150" s="433">
        <v>0</v>
      </c>
      <c r="T150" s="433">
        <v>0</v>
      </c>
      <c r="U150" s="433">
        <v>0</v>
      </c>
      <c r="V150" s="433">
        <v>0</v>
      </c>
      <c r="W150" s="433">
        <v>0</v>
      </c>
      <c r="X150" s="433">
        <v>0</v>
      </c>
      <c r="Y150" s="439">
        <v>0</v>
      </c>
    </row>
    <row r="151" spans="1:26" ht="13" thickBot="1">
      <c r="A151" s="435" t="s">
        <v>117</v>
      </c>
      <c r="B151" s="429">
        <f t="shared" ref="B151" si="33">(C150+B150)*(C149-B149)/2</f>
        <v>1.7415E-3</v>
      </c>
      <c r="C151" s="430">
        <f t="shared" ref="C151" si="34">(D150+C150)*(D149-C149)/2</f>
        <v>0.742896</v>
      </c>
      <c r="D151" s="430">
        <f t="shared" ref="D151" si="35">(E150+D150)*(E149-D149)/2</f>
        <v>1.2879000000000003</v>
      </c>
      <c r="E151" s="430">
        <f t="shared" ref="E151" si="36">(F150+E150)*(F149-E149)/2</f>
        <v>0.26912699999999984</v>
      </c>
      <c r="F151" s="430">
        <f t="shared" ref="F151" si="37">(G150+F150)*(G149-F149)/2</f>
        <v>1.0887480000000003</v>
      </c>
      <c r="G151" s="430">
        <f t="shared" ref="G151" si="38">(H150+G150)*(H149-G149)/2</f>
        <v>3.9906360000000003</v>
      </c>
      <c r="H151" s="430">
        <f t="shared" ref="H151" si="39">(I150+H150)*(I149-H149)/2</f>
        <v>4.8667079999999991</v>
      </c>
      <c r="I151" s="430">
        <f t="shared" ref="I151" si="40">(J150+I150)*(J149-I149)/2</f>
        <v>38.961110999999995</v>
      </c>
      <c r="J151" s="430">
        <f t="shared" ref="J151" si="41">(K150+J150)*(K149-J149)/2</f>
        <v>1.6990400000000014</v>
      </c>
      <c r="K151" s="430">
        <f t="shared" ref="K151" si="42">(L150+K150)*(L149-K149)/2</f>
        <v>0.83593600000000068</v>
      </c>
      <c r="L151" s="430">
        <f t="shared" ref="L151" si="43">(M150+L150)*(M149-L149)/2</f>
        <v>1.7671089999999983</v>
      </c>
      <c r="M151" s="430">
        <f t="shared" ref="M151" si="44">(N150+M150)*(N149-M149)/2</f>
        <v>7.8539500000000276E-2</v>
      </c>
      <c r="N151" s="430">
        <f t="shared" ref="N151" si="45">(O150+N150)*(O149-N149)/2</f>
        <v>0</v>
      </c>
      <c r="O151" s="430">
        <f t="shared" ref="O151" si="46">(P150+O150)*(P149-O149)/2</f>
        <v>0</v>
      </c>
      <c r="P151" s="430">
        <f t="shared" ref="P151" si="47">(Q150+P150)*(Q149-P149)/2</f>
        <v>0</v>
      </c>
      <c r="Q151" s="430">
        <f t="shared" ref="Q151" si="48">(R150+Q150)*(R149-Q149)/2</f>
        <v>0</v>
      </c>
      <c r="R151" s="430">
        <f t="shared" ref="R151" si="49">(S150+R150)*(S149-R149)/2</f>
        <v>0</v>
      </c>
      <c r="S151" s="430">
        <f t="shared" ref="S151" si="50">(T150+S150)*(T149-S149)/2</f>
        <v>0</v>
      </c>
      <c r="T151" s="430">
        <f t="shared" ref="T151" si="51">(U150+T150)*(U149-T149)/2</f>
        <v>0</v>
      </c>
      <c r="U151" s="430">
        <f t="shared" ref="U151" si="52">(V150+U150)*(V149-U149)/2</f>
        <v>0</v>
      </c>
      <c r="V151" s="430">
        <f t="shared" ref="V151" si="53">(W150+V150)*(W149-V149)/2</f>
        <v>0</v>
      </c>
      <c r="W151" s="430">
        <f t="shared" ref="W151" si="54">(X150+W150)*(X149-W149)/2</f>
        <v>0</v>
      </c>
      <c r="X151" s="430">
        <f t="shared" ref="X151" si="55">(Y150+X150)*(Y149-X149)/2</f>
        <v>0</v>
      </c>
      <c r="Y151" s="424"/>
    </row>
    <row r="152" spans="1:26" ht="13" thickBot="1">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6" ht="13.5" thickBot="1">
      <c r="A153" s="416" t="s">
        <v>388</v>
      </c>
      <c r="B153" s="414">
        <f>ROW(A153)</f>
        <v>153</v>
      </c>
      <c r="C153" s="418" t="s">
        <v>116</v>
      </c>
      <c r="D153" s="408">
        <f>SUM(B156:Y156)</f>
        <v>55.705884500000003</v>
      </c>
      <c r="E153" s="418" t="s">
        <v>115</v>
      </c>
      <c r="F153" s="409">
        <f>D153/g/J153</f>
        <v>180.84329814241278</v>
      </c>
      <c r="G153" s="418" t="s">
        <v>57</v>
      </c>
      <c r="H153" s="86">
        <v>0.1062</v>
      </c>
      <c r="I153" s="418" t="s">
        <v>274</v>
      </c>
      <c r="J153" s="410">
        <f>H153-L153</f>
        <v>3.1400000000000011E-2</v>
      </c>
      <c r="K153" s="418" t="s">
        <v>275</v>
      </c>
      <c r="L153" s="86">
        <v>7.4799999999999991E-2</v>
      </c>
      <c r="M153" s="418" t="s">
        <v>58</v>
      </c>
      <c r="N153" s="87">
        <v>49</v>
      </c>
      <c r="O153" s="418" t="s">
        <v>60</v>
      </c>
      <c r="P153" s="87">
        <v>49</v>
      </c>
      <c r="Q153" s="418" t="s">
        <v>61</v>
      </c>
      <c r="R153" s="87">
        <v>98</v>
      </c>
      <c r="S153" s="418" t="s">
        <v>62</v>
      </c>
      <c r="T153" s="87">
        <v>29</v>
      </c>
      <c r="U153" s="418" t="s">
        <v>55</v>
      </c>
      <c r="V153" s="88" t="s">
        <v>404</v>
      </c>
      <c r="W153" s="547" t="s">
        <v>398</v>
      </c>
      <c r="X153" s="549">
        <v>0.45</v>
      </c>
      <c r="Y153" s="547" t="s">
        <v>397</v>
      </c>
      <c r="Z153" s="413">
        <v>14</v>
      </c>
    </row>
    <row r="154" spans="1:26">
      <c r="A154" s="417" t="s">
        <v>33</v>
      </c>
      <c r="B154" s="441">
        <v>0</v>
      </c>
      <c r="C154" s="442">
        <v>1.2999999999999999E-2</v>
      </c>
      <c r="D154" s="442">
        <v>1.7000000000000001E-2</v>
      </c>
      <c r="E154" s="442">
        <v>0.04</v>
      </c>
      <c r="F154" s="442">
        <v>0.125</v>
      </c>
      <c r="G154" s="442">
        <v>0.17899999999999999</v>
      </c>
      <c r="H154" s="442">
        <v>0.222</v>
      </c>
      <c r="I154" s="442">
        <v>0.28899999999999998</v>
      </c>
      <c r="J154" s="442">
        <v>0.35399999999999998</v>
      </c>
      <c r="K154" s="442">
        <v>0.39400000000000002</v>
      </c>
      <c r="L154" s="442">
        <v>0.40600000000000003</v>
      </c>
      <c r="M154" s="442">
        <v>0.41599999999999998</v>
      </c>
      <c r="N154" s="442">
        <v>0.42299999999999999</v>
      </c>
      <c r="O154" s="442">
        <v>0.43099999999999999</v>
      </c>
      <c r="P154" s="442">
        <v>0.44700000000000001</v>
      </c>
      <c r="Q154" s="442">
        <v>0.45300000000000001</v>
      </c>
      <c r="R154" s="442">
        <v>0.45500000000000002</v>
      </c>
      <c r="S154" s="442">
        <v>0.45500000000000002</v>
      </c>
      <c r="T154" s="442">
        <v>0.45500000000000002</v>
      </c>
      <c r="U154" s="442">
        <v>0.45500000000000002</v>
      </c>
      <c r="V154" s="442">
        <v>0.45500000000000002</v>
      </c>
      <c r="W154" s="442">
        <v>0.45500000000000002</v>
      </c>
      <c r="X154" s="442">
        <v>2</v>
      </c>
      <c r="Y154" s="444">
        <v>1000</v>
      </c>
    </row>
    <row r="155" spans="1:26">
      <c r="A155" s="434" t="s">
        <v>34</v>
      </c>
      <c r="B155" s="443">
        <v>0</v>
      </c>
      <c r="C155" s="433">
        <v>79.242000000000004</v>
      </c>
      <c r="D155" s="433">
        <v>90.427000000000007</v>
      </c>
      <c r="E155" s="433">
        <v>101.422</v>
      </c>
      <c r="F155" s="433">
        <v>127.583</v>
      </c>
      <c r="G155" s="433">
        <v>136.114</v>
      </c>
      <c r="H155" s="433">
        <v>139.905</v>
      </c>
      <c r="I155" s="433">
        <v>143.50700000000001</v>
      </c>
      <c r="J155" s="433">
        <v>138.578</v>
      </c>
      <c r="K155" s="433">
        <v>125.498</v>
      </c>
      <c r="L155" s="433">
        <v>123.602</v>
      </c>
      <c r="M155" s="433">
        <v>125.11799999999999</v>
      </c>
      <c r="N155" s="433">
        <v>130.047</v>
      </c>
      <c r="O155" s="433">
        <v>120.569</v>
      </c>
      <c r="P155" s="433">
        <v>25.591999999999999</v>
      </c>
      <c r="Q155" s="433">
        <v>8.7200000000000006</v>
      </c>
      <c r="R155" s="433">
        <v>0</v>
      </c>
      <c r="S155" s="433">
        <v>0</v>
      </c>
      <c r="T155" s="433">
        <v>0</v>
      </c>
      <c r="U155" s="433">
        <v>0</v>
      </c>
      <c r="V155" s="433">
        <v>0</v>
      </c>
      <c r="W155" s="433">
        <v>0</v>
      </c>
      <c r="X155" s="433">
        <v>0</v>
      </c>
      <c r="Y155" s="439">
        <v>0</v>
      </c>
    </row>
    <row r="156" spans="1:26" ht="13" thickBot="1">
      <c r="A156" s="435" t="s">
        <v>117</v>
      </c>
      <c r="B156" s="429">
        <f t="shared" ref="B156:X156" si="56">(C155+B155)*(C154-B154)/2</f>
        <v>0.515073</v>
      </c>
      <c r="C156" s="430">
        <f t="shared" si="56"/>
        <v>0.3393380000000002</v>
      </c>
      <c r="D156" s="430">
        <f t="shared" si="56"/>
        <v>2.2062634999999999</v>
      </c>
      <c r="E156" s="430">
        <f t="shared" si="56"/>
        <v>9.7327124999999981</v>
      </c>
      <c r="F156" s="430">
        <f t="shared" si="56"/>
        <v>7.1198189999999988</v>
      </c>
      <c r="G156" s="430">
        <f t="shared" si="56"/>
        <v>5.9344085000000018</v>
      </c>
      <c r="H156" s="430">
        <f t="shared" si="56"/>
        <v>9.4943019999999976</v>
      </c>
      <c r="I156" s="430">
        <f t="shared" si="56"/>
        <v>9.167762500000002</v>
      </c>
      <c r="J156" s="430">
        <f t="shared" si="56"/>
        <v>5.2815200000000049</v>
      </c>
      <c r="K156" s="430">
        <f t="shared" si="56"/>
        <v>1.4946000000000015</v>
      </c>
      <c r="L156" s="430">
        <f t="shared" si="56"/>
        <v>1.2435999999999943</v>
      </c>
      <c r="M156" s="430">
        <f t="shared" si="56"/>
        <v>0.89307750000000075</v>
      </c>
      <c r="N156" s="430">
        <f t="shared" si="56"/>
        <v>1.0024640000000009</v>
      </c>
      <c r="O156" s="430">
        <f t="shared" si="56"/>
        <v>1.169288000000001</v>
      </c>
      <c r="P156" s="430">
        <f t="shared" si="56"/>
        <v>0.10293600000000008</v>
      </c>
      <c r="Q156" s="430">
        <f t="shared" si="56"/>
        <v>8.720000000000009E-3</v>
      </c>
      <c r="R156" s="430">
        <f t="shared" si="56"/>
        <v>0</v>
      </c>
      <c r="S156" s="430">
        <f t="shared" si="56"/>
        <v>0</v>
      </c>
      <c r="T156" s="430">
        <f t="shared" si="56"/>
        <v>0</v>
      </c>
      <c r="U156" s="430">
        <f t="shared" si="56"/>
        <v>0</v>
      </c>
      <c r="V156" s="430">
        <f t="shared" si="56"/>
        <v>0</v>
      </c>
      <c r="W156" s="430">
        <f t="shared" si="56"/>
        <v>0</v>
      </c>
      <c r="X156" s="430">
        <f t="shared" si="56"/>
        <v>0</v>
      </c>
      <c r="Y156" s="424"/>
    </row>
    <row r="157" spans="1:26" ht="13" thickBot="1">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6" ht="13.5" thickBot="1">
      <c r="A158" s="416" t="s">
        <v>389</v>
      </c>
      <c r="B158" s="414">
        <f>ROW(A158)</f>
        <v>158</v>
      </c>
      <c r="C158" s="418" t="s">
        <v>116</v>
      </c>
      <c r="D158" s="408">
        <f>SUM(B161:Y161)</f>
        <v>57.190000000000005</v>
      </c>
      <c r="E158" s="418" t="s">
        <v>115</v>
      </c>
      <c r="F158" s="409">
        <f>D158/g/J158</f>
        <v>188.05695307618953</v>
      </c>
      <c r="G158" s="418" t="s">
        <v>57</v>
      </c>
      <c r="H158" s="86">
        <v>9.9000000000000005E-2</v>
      </c>
      <c r="I158" s="418" t="s">
        <v>274</v>
      </c>
      <c r="J158" s="410">
        <f>H158-L158</f>
        <v>3.1E-2</v>
      </c>
      <c r="K158" s="418" t="s">
        <v>275</v>
      </c>
      <c r="L158" s="86">
        <v>6.8000000000000005E-2</v>
      </c>
      <c r="M158" s="418" t="s">
        <v>58</v>
      </c>
      <c r="N158" s="87">
        <v>49</v>
      </c>
      <c r="O158" s="418" t="s">
        <v>60</v>
      </c>
      <c r="P158" s="87">
        <v>49</v>
      </c>
      <c r="Q158" s="418" t="s">
        <v>61</v>
      </c>
      <c r="R158" s="87">
        <v>98</v>
      </c>
      <c r="S158" s="418" t="s">
        <v>62</v>
      </c>
      <c r="T158" s="87">
        <v>29</v>
      </c>
      <c r="U158" s="418" t="s">
        <v>55</v>
      </c>
      <c r="V158" s="88" t="s">
        <v>404</v>
      </c>
      <c r="W158" s="547" t="s">
        <v>398</v>
      </c>
      <c r="X158" s="549">
        <v>0.96</v>
      </c>
      <c r="Y158" s="547" t="s">
        <v>397</v>
      </c>
      <c r="Z158" s="413">
        <v>12</v>
      </c>
    </row>
    <row r="159" spans="1:26">
      <c r="A159" s="417" t="s">
        <v>33</v>
      </c>
      <c r="B159" s="441">
        <v>0</v>
      </c>
      <c r="C159" s="442">
        <v>0.01</v>
      </c>
      <c r="D159" s="442">
        <v>0.02</v>
      </c>
      <c r="E159" s="442">
        <v>0.03</v>
      </c>
      <c r="F159" s="442">
        <v>0.04</v>
      </c>
      <c r="G159" s="442">
        <v>7.0000000000000007E-2</v>
      </c>
      <c r="H159" s="442">
        <v>0.1</v>
      </c>
      <c r="I159" s="442">
        <v>0.2</v>
      </c>
      <c r="J159" s="442">
        <v>0.3</v>
      </c>
      <c r="K159" s="442">
        <v>0.4</v>
      </c>
      <c r="L159" s="442">
        <v>0.5</v>
      </c>
      <c r="M159" s="442">
        <v>0.6</v>
      </c>
      <c r="N159" s="442">
        <v>0.7</v>
      </c>
      <c r="O159" s="442">
        <v>0.87</v>
      </c>
      <c r="P159" s="442">
        <v>0.9</v>
      </c>
      <c r="Q159" s="442">
        <v>0.97</v>
      </c>
      <c r="R159" s="442">
        <v>0.97</v>
      </c>
      <c r="S159" s="442">
        <v>0.97</v>
      </c>
      <c r="T159" s="442">
        <v>0.97</v>
      </c>
      <c r="U159" s="442">
        <v>0.97</v>
      </c>
      <c r="V159" s="442">
        <v>0.97</v>
      </c>
      <c r="W159" s="442">
        <v>0.97</v>
      </c>
      <c r="X159" s="442">
        <v>2</v>
      </c>
      <c r="Y159" s="444">
        <v>1000</v>
      </c>
    </row>
    <row r="160" spans="1:26">
      <c r="A160" s="434" t="s">
        <v>34</v>
      </c>
      <c r="B160" s="443">
        <v>0</v>
      </c>
      <c r="C160" s="433">
        <v>16</v>
      </c>
      <c r="D160" s="433">
        <v>62</v>
      </c>
      <c r="E160" s="433">
        <v>67</v>
      </c>
      <c r="F160" s="433">
        <v>71</v>
      </c>
      <c r="G160" s="433">
        <v>58</v>
      </c>
      <c r="H160" s="433">
        <v>63</v>
      </c>
      <c r="I160" s="433">
        <v>67</v>
      </c>
      <c r="J160" s="433">
        <v>69</v>
      </c>
      <c r="K160" s="433">
        <v>67</v>
      </c>
      <c r="L160" s="433">
        <v>65</v>
      </c>
      <c r="M160" s="433">
        <v>63</v>
      </c>
      <c r="N160" s="433">
        <v>61</v>
      </c>
      <c r="O160" s="433">
        <v>60</v>
      </c>
      <c r="P160" s="433">
        <v>23</v>
      </c>
      <c r="Q160" s="433">
        <v>0</v>
      </c>
      <c r="R160" s="433">
        <v>0</v>
      </c>
      <c r="S160" s="433">
        <v>0</v>
      </c>
      <c r="T160" s="433">
        <v>0</v>
      </c>
      <c r="U160" s="433">
        <v>0</v>
      </c>
      <c r="V160" s="433">
        <v>0</v>
      </c>
      <c r="W160" s="433">
        <v>0</v>
      </c>
      <c r="X160" s="433">
        <v>0</v>
      </c>
      <c r="Y160" s="439">
        <v>0</v>
      </c>
    </row>
    <row r="161" spans="1:26" ht="13" thickBot="1">
      <c r="A161" s="435" t="s">
        <v>117</v>
      </c>
      <c r="B161" s="429">
        <f t="shared" ref="B161:X161" si="57">(C160+B160)*(C159-B159)/2</f>
        <v>0.08</v>
      </c>
      <c r="C161" s="430">
        <f t="shared" si="57"/>
        <v>0.39</v>
      </c>
      <c r="D161" s="430">
        <f t="shared" si="57"/>
        <v>0.64499999999999991</v>
      </c>
      <c r="E161" s="430">
        <f t="shared" si="57"/>
        <v>0.69000000000000017</v>
      </c>
      <c r="F161" s="430">
        <f t="shared" si="57"/>
        <v>1.9350000000000003</v>
      </c>
      <c r="G161" s="430">
        <f t="shared" si="57"/>
        <v>1.8149999999999999</v>
      </c>
      <c r="H161" s="430">
        <f t="shared" si="57"/>
        <v>6.5</v>
      </c>
      <c r="I161" s="430">
        <f t="shared" si="57"/>
        <v>6.7999999999999989</v>
      </c>
      <c r="J161" s="430">
        <f t="shared" si="57"/>
        <v>6.8000000000000025</v>
      </c>
      <c r="K161" s="430">
        <f t="shared" si="57"/>
        <v>6.5999999999999988</v>
      </c>
      <c r="L161" s="430">
        <f t="shared" si="57"/>
        <v>6.3999999999999986</v>
      </c>
      <c r="M161" s="430">
        <f t="shared" si="57"/>
        <v>6.1999999999999984</v>
      </c>
      <c r="N161" s="430">
        <f t="shared" si="57"/>
        <v>10.285000000000002</v>
      </c>
      <c r="O161" s="430">
        <f t="shared" si="57"/>
        <v>1.245000000000001</v>
      </c>
      <c r="P161" s="430">
        <f t="shared" si="57"/>
        <v>0.80499999999999949</v>
      </c>
      <c r="Q161" s="430">
        <f t="shared" si="57"/>
        <v>0</v>
      </c>
      <c r="R161" s="430">
        <f t="shared" si="57"/>
        <v>0</v>
      </c>
      <c r="S161" s="430">
        <f t="shared" si="57"/>
        <v>0</v>
      </c>
      <c r="T161" s="430">
        <f t="shared" si="57"/>
        <v>0</v>
      </c>
      <c r="U161" s="430">
        <f t="shared" si="57"/>
        <v>0</v>
      </c>
      <c r="V161" s="430">
        <f t="shared" si="57"/>
        <v>0</v>
      </c>
      <c r="W161" s="430">
        <f t="shared" si="57"/>
        <v>0</v>
      </c>
      <c r="X161" s="430">
        <f t="shared" si="57"/>
        <v>0</v>
      </c>
      <c r="Y161" s="424"/>
    </row>
    <row r="162" spans="1:26" ht="13.5" thickBot="1">
      <c r="A162" s="492" t="s">
        <v>318</v>
      </c>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6" ht="13.5" thickBot="1">
      <c r="A163" s="416" t="s">
        <v>325</v>
      </c>
      <c r="B163" s="414">
        <f>ROW(A163)</f>
        <v>163</v>
      </c>
      <c r="C163" s="418" t="s">
        <v>116</v>
      </c>
      <c r="D163" s="408">
        <f>SUM(B166:Y166)</f>
        <v>59.702267000000006</v>
      </c>
      <c r="E163" s="418" t="s">
        <v>115</v>
      </c>
      <c r="F163" s="409">
        <f>D163/g/J163</f>
        <v>190.77924771281306</v>
      </c>
      <c r="G163" s="418" t="s">
        <v>57</v>
      </c>
      <c r="H163" s="86">
        <v>9.3899999999999997E-2</v>
      </c>
      <c r="I163" s="418" t="s">
        <v>274</v>
      </c>
      <c r="J163" s="410">
        <f>H163-L163</f>
        <v>3.1899999999999998E-2</v>
      </c>
      <c r="K163" s="418" t="s">
        <v>275</v>
      </c>
      <c r="L163" s="86">
        <f>0.095-0.033</f>
        <v>6.2E-2</v>
      </c>
      <c r="M163" s="418" t="s">
        <v>58</v>
      </c>
      <c r="N163" s="457">
        <v>66.5</v>
      </c>
      <c r="O163" s="418" t="s">
        <v>60</v>
      </c>
      <c r="P163" s="457">
        <v>66.5</v>
      </c>
      <c r="Q163" s="418" t="s">
        <v>61</v>
      </c>
      <c r="R163" s="87">
        <v>133</v>
      </c>
      <c r="S163" s="418" t="s">
        <v>62</v>
      </c>
      <c r="T163" s="87">
        <v>24</v>
      </c>
      <c r="U163" s="418" t="s">
        <v>55</v>
      </c>
      <c r="V163" s="88" t="s">
        <v>403</v>
      </c>
      <c r="W163" s="547" t="s">
        <v>398</v>
      </c>
      <c r="X163" s="549">
        <v>1.2</v>
      </c>
      <c r="Y163" s="547" t="s">
        <v>397</v>
      </c>
      <c r="Z163" s="413">
        <v>13</v>
      </c>
    </row>
    <row r="164" spans="1:26">
      <c r="A164" s="417" t="s">
        <v>33</v>
      </c>
      <c r="B164" s="425">
        <v>0</v>
      </c>
      <c r="C164" s="426">
        <v>1.4999999999999999E-2</v>
      </c>
      <c r="D164" s="426">
        <v>2.1999999999999999E-2</v>
      </c>
      <c r="E164" s="426">
        <v>6.4000000000000001E-2</v>
      </c>
      <c r="F164" s="426">
        <v>0.11799999999999999</v>
      </c>
      <c r="G164" s="426">
        <v>0.34200000000000003</v>
      </c>
      <c r="H164" s="426">
        <v>0.53600000000000003</v>
      </c>
      <c r="I164" s="426">
        <v>0.74299999999999999</v>
      </c>
      <c r="J164" s="426">
        <v>0.88400000000000001</v>
      </c>
      <c r="K164" s="426">
        <v>0.97599999999999998</v>
      </c>
      <c r="L164" s="426">
        <v>1.0960000000000001</v>
      </c>
      <c r="M164" s="426">
        <v>1.246</v>
      </c>
      <c r="N164" s="426">
        <v>1.298</v>
      </c>
      <c r="O164" s="442">
        <v>2</v>
      </c>
      <c r="P164" s="442">
        <v>2</v>
      </c>
      <c r="Q164" s="442">
        <v>2</v>
      </c>
      <c r="R164" s="442">
        <v>2</v>
      </c>
      <c r="S164" s="442">
        <v>2</v>
      </c>
      <c r="T164" s="442">
        <v>2</v>
      </c>
      <c r="U164" s="442">
        <v>2</v>
      </c>
      <c r="V164" s="442">
        <v>2</v>
      </c>
      <c r="W164" s="442">
        <v>2</v>
      </c>
      <c r="X164" s="442">
        <f t="shared" ref="T164:X165" si="58">W164</f>
        <v>2</v>
      </c>
      <c r="Y164" s="444">
        <v>1000</v>
      </c>
    </row>
    <row r="165" spans="1:26">
      <c r="A165" s="434" t="s">
        <v>34</v>
      </c>
      <c r="B165" s="427">
        <v>0</v>
      </c>
      <c r="C165" s="428">
        <v>64.981999999999999</v>
      </c>
      <c r="D165" s="428">
        <v>69.516000000000005</v>
      </c>
      <c r="E165" s="428">
        <v>55.536999999999999</v>
      </c>
      <c r="F165" s="428">
        <v>62.81</v>
      </c>
      <c r="G165" s="428">
        <v>62.149000000000001</v>
      </c>
      <c r="H165" s="428">
        <v>59.41</v>
      </c>
      <c r="I165" s="428">
        <v>53.837000000000003</v>
      </c>
      <c r="J165" s="428">
        <v>46.942</v>
      </c>
      <c r="K165" s="428">
        <v>40.046999999999997</v>
      </c>
      <c r="L165" s="428">
        <v>12.561999999999999</v>
      </c>
      <c r="M165" s="428">
        <v>2.0779999999999998</v>
      </c>
      <c r="N165" s="428">
        <v>0</v>
      </c>
      <c r="O165" s="433">
        <v>0</v>
      </c>
      <c r="P165" s="433">
        <v>0</v>
      </c>
      <c r="Q165" s="433">
        <v>0</v>
      </c>
      <c r="R165" s="433">
        <v>0</v>
      </c>
      <c r="S165" s="433">
        <v>0</v>
      </c>
      <c r="T165" s="433">
        <f t="shared" si="58"/>
        <v>0</v>
      </c>
      <c r="U165" s="433">
        <f t="shared" si="58"/>
        <v>0</v>
      </c>
      <c r="V165" s="433">
        <f t="shared" si="58"/>
        <v>0</v>
      </c>
      <c r="W165" s="433">
        <f t="shared" si="58"/>
        <v>0</v>
      </c>
      <c r="X165" s="433">
        <f t="shared" si="58"/>
        <v>0</v>
      </c>
      <c r="Y165" s="439">
        <v>0</v>
      </c>
    </row>
    <row r="166" spans="1:26" ht="13" thickBot="1">
      <c r="A166" s="435" t="s">
        <v>117</v>
      </c>
      <c r="B166" s="429">
        <f t="shared" ref="B166:V166" si="59">(C165+B165)*(C164-B164)/2</f>
        <v>0.48736499999999999</v>
      </c>
      <c r="C166" s="430">
        <f t="shared" si="59"/>
        <v>0.47074299999999991</v>
      </c>
      <c r="D166" s="430">
        <f t="shared" si="59"/>
        <v>2.6261130000000001</v>
      </c>
      <c r="E166" s="430">
        <f t="shared" si="59"/>
        <v>3.1953689999999999</v>
      </c>
      <c r="F166" s="430">
        <f t="shared" si="59"/>
        <v>13.995408000000003</v>
      </c>
      <c r="G166" s="430">
        <f t="shared" si="59"/>
        <v>11.791223</v>
      </c>
      <c r="H166" s="430">
        <f t="shared" si="59"/>
        <v>11.721064499999997</v>
      </c>
      <c r="I166" s="430">
        <f t="shared" si="59"/>
        <v>7.1049195000000003</v>
      </c>
      <c r="J166" s="430">
        <f>(K165+J165)*(K164-J164)/2</f>
        <v>4.0014939999999992</v>
      </c>
      <c r="K166" s="430">
        <f t="shared" si="59"/>
        <v>3.1565400000000023</v>
      </c>
      <c r="L166" s="430">
        <f t="shared" si="59"/>
        <v>1.0979999999999992</v>
      </c>
      <c r="M166" s="430">
        <f t="shared" si="59"/>
        <v>5.4028000000000041E-2</v>
      </c>
      <c r="N166" s="430">
        <f t="shared" si="59"/>
        <v>0</v>
      </c>
      <c r="O166" s="430">
        <f t="shared" si="59"/>
        <v>0</v>
      </c>
      <c r="P166" s="430">
        <f t="shared" si="59"/>
        <v>0</v>
      </c>
      <c r="Q166" s="430">
        <f t="shared" si="59"/>
        <v>0</v>
      </c>
      <c r="R166" s="430">
        <f t="shared" si="59"/>
        <v>0</v>
      </c>
      <c r="S166" s="430">
        <f>(T165+S165)*(T164-S164)/2</f>
        <v>0</v>
      </c>
      <c r="T166" s="430">
        <f t="shared" si="59"/>
        <v>0</v>
      </c>
      <c r="U166" s="430">
        <f t="shared" si="59"/>
        <v>0</v>
      </c>
      <c r="V166" s="430">
        <f t="shared" si="59"/>
        <v>0</v>
      </c>
      <c r="W166" s="430">
        <f>(X165+W165)*(X164-W164)/2</f>
        <v>0</v>
      </c>
      <c r="X166" s="430">
        <f>(Y165+X165)*(Y164-X164)/2</f>
        <v>0</v>
      </c>
      <c r="Y166" s="424"/>
    </row>
    <row r="167" spans="1:26" ht="13" thickBot="1"/>
    <row r="168" spans="1:26" ht="13.5" thickBot="1">
      <c r="A168" s="416" t="s">
        <v>326</v>
      </c>
      <c r="B168" s="414">
        <f>ROW(A168)</f>
        <v>168</v>
      </c>
      <c r="C168" s="418" t="s">
        <v>116</v>
      </c>
      <c r="D168" s="408">
        <f>SUM(B171:Y171)</f>
        <v>68.380602999999994</v>
      </c>
      <c r="E168" s="418" t="s">
        <v>115</v>
      </c>
      <c r="F168" s="409">
        <f>D168/g/J168</f>
        <v>134.04807300243078</v>
      </c>
      <c r="G168" s="418" t="s">
        <v>57</v>
      </c>
      <c r="H168" s="86">
        <v>0.1075</v>
      </c>
      <c r="I168" s="418" t="s">
        <v>274</v>
      </c>
      <c r="J168" s="410">
        <f>H168-L168</f>
        <v>5.1999999999999998E-2</v>
      </c>
      <c r="K168" s="418" t="s">
        <v>275</v>
      </c>
      <c r="L168" s="86">
        <v>5.5500000000000001E-2</v>
      </c>
      <c r="M168" s="418" t="s">
        <v>58</v>
      </c>
      <c r="N168" s="457">
        <v>66.5</v>
      </c>
      <c r="O168" s="418" t="s">
        <v>60</v>
      </c>
      <c r="P168" s="457">
        <v>66.5</v>
      </c>
      <c r="Q168" s="418" t="s">
        <v>61</v>
      </c>
      <c r="R168" s="87">
        <v>133</v>
      </c>
      <c r="S168" s="418" t="s">
        <v>62</v>
      </c>
      <c r="T168" s="87">
        <v>24</v>
      </c>
      <c r="U168" s="418" t="s">
        <v>55</v>
      </c>
      <c r="V168" s="88" t="s">
        <v>403</v>
      </c>
      <c r="W168" s="547" t="s">
        <v>398</v>
      </c>
      <c r="X168" s="549">
        <v>0.86</v>
      </c>
      <c r="Y168" s="547" t="s">
        <v>397</v>
      </c>
      <c r="Z168" s="413">
        <v>13</v>
      </c>
    </row>
    <row r="169" spans="1:26">
      <c r="A169" s="417" t="s">
        <v>33</v>
      </c>
      <c r="B169" s="441">
        <v>0</v>
      </c>
      <c r="C169" s="442">
        <v>5.0000000000000001E-3</v>
      </c>
      <c r="D169" s="442">
        <v>1.2999999999999999E-2</v>
      </c>
      <c r="E169" s="442">
        <v>2.1999999999999999E-2</v>
      </c>
      <c r="F169" s="442">
        <v>4.2999999999999997E-2</v>
      </c>
      <c r="G169" s="442">
        <v>0.11899999999999999</v>
      </c>
      <c r="H169" s="442">
        <v>0.19800000000000001</v>
      </c>
      <c r="I169" s="442">
        <v>0.26700000000000002</v>
      </c>
      <c r="J169" s="442">
        <v>0.34300000000000003</v>
      </c>
      <c r="K169" s="442">
        <v>0.40400000000000003</v>
      </c>
      <c r="L169" s="442">
        <v>0.498</v>
      </c>
      <c r="M169" s="442">
        <v>0.55500000000000005</v>
      </c>
      <c r="N169" s="442">
        <v>0.622</v>
      </c>
      <c r="O169" s="442">
        <v>0.66300000000000003</v>
      </c>
      <c r="P169" s="442">
        <v>0.70399999999999996</v>
      </c>
      <c r="Q169" s="442">
        <v>0.72899999999999998</v>
      </c>
      <c r="R169" s="442">
        <v>0.747</v>
      </c>
      <c r="S169" s="442">
        <v>0.76800000000000002</v>
      </c>
      <c r="T169" s="442">
        <v>0.82099999999999995</v>
      </c>
      <c r="U169" s="442">
        <v>0.85199999999999998</v>
      </c>
      <c r="V169" s="442">
        <v>0.89200000000000002</v>
      </c>
      <c r="W169" s="442">
        <v>1</v>
      </c>
      <c r="X169" s="442">
        <v>2</v>
      </c>
      <c r="Y169" s="444">
        <v>1000</v>
      </c>
    </row>
    <row r="170" spans="1:26">
      <c r="A170" s="434" t="s">
        <v>34</v>
      </c>
      <c r="B170" s="443">
        <v>0</v>
      </c>
      <c r="C170" s="433">
        <v>60</v>
      </c>
      <c r="D170" s="433">
        <v>89.007000000000005</v>
      </c>
      <c r="E170" s="433">
        <v>96.290999999999997</v>
      </c>
      <c r="F170" s="433">
        <v>81.721999999999994</v>
      </c>
      <c r="G170" s="433">
        <v>85.563000000000002</v>
      </c>
      <c r="H170" s="433">
        <v>87.947000000000003</v>
      </c>
      <c r="I170" s="433">
        <v>89.272000000000006</v>
      </c>
      <c r="J170" s="433">
        <v>89.933999999999997</v>
      </c>
      <c r="K170" s="433">
        <v>90.861000000000004</v>
      </c>
      <c r="L170" s="433">
        <v>91.522999999999996</v>
      </c>
      <c r="M170" s="433">
        <v>89.668999999999997</v>
      </c>
      <c r="N170" s="433">
        <v>83.974000000000004</v>
      </c>
      <c r="O170" s="433">
        <v>80.53</v>
      </c>
      <c r="P170" s="433">
        <v>78.94</v>
      </c>
      <c r="Q170" s="433">
        <v>74.171999999999997</v>
      </c>
      <c r="R170" s="433">
        <v>66.887</v>
      </c>
      <c r="S170" s="433">
        <v>53.774999999999999</v>
      </c>
      <c r="T170" s="433">
        <v>18.542999999999999</v>
      </c>
      <c r="U170" s="433">
        <v>7.8150000000000004</v>
      </c>
      <c r="V170" s="433">
        <v>2.1190000000000002</v>
      </c>
      <c r="W170" s="433">
        <v>0</v>
      </c>
      <c r="X170" s="433">
        <v>0</v>
      </c>
      <c r="Y170" s="439">
        <v>0</v>
      </c>
    </row>
    <row r="171" spans="1:26" ht="13" thickBot="1">
      <c r="A171" s="435" t="s">
        <v>117</v>
      </c>
      <c r="B171" s="429">
        <f t="shared" ref="B171:X171" si="60">(C170+B170)*(C169-B169)/2</f>
        <v>0.15</v>
      </c>
      <c r="C171" s="430">
        <f t="shared" si="60"/>
        <v>0.596028</v>
      </c>
      <c r="D171" s="430">
        <f t="shared" si="60"/>
        <v>0.83384099999999994</v>
      </c>
      <c r="E171" s="430">
        <f t="shared" si="60"/>
        <v>1.8691364999999995</v>
      </c>
      <c r="F171" s="430">
        <f t="shared" si="60"/>
        <v>6.3568299999999995</v>
      </c>
      <c r="G171" s="430">
        <f t="shared" si="60"/>
        <v>6.8536450000000011</v>
      </c>
      <c r="H171" s="430">
        <f t="shared" si="60"/>
        <v>6.1140555000000001</v>
      </c>
      <c r="I171" s="430">
        <f t="shared" si="60"/>
        <v>6.8098280000000013</v>
      </c>
      <c r="J171" s="430">
        <f t="shared" si="60"/>
        <v>5.5142475000000006</v>
      </c>
      <c r="K171" s="430">
        <f t="shared" si="60"/>
        <v>8.5720479999999988</v>
      </c>
      <c r="L171" s="430">
        <f t="shared" si="60"/>
        <v>5.1639720000000047</v>
      </c>
      <c r="M171" s="430">
        <f t="shared" si="60"/>
        <v>5.8170404999999956</v>
      </c>
      <c r="N171" s="430">
        <f t="shared" si="60"/>
        <v>3.3723320000000032</v>
      </c>
      <c r="O171" s="430">
        <f t="shared" si="60"/>
        <v>3.2691349999999941</v>
      </c>
      <c r="P171" s="430">
        <f t="shared" si="60"/>
        <v>1.9139000000000017</v>
      </c>
      <c r="Q171" s="430">
        <f t="shared" si="60"/>
        <v>1.2695310000000011</v>
      </c>
      <c r="R171" s="430">
        <f t="shared" si="60"/>
        <v>1.2669510000000013</v>
      </c>
      <c r="S171" s="430">
        <f t="shared" si="60"/>
        <v>1.9164269999999977</v>
      </c>
      <c r="T171" s="430">
        <f t="shared" si="60"/>
        <v>0.40854900000000038</v>
      </c>
      <c r="U171" s="430">
        <f t="shared" si="60"/>
        <v>0.19868000000000019</v>
      </c>
      <c r="V171" s="430">
        <f t="shared" si="60"/>
        <v>0.114426</v>
      </c>
      <c r="W171" s="430">
        <f t="shared" si="60"/>
        <v>0</v>
      </c>
      <c r="X171" s="430">
        <f t="shared" si="60"/>
        <v>0</v>
      </c>
      <c r="Y171" s="424"/>
    </row>
    <row r="172" spans="1:26" ht="13" thickBot="1">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6" ht="13.5" thickBot="1">
      <c r="A173" s="416" t="s">
        <v>327</v>
      </c>
      <c r="B173" s="414">
        <f>ROW(A173)</f>
        <v>173</v>
      </c>
      <c r="C173" s="418" t="s">
        <v>116</v>
      </c>
      <c r="D173" s="408">
        <f>SUM(B176:Y176)</f>
        <v>67.985428500000012</v>
      </c>
      <c r="E173" s="418" t="s">
        <v>115</v>
      </c>
      <c r="F173" s="409">
        <f>D173/g/J173</f>
        <v>181.89545859519862</v>
      </c>
      <c r="G173" s="418" t="s">
        <v>57</v>
      </c>
      <c r="H173" s="86">
        <v>9.1799999999999993E-2</v>
      </c>
      <c r="I173" s="418" t="s">
        <v>274</v>
      </c>
      <c r="J173" s="410">
        <f>H173-L173</f>
        <v>3.8099999999999988E-2</v>
      </c>
      <c r="K173" s="418" t="s">
        <v>275</v>
      </c>
      <c r="L173" s="86">
        <v>5.3700000000000005E-2</v>
      </c>
      <c r="M173" s="418" t="s">
        <v>58</v>
      </c>
      <c r="N173" s="457">
        <v>66.5</v>
      </c>
      <c r="O173" s="418" t="s">
        <v>60</v>
      </c>
      <c r="P173" s="457">
        <v>66.5</v>
      </c>
      <c r="Q173" s="418" t="s">
        <v>61</v>
      </c>
      <c r="R173" s="87">
        <v>133</v>
      </c>
      <c r="S173" s="418" t="s">
        <v>62</v>
      </c>
      <c r="T173" s="87">
        <v>24</v>
      </c>
      <c r="U173" s="418" t="s">
        <v>55</v>
      </c>
      <c r="V173" s="88" t="s">
        <v>403</v>
      </c>
      <c r="W173" s="547" t="s">
        <v>398</v>
      </c>
      <c r="X173" s="549">
        <v>0.33</v>
      </c>
      <c r="Y173" s="547" t="s">
        <v>397</v>
      </c>
      <c r="Z173" s="413">
        <v>15</v>
      </c>
    </row>
    <row r="174" spans="1:26">
      <c r="A174" s="417" t="s">
        <v>33</v>
      </c>
      <c r="B174" s="441">
        <v>0</v>
      </c>
      <c r="C174" s="442">
        <v>4.0000000000000001E-3</v>
      </c>
      <c r="D174" s="442">
        <v>7.0000000000000001E-3</v>
      </c>
      <c r="E174" s="442">
        <v>0.01</v>
      </c>
      <c r="F174" s="442">
        <v>2.1999999999999999E-2</v>
      </c>
      <c r="G174" s="442">
        <v>2.8000000000000001E-2</v>
      </c>
      <c r="H174" s="442">
        <v>4.1000000000000002E-2</v>
      </c>
      <c r="I174" s="442">
        <v>5.8000000000000003E-2</v>
      </c>
      <c r="J174" s="442">
        <v>7.6999999999999999E-2</v>
      </c>
      <c r="K174" s="442">
        <v>8.8999999999999996E-2</v>
      </c>
      <c r="L174" s="442">
        <v>9.7000000000000003E-2</v>
      </c>
      <c r="M174" s="442">
        <v>0.11899999999999999</v>
      </c>
      <c r="N174" s="442">
        <v>0.14699999999999999</v>
      </c>
      <c r="O174" s="442">
        <v>0.17699999999999999</v>
      </c>
      <c r="P174" s="442">
        <v>0.20699999999999999</v>
      </c>
      <c r="Q174" s="442">
        <v>0.253</v>
      </c>
      <c r="R174" s="442">
        <v>0.25900000000000001</v>
      </c>
      <c r="S174" s="442">
        <v>0.27200000000000002</v>
      </c>
      <c r="T174" s="442">
        <v>0.28000000000000003</v>
      </c>
      <c r="U174" s="442">
        <v>0.28599999999999998</v>
      </c>
      <c r="V174" s="442">
        <v>0.29399999999999998</v>
      </c>
      <c r="W174" s="442">
        <v>0.32800000000000001</v>
      </c>
      <c r="X174" s="442">
        <v>2</v>
      </c>
      <c r="Y174" s="444">
        <v>1000</v>
      </c>
    </row>
    <row r="175" spans="1:26">
      <c r="A175" s="434" t="s">
        <v>34</v>
      </c>
      <c r="B175" s="443">
        <v>0</v>
      </c>
      <c r="C175" s="431">
        <v>100.52800000000001</v>
      </c>
      <c r="D175" s="431">
        <v>197.49299999999999</v>
      </c>
      <c r="E175" s="431">
        <v>222.03200000000001</v>
      </c>
      <c r="F175" s="431">
        <v>241.42500000000001</v>
      </c>
      <c r="G175" s="431">
        <v>237.863</v>
      </c>
      <c r="H175" s="431">
        <v>239.446</v>
      </c>
      <c r="I175" s="431">
        <v>252.50700000000001</v>
      </c>
      <c r="J175" s="431">
        <v>263.98399999999998</v>
      </c>
      <c r="K175" s="431">
        <v>275.46199999999999</v>
      </c>
      <c r="L175" s="431">
        <v>271.50400000000002</v>
      </c>
      <c r="M175" s="431">
        <v>278.62799999999999</v>
      </c>
      <c r="N175" s="431">
        <v>281.39800000000002</v>
      </c>
      <c r="O175" s="431">
        <v>272.29599999999999</v>
      </c>
      <c r="P175" s="431">
        <v>258.44299999999998</v>
      </c>
      <c r="Q175" s="431">
        <v>218.47</v>
      </c>
      <c r="R175" s="431">
        <v>188.786</v>
      </c>
      <c r="S175" s="431">
        <v>74.802000000000007</v>
      </c>
      <c r="T175" s="431">
        <v>31.265999999999998</v>
      </c>
      <c r="U175" s="431">
        <v>15.831</v>
      </c>
      <c r="V175" s="431">
        <v>8.7070000000000007</v>
      </c>
      <c r="W175" s="431">
        <v>0</v>
      </c>
      <c r="X175" s="433">
        <v>0</v>
      </c>
      <c r="Y175" s="439">
        <v>0</v>
      </c>
    </row>
    <row r="176" spans="1:26" ht="13" thickBot="1">
      <c r="A176" s="435" t="s">
        <v>117</v>
      </c>
      <c r="B176" s="429">
        <f t="shared" ref="B176:X176" si="61">(C175+B175)*(C174-B174)/2</f>
        <v>0.20105600000000001</v>
      </c>
      <c r="C176" s="430">
        <f t="shared" si="61"/>
        <v>0.44703150000000003</v>
      </c>
      <c r="D176" s="430">
        <f t="shared" si="61"/>
        <v>0.6292875</v>
      </c>
      <c r="E176" s="430">
        <f t="shared" si="61"/>
        <v>2.7807419999999996</v>
      </c>
      <c r="F176" s="430">
        <f t="shared" si="61"/>
        <v>1.4378640000000005</v>
      </c>
      <c r="G176" s="430">
        <f t="shared" si="61"/>
        <v>3.1025084999999999</v>
      </c>
      <c r="H176" s="430">
        <f t="shared" si="61"/>
        <v>4.1816005000000001</v>
      </c>
      <c r="I176" s="430">
        <f t="shared" si="61"/>
        <v>4.9066644999999989</v>
      </c>
      <c r="J176" s="430">
        <f t="shared" si="61"/>
        <v>3.2366759999999988</v>
      </c>
      <c r="K176" s="430">
        <f t="shared" si="61"/>
        <v>2.187864000000002</v>
      </c>
      <c r="L176" s="430">
        <f t="shared" si="61"/>
        <v>6.0514519999999985</v>
      </c>
      <c r="M176" s="430">
        <f t="shared" si="61"/>
        <v>7.8403640000000001</v>
      </c>
      <c r="N176" s="430">
        <f t="shared" si="61"/>
        <v>8.3054099999999984</v>
      </c>
      <c r="O176" s="430">
        <f t="shared" si="61"/>
        <v>7.9610850000000006</v>
      </c>
      <c r="P176" s="430">
        <f t="shared" si="61"/>
        <v>10.968999000000004</v>
      </c>
      <c r="Q176" s="430">
        <f t="shared" si="61"/>
        <v>1.2217680000000011</v>
      </c>
      <c r="R176" s="430">
        <f t="shared" si="61"/>
        <v>1.7133220000000016</v>
      </c>
      <c r="S176" s="430">
        <f t="shared" si="61"/>
        <v>0.42427200000000043</v>
      </c>
      <c r="T176" s="430">
        <f t="shared" si="61"/>
        <v>0.14129099999999881</v>
      </c>
      <c r="U176" s="430">
        <f t="shared" si="61"/>
        <v>9.8152000000000086E-2</v>
      </c>
      <c r="V176" s="430">
        <f t="shared" si="61"/>
        <v>0.14801900000000015</v>
      </c>
      <c r="W176" s="430">
        <f t="shared" si="61"/>
        <v>0</v>
      </c>
      <c r="X176" s="430">
        <f t="shared" si="61"/>
        <v>0</v>
      </c>
      <c r="Y176" s="424"/>
    </row>
    <row r="177" spans="1:26" ht="13" thickBot="1">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6" ht="13.5" thickBot="1">
      <c r="A178" s="416" t="s">
        <v>328</v>
      </c>
      <c r="B178" s="414">
        <f>ROW(A178)</f>
        <v>178</v>
      </c>
      <c r="C178" s="418" t="s">
        <v>116</v>
      </c>
      <c r="D178" s="408">
        <f>SUM(B181:Y181)</f>
        <v>73.557381500000005</v>
      </c>
      <c r="E178" s="418" t="s">
        <v>115</v>
      </c>
      <c r="F178" s="409">
        <f>D178/g/J178</f>
        <v>156.86619302308719</v>
      </c>
      <c r="G178" s="418" t="s">
        <v>57</v>
      </c>
      <c r="H178" s="86">
        <v>0.1022</v>
      </c>
      <c r="I178" s="418" t="s">
        <v>274</v>
      </c>
      <c r="J178" s="410">
        <f>H178-L178</f>
        <v>4.7800000000000002E-2</v>
      </c>
      <c r="K178" s="418" t="s">
        <v>275</v>
      </c>
      <c r="L178" s="86">
        <v>5.4399999999999997E-2</v>
      </c>
      <c r="M178" s="418" t="s">
        <v>58</v>
      </c>
      <c r="N178" s="457">
        <v>66.5</v>
      </c>
      <c r="O178" s="418" t="s">
        <v>60</v>
      </c>
      <c r="P178" s="457">
        <v>66.5</v>
      </c>
      <c r="Q178" s="418" t="s">
        <v>61</v>
      </c>
      <c r="R178" s="87">
        <v>133</v>
      </c>
      <c r="S178" s="418" t="s">
        <v>62</v>
      </c>
      <c r="T178" s="87">
        <v>24</v>
      </c>
      <c r="U178" s="418" t="s">
        <v>55</v>
      </c>
      <c r="V178" s="88" t="s">
        <v>403</v>
      </c>
      <c r="W178" s="547" t="s">
        <v>398</v>
      </c>
      <c r="X178" s="549">
        <v>2.36</v>
      </c>
      <c r="Y178" s="547" t="s">
        <v>397</v>
      </c>
      <c r="Z178" s="413">
        <v>6</v>
      </c>
    </row>
    <row r="179" spans="1:26">
      <c r="A179" s="417" t="s">
        <v>33</v>
      </c>
      <c r="B179" s="441">
        <v>0</v>
      </c>
      <c r="C179" s="442">
        <v>1.4E-2</v>
      </c>
      <c r="D179" s="442">
        <v>5.6000000000000001E-2</v>
      </c>
      <c r="E179" s="442">
        <v>9.1999999999999998E-2</v>
      </c>
      <c r="F179" s="442">
        <v>0.16</v>
      </c>
      <c r="G179" s="442">
        <v>0.23200000000000001</v>
      </c>
      <c r="H179" s="442">
        <v>0.36299999999999999</v>
      </c>
      <c r="I179" s="442">
        <v>0.499</v>
      </c>
      <c r="J179" s="442">
        <v>0.65500000000000003</v>
      </c>
      <c r="K179" s="442">
        <v>0.84299999999999997</v>
      </c>
      <c r="L179" s="442">
        <v>1.216</v>
      </c>
      <c r="M179" s="442">
        <v>1.3680000000000001</v>
      </c>
      <c r="N179" s="442">
        <v>1.54</v>
      </c>
      <c r="O179" s="442">
        <v>1.675</v>
      </c>
      <c r="P179" s="442">
        <v>1.861</v>
      </c>
      <c r="Q179" s="442">
        <v>2.0129999999999999</v>
      </c>
      <c r="R179" s="442">
        <v>2.1589999999999998</v>
      </c>
      <c r="S179" s="442">
        <v>2.302</v>
      </c>
      <c r="T179" s="442">
        <v>2.4620000000000002</v>
      </c>
      <c r="U179" s="442">
        <v>2.5979999999999999</v>
      </c>
      <c r="V179" s="442">
        <v>2.5979999999999999</v>
      </c>
      <c r="W179" s="442">
        <v>2.5979999999999999</v>
      </c>
      <c r="X179" s="442">
        <v>2.5979999999999999</v>
      </c>
      <c r="Y179" s="444">
        <v>1000</v>
      </c>
    </row>
    <row r="180" spans="1:26">
      <c r="A180" s="434" t="s">
        <v>34</v>
      </c>
      <c r="B180" s="443">
        <v>0</v>
      </c>
      <c r="C180" s="431">
        <v>54.222000000000001</v>
      </c>
      <c r="D180" s="431">
        <v>43.456000000000003</v>
      </c>
      <c r="E180" s="431">
        <v>50.185000000000002</v>
      </c>
      <c r="F180" s="431">
        <v>54.063000000000002</v>
      </c>
      <c r="G180" s="431">
        <v>48.363999999999997</v>
      </c>
      <c r="H180" s="431">
        <v>45.752000000000002</v>
      </c>
      <c r="I180" s="431">
        <v>43.14</v>
      </c>
      <c r="J180" s="431">
        <v>40.29</v>
      </c>
      <c r="K180" s="431">
        <v>37.835999999999999</v>
      </c>
      <c r="L180" s="431">
        <v>32.612000000000002</v>
      </c>
      <c r="M180" s="431">
        <v>30.317</v>
      </c>
      <c r="N180" s="431">
        <v>26.359000000000002</v>
      </c>
      <c r="O180" s="431">
        <v>23.509</v>
      </c>
      <c r="P180" s="431">
        <v>19.077000000000002</v>
      </c>
      <c r="Q180" s="431">
        <v>14.565</v>
      </c>
      <c r="R180" s="431">
        <v>10.053000000000001</v>
      </c>
      <c r="S180" s="431">
        <v>4.8280000000000003</v>
      </c>
      <c r="T180" s="431">
        <v>1.504</v>
      </c>
      <c r="U180" s="433">
        <v>0</v>
      </c>
      <c r="V180" s="433">
        <v>0</v>
      </c>
      <c r="W180" s="433">
        <v>0</v>
      </c>
      <c r="X180" s="433">
        <v>0</v>
      </c>
      <c r="Y180" s="439">
        <v>0</v>
      </c>
    </row>
    <row r="181" spans="1:26" ht="13" thickBot="1">
      <c r="A181" s="435" t="s">
        <v>117</v>
      </c>
      <c r="B181" s="429">
        <f t="shared" ref="B181:X181" si="62">(C180+B180)*(C179-B179)/2</f>
        <v>0.379554</v>
      </c>
      <c r="C181" s="430">
        <f t="shared" si="62"/>
        <v>2.0512380000000001</v>
      </c>
      <c r="D181" s="430">
        <f t="shared" si="62"/>
        <v>1.685538</v>
      </c>
      <c r="E181" s="430">
        <f t="shared" si="62"/>
        <v>3.5444320000000005</v>
      </c>
      <c r="F181" s="430">
        <f t="shared" si="62"/>
        <v>3.6873720000000003</v>
      </c>
      <c r="G181" s="430">
        <f t="shared" si="62"/>
        <v>6.1645979999999989</v>
      </c>
      <c r="H181" s="430">
        <f t="shared" si="62"/>
        <v>6.0446559999999998</v>
      </c>
      <c r="I181" s="430">
        <f t="shared" si="62"/>
        <v>6.5075400000000014</v>
      </c>
      <c r="J181" s="430">
        <f t="shared" si="62"/>
        <v>7.343843999999998</v>
      </c>
      <c r="K181" s="430">
        <f t="shared" si="62"/>
        <v>13.138552000000001</v>
      </c>
      <c r="L181" s="430">
        <f t="shared" si="62"/>
        <v>4.7826040000000045</v>
      </c>
      <c r="M181" s="430">
        <f t="shared" si="62"/>
        <v>4.8741359999999982</v>
      </c>
      <c r="N181" s="430">
        <f t="shared" si="62"/>
        <v>3.3660900000000002</v>
      </c>
      <c r="O181" s="430">
        <f t="shared" si="62"/>
        <v>3.9604979999999985</v>
      </c>
      <c r="P181" s="430">
        <f t="shared" si="62"/>
        <v>2.5567919999999988</v>
      </c>
      <c r="Q181" s="430">
        <f t="shared" si="62"/>
        <v>1.797113999999999</v>
      </c>
      <c r="R181" s="430">
        <f t="shared" si="62"/>
        <v>1.0639915000000018</v>
      </c>
      <c r="S181" s="430">
        <f t="shared" si="62"/>
        <v>0.50656000000000045</v>
      </c>
      <c r="T181" s="430">
        <f t="shared" si="62"/>
        <v>0.10227199999999975</v>
      </c>
      <c r="U181" s="430">
        <f t="shared" si="62"/>
        <v>0</v>
      </c>
      <c r="V181" s="430">
        <f t="shared" si="62"/>
        <v>0</v>
      </c>
      <c r="W181" s="430">
        <f t="shared" si="62"/>
        <v>0</v>
      </c>
      <c r="X181" s="430">
        <f t="shared" si="62"/>
        <v>0</v>
      </c>
      <c r="Y181" s="424"/>
    </row>
    <row r="182" spans="1:26" ht="13" thickBot="1">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6" ht="13.5" thickBot="1">
      <c r="A183" s="416" t="s">
        <v>329</v>
      </c>
      <c r="B183" s="414">
        <f>ROW(A183)</f>
        <v>183</v>
      </c>
      <c r="C183" s="418" t="s">
        <v>116</v>
      </c>
      <c r="D183" s="408">
        <f>SUM(B186:Y186)</f>
        <v>73.169517999999997</v>
      </c>
      <c r="E183" s="418" t="s">
        <v>115</v>
      </c>
      <c r="F183" s="409">
        <f>D183/g/J183</f>
        <v>177.58729673316827</v>
      </c>
      <c r="G183" s="418" t="s">
        <v>57</v>
      </c>
      <c r="H183" s="86">
        <v>9.6000000000000002E-2</v>
      </c>
      <c r="I183" s="418" t="s">
        <v>274</v>
      </c>
      <c r="J183" s="410">
        <f>H183-L183</f>
        <v>4.2000000000000003E-2</v>
      </c>
      <c r="K183" s="418" t="s">
        <v>275</v>
      </c>
      <c r="L183" s="86">
        <v>5.3999999999999999E-2</v>
      </c>
      <c r="M183" s="418" t="s">
        <v>58</v>
      </c>
      <c r="N183" s="457">
        <v>66.5</v>
      </c>
      <c r="O183" s="418" t="s">
        <v>60</v>
      </c>
      <c r="P183" s="457">
        <v>66.5</v>
      </c>
      <c r="Q183" s="418" t="s">
        <v>61</v>
      </c>
      <c r="R183" s="87">
        <v>133</v>
      </c>
      <c r="S183" s="418" t="s">
        <v>62</v>
      </c>
      <c r="T183" s="87">
        <v>24</v>
      </c>
      <c r="U183" s="418" t="s">
        <v>55</v>
      </c>
      <c r="V183" s="88" t="s">
        <v>403</v>
      </c>
      <c r="W183" s="547" t="s">
        <v>398</v>
      </c>
      <c r="X183" s="549">
        <v>0.87</v>
      </c>
      <c r="Y183" s="547" t="s">
        <v>397</v>
      </c>
      <c r="Z183" s="413">
        <v>15</v>
      </c>
    </row>
    <row r="184" spans="1:26">
      <c r="A184" s="417" t="s">
        <v>33</v>
      </c>
      <c r="B184" s="441">
        <v>0</v>
      </c>
      <c r="C184" s="442">
        <v>0.01</v>
      </c>
      <c r="D184" s="442">
        <v>2.3E-2</v>
      </c>
      <c r="E184" s="442">
        <v>0.04</v>
      </c>
      <c r="F184" s="442">
        <v>0.11799999999999999</v>
      </c>
      <c r="G184" s="442">
        <v>0.28299999999999997</v>
      </c>
      <c r="H184" s="442">
        <v>0.51</v>
      </c>
      <c r="I184" s="442">
        <v>0.68799999999999994</v>
      </c>
      <c r="J184" s="442">
        <v>0.78700000000000003</v>
      </c>
      <c r="K184" s="442">
        <v>0.85199999999999998</v>
      </c>
      <c r="L184" s="442">
        <v>0.873</v>
      </c>
      <c r="M184" s="442">
        <v>0.873</v>
      </c>
      <c r="N184" s="442">
        <v>0.873</v>
      </c>
      <c r="O184" s="442">
        <v>0.873</v>
      </c>
      <c r="P184" s="442">
        <v>0.873</v>
      </c>
      <c r="Q184" s="442">
        <v>0.873</v>
      </c>
      <c r="R184" s="442">
        <v>0.873</v>
      </c>
      <c r="S184" s="442">
        <v>0.873</v>
      </c>
      <c r="T184" s="442">
        <v>0.873</v>
      </c>
      <c r="U184" s="442">
        <v>0.873</v>
      </c>
      <c r="V184" s="442">
        <v>0.873</v>
      </c>
      <c r="W184" s="442">
        <v>0.873</v>
      </c>
      <c r="X184" s="442">
        <v>2</v>
      </c>
      <c r="Y184" s="444">
        <v>1000</v>
      </c>
    </row>
    <row r="185" spans="1:26">
      <c r="A185" s="434" t="s">
        <v>34</v>
      </c>
      <c r="B185" s="443">
        <v>0</v>
      </c>
      <c r="C185" s="431">
        <v>76.073999999999998</v>
      </c>
      <c r="D185" s="431">
        <v>100.185</v>
      </c>
      <c r="E185" s="431">
        <v>92.424999999999997</v>
      </c>
      <c r="F185" s="431">
        <v>100.878</v>
      </c>
      <c r="G185" s="431">
        <v>102.402</v>
      </c>
      <c r="H185" s="431">
        <v>96.442999999999998</v>
      </c>
      <c r="I185" s="431">
        <v>87.436000000000007</v>
      </c>
      <c r="J185" s="431">
        <v>25.911999999999999</v>
      </c>
      <c r="K185" s="431">
        <v>7.2060000000000004</v>
      </c>
      <c r="L185" s="433">
        <v>0</v>
      </c>
      <c r="M185" s="433">
        <v>0</v>
      </c>
      <c r="N185" s="433">
        <v>0</v>
      </c>
      <c r="O185" s="433">
        <v>0</v>
      </c>
      <c r="P185" s="433">
        <v>0</v>
      </c>
      <c r="Q185" s="433">
        <v>0</v>
      </c>
      <c r="R185" s="433">
        <v>0</v>
      </c>
      <c r="S185" s="433">
        <v>0</v>
      </c>
      <c r="T185" s="433">
        <v>0</v>
      </c>
      <c r="U185" s="433">
        <v>0</v>
      </c>
      <c r="V185" s="433">
        <v>0</v>
      </c>
      <c r="W185" s="433">
        <v>0</v>
      </c>
      <c r="X185" s="433">
        <v>0</v>
      </c>
      <c r="Y185" s="439">
        <v>0</v>
      </c>
    </row>
    <row r="186" spans="1:26" ht="13" thickBot="1">
      <c r="A186" s="435" t="s">
        <v>117</v>
      </c>
      <c r="B186" s="429">
        <f t="shared" ref="B186:X186" si="63">(C185+B185)*(C184-B184)/2</f>
        <v>0.38036999999999999</v>
      </c>
      <c r="C186" s="430">
        <f t="shared" si="63"/>
        <v>1.1456835000000001</v>
      </c>
      <c r="D186" s="430">
        <f t="shared" si="63"/>
        <v>1.6371850000000003</v>
      </c>
      <c r="E186" s="430">
        <f t="shared" si="63"/>
        <v>7.5388169999999981</v>
      </c>
      <c r="F186" s="430">
        <f t="shared" si="63"/>
        <v>16.770599999999998</v>
      </c>
      <c r="G186" s="430">
        <f t="shared" si="63"/>
        <v>22.568907500000002</v>
      </c>
      <c r="H186" s="430">
        <f t="shared" si="63"/>
        <v>16.365230999999994</v>
      </c>
      <c r="I186" s="430">
        <f t="shared" si="63"/>
        <v>5.6107260000000059</v>
      </c>
      <c r="J186" s="430">
        <f t="shared" si="63"/>
        <v>1.0763349999999992</v>
      </c>
      <c r="K186" s="430">
        <f t="shared" si="63"/>
        <v>7.5663000000000077E-2</v>
      </c>
      <c r="L186" s="430">
        <f t="shared" si="63"/>
        <v>0</v>
      </c>
      <c r="M186" s="430">
        <f t="shared" si="63"/>
        <v>0</v>
      </c>
      <c r="N186" s="430">
        <f t="shared" si="63"/>
        <v>0</v>
      </c>
      <c r="O186" s="430">
        <f t="shared" si="63"/>
        <v>0</v>
      </c>
      <c r="P186" s="430">
        <f t="shared" si="63"/>
        <v>0</v>
      </c>
      <c r="Q186" s="430">
        <f t="shared" si="63"/>
        <v>0</v>
      </c>
      <c r="R186" s="430">
        <f t="shared" si="63"/>
        <v>0</v>
      </c>
      <c r="S186" s="430">
        <f t="shared" si="63"/>
        <v>0</v>
      </c>
      <c r="T186" s="430">
        <f t="shared" si="63"/>
        <v>0</v>
      </c>
      <c r="U186" s="430">
        <f t="shared" si="63"/>
        <v>0</v>
      </c>
      <c r="V186" s="430">
        <f t="shared" si="63"/>
        <v>0</v>
      </c>
      <c r="W186" s="430">
        <f t="shared" si="63"/>
        <v>0</v>
      </c>
      <c r="X186" s="430">
        <f t="shared" si="63"/>
        <v>0</v>
      </c>
      <c r="Y186" s="424"/>
    </row>
    <row r="187" spans="1:26" ht="13" thickBot="1">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6" ht="13.5" thickBot="1">
      <c r="A188" s="416" t="s">
        <v>330</v>
      </c>
      <c r="B188" s="414">
        <f>ROW(A188)</f>
        <v>188</v>
      </c>
      <c r="C188" s="418" t="s">
        <v>116</v>
      </c>
      <c r="D188" s="408">
        <f>SUM(B191:Y191)</f>
        <v>75.254384000000016</v>
      </c>
      <c r="E188" s="418" t="s">
        <v>115</v>
      </c>
      <c r="F188" s="409">
        <f>D188/g/J188</f>
        <v>232.46033422914161</v>
      </c>
      <c r="G188" s="418" t="s">
        <v>57</v>
      </c>
      <c r="H188" s="86">
        <v>9.5000000000000001E-2</v>
      </c>
      <c r="I188" s="418" t="s">
        <v>274</v>
      </c>
      <c r="J188" s="410">
        <f>H188-L188</f>
        <v>3.3000000000000002E-2</v>
      </c>
      <c r="K188" s="418" t="s">
        <v>275</v>
      </c>
      <c r="L188" s="86">
        <f>0.095-0.033</f>
        <v>6.2E-2</v>
      </c>
      <c r="M188" s="418" t="s">
        <v>58</v>
      </c>
      <c r="N188" s="457">
        <v>66.5</v>
      </c>
      <c r="O188" s="418" t="s">
        <v>60</v>
      </c>
      <c r="P188" s="457">
        <v>66.5</v>
      </c>
      <c r="Q188" s="418" t="s">
        <v>61</v>
      </c>
      <c r="R188" s="87">
        <v>133</v>
      </c>
      <c r="S188" s="418" t="s">
        <v>62</v>
      </c>
      <c r="T188" s="87">
        <v>24</v>
      </c>
      <c r="U188" s="418" t="s">
        <v>55</v>
      </c>
      <c r="V188" s="88" t="s">
        <v>403</v>
      </c>
      <c r="W188" s="547" t="s">
        <v>398</v>
      </c>
      <c r="X188" s="549">
        <v>1.5</v>
      </c>
      <c r="Y188" s="547" t="s">
        <v>397</v>
      </c>
      <c r="Z188" s="413">
        <v>12</v>
      </c>
    </row>
    <row r="189" spans="1:26">
      <c r="A189" s="417" t="s">
        <v>33</v>
      </c>
      <c r="B189" s="425">
        <v>0</v>
      </c>
      <c r="C189" s="426">
        <v>0.02</v>
      </c>
      <c r="D189" s="426">
        <v>3.1E-2</v>
      </c>
      <c r="E189" s="426">
        <v>6.2E-2</v>
      </c>
      <c r="F189" s="426">
        <v>0.11700000000000001</v>
      </c>
      <c r="G189" s="426">
        <v>1.2110000000000001</v>
      </c>
      <c r="H189" s="426">
        <v>1.3759999999999999</v>
      </c>
      <c r="I189" s="426">
        <v>1.456</v>
      </c>
      <c r="J189" s="426">
        <v>1.532</v>
      </c>
      <c r="K189" s="426">
        <v>1.577</v>
      </c>
      <c r="L189" s="442">
        <v>2</v>
      </c>
      <c r="M189" s="442">
        <v>2</v>
      </c>
      <c r="N189" s="442">
        <v>2</v>
      </c>
      <c r="O189" s="442">
        <v>2</v>
      </c>
      <c r="P189" s="442">
        <v>2</v>
      </c>
      <c r="Q189" s="442">
        <v>2</v>
      </c>
      <c r="R189" s="442">
        <v>2</v>
      </c>
      <c r="S189" s="442">
        <v>2</v>
      </c>
      <c r="T189" s="442">
        <v>2</v>
      </c>
      <c r="U189" s="442">
        <v>2</v>
      </c>
      <c r="V189" s="442">
        <v>2</v>
      </c>
      <c r="W189" s="442">
        <v>2</v>
      </c>
      <c r="X189" s="442">
        <f t="shared" ref="T189:X190" si="64">W189</f>
        <v>2</v>
      </c>
      <c r="Y189" s="444">
        <v>1000</v>
      </c>
    </row>
    <row r="190" spans="1:26">
      <c r="A190" s="434" t="s">
        <v>34</v>
      </c>
      <c r="B190" s="427">
        <v>0</v>
      </c>
      <c r="C190" s="428">
        <v>75.924000000000007</v>
      </c>
      <c r="D190" s="428">
        <v>84.147999999999996</v>
      </c>
      <c r="E190" s="428">
        <v>70.441000000000003</v>
      </c>
      <c r="F190" s="428">
        <v>73.659000000000006</v>
      </c>
      <c r="G190" s="428">
        <v>38.737000000000002</v>
      </c>
      <c r="H190" s="428">
        <v>14.779</v>
      </c>
      <c r="I190" s="428">
        <v>7.2709999999999999</v>
      </c>
      <c r="J190" s="428">
        <v>3.3370000000000002</v>
      </c>
      <c r="K190" s="428">
        <v>0</v>
      </c>
      <c r="L190" s="433">
        <v>0</v>
      </c>
      <c r="M190" s="433">
        <v>0</v>
      </c>
      <c r="N190" s="433">
        <v>0</v>
      </c>
      <c r="O190" s="433">
        <v>0</v>
      </c>
      <c r="P190" s="433">
        <v>0</v>
      </c>
      <c r="Q190" s="433">
        <v>0</v>
      </c>
      <c r="R190" s="433">
        <v>0</v>
      </c>
      <c r="S190" s="433">
        <v>0</v>
      </c>
      <c r="T190" s="433">
        <f t="shared" si="64"/>
        <v>0</v>
      </c>
      <c r="U190" s="433">
        <f t="shared" si="64"/>
        <v>0</v>
      </c>
      <c r="V190" s="433">
        <f t="shared" si="64"/>
        <v>0</v>
      </c>
      <c r="W190" s="433">
        <f t="shared" si="64"/>
        <v>0</v>
      </c>
      <c r="X190" s="433">
        <f t="shared" si="64"/>
        <v>0</v>
      </c>
      <c r="Y190" s="439">
        <v>0</v>
      </c>
    </row>
    <row r="191" spans="1:26" ht="13" thickBot="1">
      <c r="A191" s="435" t="s">
        <v>117</v>
      </c>
      <c r="B191" s="429">
        <f t="shared" ref="B191:V191" si="65">(C190+B190)*(C189-B189)/2</f>
        <v>0.75924000000000014</v>
      </c>
      <c r="C191" s="430">
        <f t="shared" si="65"/>
        <v>0.88039599999999996</v>
      </c>
      <c r="D191" s="430">
        <f t="shared" si="65"/>
        <v>2.3961294999999998</v>
      </c>
      <c r="E191" s="430">
        <f t="shared" si="65"/>
        <v>3.9627500000000011</v>
      </c>
      <c r="F191" s="430">
        <f t="shared" si="65"/>
        <v>61.480612000000015</v>
      </c>
      <c r="G191" s="430">
        <f t="shared" si="65"/>
        <v>4.4150699999999956</v>
      </c>
      <c r="H191" s="430">
        <f t="shared" si="65"/>
        <v>0.88200000000000078</v>
      </c>
      <c r="I191" s="430">
        <f t="shared" si="65"/>
        <v>0.40310400000000035</v>
      </c>
      <c r="J191" s="430">
        <f>(K190+J190)*(K189-J189)/2</f>
        <v>7.5082499999999885E-2</v>
      </c>
      <c r="K191" s="430">
        <f t="shared" si="65"/>
        <v>0</v>
      </c>
      <c r="L191" s="430">
        <f t="shared" si="65"/>
        <v>0</v>
      </c>
      <c r="M191" s="430">
        <f t="shared" si="65"/>
        <v>0</v>
      </c>
      <c r="N191" s="430">
        <f t="shared" si="65"/>
        <v>0</v>
      </c>
      <c r="O191" s="430">
        <f t="shared" si="65"/>
        <v>0</v>
      </c>
      <c r="P191" s="430">
        <f t="shared" si="65"/>
        <v>0</v>
      </c>
      <c r="Q191" s="430">
        <f t="shared" si="65"/>
        <v>0</v>
      </c>
      <c r="R191" s="430">
        <f t="shared" si="65"/>
        <v>0</v>
      </c>
      <c r="S191" s="430">
        <f>(T190+S190)*(T189-S189)/2</f>
        <v>0</v>
      </c>
      <c r="T191" s="430">
        <f t="shared" si="65"/>
        <v>0</v>
      </c>
      <c r="U191" s="430">
        <f t="shared" si="65"/>
        <v>0</v>
      </c>
      <c r="V191" s="430">
        <f t="shared" si="65"/>
        <v>0</v>
      </c>
      <c r="W191" s="430">
        <f>(X190+W190)*(X189-W189)/2</f>
        <v>0</v>
      </c>
      <c r="X191" s="430">
        <f>(Y190+X190)*(Y189-X189)/2</f>
        <v>0</v>
      </c>
      <c r="Y191" s="424"/>
    </row>
    <row r="192" spans="1:26" ht="13.5" thickBot="1">
      <c r="A192" s="492" t="s">
        <v>377</v>
      </c>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6" ht="13.5" thickBot="1">
      <c r="A193" s="416" t="s">
        <v>540</v>
      </c>
      <c r="B193" s="414">
        <f>ROW(A193)</f>
        <v>193</v>
      </c>
      <c r="C193" s="418" t="s">
        <v>116</v>
      </c>
      <c r="D193" s="408">
        <f>SUM(B196:Y196)</f>
        <v>141.04999999999998</v>
      </c>
      <c r="E193" s="418" t="s">
        <v>115</v>
      </c>
      <c r="F193" s="409">
        <f>D193/g/J193</f>
        <v>186.24592648930721</v>
      </c>
      <c r="G193" s="418" t="s">
        <v>57</v>
      </c>
      <c r="H193" s="86">
        <v>0.16189999999999999</v>
      </c>
      <c r="I193" s="418" t="s">
        <v>274</v>
      </c>
      <c r="J193" s="410">
        <f>H193-L193</f>
        <v>7.7199999999999991E-2</v>
      </c>
      <c r="K193" s="418" t="s">
        <v>275</v>
      </c>
      <c r="L193" s="86">
        <v>8.4699999999999998E-2</v>
      </c>
      <c r="M193" s="418" t="s">
        <v>58</v>
      </c>
      <c r="N193" s="87">
        <v>114</v>
      </c>
      <c r="O193" s="418" t="s">
        <v>60</v>
      </c>
      <c r="P193" s="87">
        <v>114</v>
      </c>
      <c r="Q193" s="418" t="s">
        <v>61</v>
      </c>
      <c r="R193" s="87">
        <v>228</v>
      </c>
      <c r="S193" s="418" t="s">
        <v>62</v>
      </c>
      <c r="T193" s="87">
        <v>24</v>
      </c>
      <c r="U193" s="418" t="s">
        <v>55</v>
      </c>
      <c r="V193" s="88" t="s">
        <v>120</v>
      </c>
      <c r="W193" s="547" t="s">
        <v>398</v>
      </c>
      <c r="X193" s="549">
        <v>0.96</v>
      </c>
      <c r="Y193" s="547" t="s">
        <v>397</v>
      </c>
      <c r="Z193" s="413">
        <v>15</v>
      </c>
    </row>
    <row r="194" spans="1:26">
      <c r="A194" s="417" t="s">
        <v>33</v>
      </c>
      <c r="B194" s="441">
        <v>0</v>
      </c>
      <c r="C194" s="442">
        <v>0.02</v>
      </c>
      <c r="D194" s="442">
        <v>0.03</v>
      </c>
      <c r="E194" s="442">
        <v>0.05</v>
      </c>
      <c r="F194" s="442">
        <v>0.6</v>
      </c>
      <c r="G194" s="442">
        <v>0.67</v>
      </c>
      <c r="H194" s="442">
        <v>0.7</v>
      </c>
      <c r="I194" s="442">
        <v>0.8</v>
      </c>
      <c r="J194" s="442">
        <v>0.9</v>
      </c>
      <c r="K194" s="442">
        <v>1.05</v>
      </c>
      <c r="L194" s="442">
        <f t="shared" ref="L194:W194" si="66">K194</f>
        <v>1.05</v>
      </c>
      <c r="M194" s="442">
        <f t="shared" si="66"/>
        <v>1.05</v>
      </c>
      <c r="N194" s="442">
        <f t="shared" si="66"/>
        <v>1.05</v>
      </c>
      <c r="O194" s="442">
        <f t="shared" si="66"/>
        <v>1.05</v>
      </c>
      <c r="P194" s="442">
        <f t="shared" si="66"/>
        <v>1.05</v>
      </c>
      <c r="Q194" s="442">
        <f t="shared" si="66"/>
        <v>1.05</v>
      </c>
      <c r="R194" s="442">
        <f t="shared" si="66"/>
        <v>1.05</v>
      </c>
      <c r="S194" s="442">
        <f t="shared" si="66"/>
        <v>1.05</v>
      </c>
      <c r="T194" s="442">
        <f t="shared" si="66"/>
        <v>1.05</v>
      </c>
      <c r="U194" s="442">
        <f t="shared" si="66"/>
        <v>1.05</v>
      </c>
      <c r="V194" s="442">
        <f t="shared" si="66"/>
        <v>1.05</v>
      </c>
      <c r="W194" s="442">
        <f t="shared" si="66"/>
        <v>1.05</v>
      </c>
      <c r="X194" s="442">
        <v>2</v>
      </c>
      <c r="Y194" s="444">
        <v>1000</v>
      </c>
    </row>
    <row r="195" spans="1:26">
      <c r="A195" s="434" t="s">
        <v>34</v>
      </c>
      <c r="B195" s="443">
        <v>0</v>
      </c>
      <c r="C195" s="433">
        <v>350</v>
      </c>
      <c r="D195" s="433">
        <v>250</v>
      </c>
      <c r="E195" s="433">
        <v>210</v>
      </c>
      <c r="F195" s="433">
        <v>150</v>
      </c>
      <c r="G195" s="433">
        <v>140</v>
      </c>
      <c r="H195" s="433">
        <v>130</v>
      </c>
      <c r="I195" s="433">
        <v>65</v>
      </c>
      <c r="J195" s="433">
        <v>30</v>
      </c>
      <c r="K195" s="433">
        <v>0</v>
      </c>
      <c r="L195" s="433">
        <v>0</v>
      </c>
      <c r="M195" s="433">
        <v>0</v>
      </c>
      <c r="N195" s="433">
        <v>0</v>
      </c>
      <c r="O195" s="433">
        <v>0</v>
      </c>
      <c r="P195" s="433">
        <v>0</v>
      </c>
      <c r="Q195" s="433">
        <v>0</v>
      </c>
      <c r="R195" s="433">
        <v>0</v>
      </c>
      <c r="S195" s="433">
        <f t="shared" ref="S195:X195" si="67">R195</f>
        <v>0</v>
      </c>
      <c r="T195" s="433">
        <f t="shared" si="67"/>
        <v>0</v>
      </c>
      <c r="U195" s="433">
        <f t="shared" si="67"/>
        <v>0</v>
      </c>
      <c r="V195" s="433">
        <f t="shared" si="67"/>
        <v>0</v>
      </c>
      <c r="W195" s="433">
        <f t="shared" si="67"/>
        <v>0</v>
      </c>
      <c r="X195" s="433">
        <f t="shared" si="67"/>
        <v>0</v>
      </c>
      <c r="Y195" s="439">
        <v>0</v>
      </c>
    </row>
    <row r="196" spans="1:26" ht="13" thickBot="1">
      <c r="A196" s="435" t="s">
        <v>117</v>
      </c>
      <c r="B196" s="429">
        <f t="shared" ref="B196:X196" si="68">(C195+B195)*(C194-B194)/2</f>
        <v>3.5</v>
      </c>
      <c r="C196" s="430">
        <f t="shared" si="68"/>
        <v>2.9999999999999996</v>
      </c>
      <c r="D196" s="430">
        <f t="shared" si="68"/>
        <v>4.6000000000000005</v>
      </c>
      <c r="E196" s="430">
        <f t="shared" si="68"/>
        <v>98.999999999999986</v>
      </c>
      <c r="F196" s="430">
        <f t="shared" si="68"/>
        <v>10.150000000000009</v>
      </c>
      <c r="G196" s="430">
        <f t="shared" si="68"/>
        <v>4.0499999999999883</v>
      </c>
      <c r="H196" s="430">
        <f t="shared" si="68"/>
        <v>9.7500000000000089</v>
      </c>
      <c r="I196" s="430">
        <f t="shared" si="68"/>
        <v>4.7499999999999991</v>
      </c>
      <c r="J196" s="430">
        <f t="shared" si="68"/>
        <v>2.2500000000000004</v>
      </c>
      <c r="K196" s="430">
        <f t="shared" si="68"/>
        <v>0</v>
      </c>
      <c r="L196" s="430">
        <f t="shared" si="68"/>
        <v>0</v>
      </c>
      <c r="M196" s="430">
        <f t="shared" si="68"/>
        <v>0</v>
      </c>
      <c r="N196" s="430">
        <f t="shared" si="68"/>
        <v>0</v>
      </c>
      <c r="O196" s="430">
        <f t="shared" si="68"/>
        <v>0</v>
      </c>
      <c r="P196" s="430">
        <f t="shared" si="68"/>
        <v>0</v>
      </c>
      <c r="Q196" s="430">
        <f t="shared" si="68"/>
        <v>0</v>
      </c>
      <c r="R196" s="430">
        <f t="shared" si="68"/>
        <v>0</v>
      </c>
      <c r="S196" s="430">
        <f t="shared" si="68"/>
        <v>0</v>
      </c>
      <c r="T196" s="430">
        <f t="shared" si="68"/>
        <v>0</v>
      </c>
      <c r="U196" s="430">
        <f t="shared" si="68"/>
        <v>0</v>
      </c>
      <c r="V196" s="430">
        <f t="shared" si="68"/>
        <v>0</v>
      </c>
      <c r="W196" s="430">
        <f t="shared" si="68"/>
        <v>0</v>
      </c>
      <c r="X196" s="430">
        <f t="shared" si="68"/>
        <v>0</v>
      </c>
      <c r="Y196" s="424"/>
    </row>
    <row r="197" spans="1:26" ht="13" thickBot="1">
      <c r="A197" s="17" t="s">
        <v>551</v>
      </c>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6" ht="13.5" thickBot="1">
      <c r="A198" s="416" t="s">
        <v>556</v>
      </c>
      <c r="B198" s="414">
        <f>ROW(A198)</f>
        <v>198</v>
      </c>
      <c r="C198" s="418" t="s">
        <v>116</v>
      </c>
      <c r="D198" s="408">
        <f>SUM(B201:Y201)</f>
        <v>142.44</v>
      </c>
      <c r="E198" s="418" t="s">
        <v>115</v>
      </c>
      <c r="F198" s="409">
        <f>D198/g/J198</f>
        <v>192.06187401906058</v>
      </c>
      <c r="G198" s="418" t="s">
        <v>57</v>
      </c>
      <c r="H198" s="86">
        <v>0.15989999999999999</v>
      </c>
      <c r="I198" s="418" t="s">
        <v>274</v>
      </c>
      <c r="J198" s="410">
        <f>H198-L198</f>
        <v>7.5599999999999987E-2</v>
      </c>
      <c r="K198" s="418" t="s">
        <v>275</v>
      </c>
      <c r="L198" s="86">
        <v>8.43E-2</v>
      </c>
      <c r="M198" s="418" t="s">
        <v>58</v>
      </c>
      <c r="N198" s="87">
        <v>114</v>
      </c>
      <c r="O198" s="418" t="s">
        <v>60</v>
      </c>
      <c r="P198" s="87">
        <v>114</v>
      </c>
      <c r="Q198" s="418" t="s">
        <v>61</v>
      </c>
      <c r="R198" s="87">
        <v>228</v>
      </c>
      <c r="S198" s="418" t="s">
        <v>62</v>
      </c>
      <c r="T198" s="87">
        <v>24</v>
      </c>
      <c r="U198" s="418" t="s">
        <v>55</v>
      </c>
      <c r="V198" s="88" t="s">
        <v>405</v>
      </c>
      <c r="W198" s="547" t="s">
        <v>398</v>
      </c>
      <c r="X198" s="549">
        <v>0.97</v>
      </c>
      <c r="Y198" s="547" t="s">
        <v>397</v>
      </c>
      <c r="Z198" s="413"/>
    </row>
    <row r="199" spans="1:26">
      <c r="A199" s="417" t="s">
        <v>33</v>
      </c>
      <c r="B199" s="441">
        <v>0</v>
      </c>
      <c r="C199" s="442">
        <v>0.02</v>
      </c>
      <c r="D199" s="442">
        <v>0.04</v>
      </c>
      <c r="E199" s="442">
        <v>0.62</v>
      </c>
      <c r="F199" s="442">
        <v>0.66</v>
      </c>
      <c r="G199" s="442">
        <v>0.68</v>
      </c>
      <c r="H199" s="442">
        <v>0.8</v>
      </c>
      <c r="I199" s="442">
        <v>0.84</v>
      </c>
      <c r="J199" s="442">
        <v>0.88</v>
      </c>
      <c r="K199" s="442">
        <v>0.92</v>
      </c>
      <c r="L199" s="442">
        <v>0.96</v>
      </c>
      <c r="M199" s="442">
        <v>1</v>
      </c>
      <c r="N199" s="442">
        <v>1.08</v>
      </c>
      <c r="O199" s="442">
        <v>2</v>
      </c>
      <c r="P199" s="442">
        <v>2</v>
      </c>
      <c r="Q199" s="442">
        <v>2</v>
      </c>
      <c r="R199" s="442">
        <v>2</v>
      </c>
      <c r="S199" s="442">
        <f t="shared" ref="S199:X200" si="69">R199</f>
        <v>2</v>
      </c>
      <c r="T199" s="442">
        <f t="shared" si="69"/>
        <v>2</v>
      </c>
      <c r="U199" s="442">
        <f t="shared" si="69"/>
        <v>2</v>
      </c>
      <c r="V199" s="442">
        <f t="shared" si="69"/>
        <v>2</v>
      </c>
      <c r="W199" s="442">
        <f t="shared" si="69"/>
        <v>2</v>
      </c>
      <c r="X199" s="442">
        <f t="shared" si="69"/>
        <v>2</v>
      </c>
      <c r="Y199" s="444">
        <v>1000</v>
      </c>
    </row>
    <row r="200" spans="1:26">
      <c r="A200" s="434" t="s">
        <v>34</v>
      </c>
      <c r="B200" s="443">
        <v>0</v>
      </c>
      <c r="C200" s="433">
        <v>250</v>
      </c>
      <c r="D200" s="433">
        <v>210</v>
      </c>
      <c r="E200" s="433">
        <v>160</v>
      </c>
      <c r="F200" s="433">
        <v>150</v>
      </c>
      <c r="G200" s="433">
        <v>142</v>
      </c>
      <c r="H200" s="433">
        <v>62</v>
      </c>
      <c r="I200" s="433">
        <v>48</v>
      </c>
      <c r="J200" s="433">
        <v>34</v>
      </c>
      <c r="K200" s="433">
        <v>24</v>
      </c>
      <c r="L200" s="433">
        <v>15</v>
      </c>
      <c r="M200" s="433">
        <v>10</v>
      </c>
      <c r="N200" s="433">
        <v>0</v>
      </c>
      <c r="O200" s="433">
        <v>0</v>
      </c>
      <c r="P200" s="433">
        <v>0</v>
      </c>
      <c r="Q200" s="433">
        <v>0</v>
      </c>
      <c r="R200" s="433">
        <v>0</v>
      </c>
      <c r="S200" s="433">
        <f t="shared" si="69"/>
        <v>0</v>
      </c>
      <c r="T200" s="433">
        <f t="shared" si="69"/>
        <v>0</v>
      </c>
      <c r="U200" s="433">
        <f t="shared" si="69"/>
        <v>0</v>
      </c>
      <c r="V200" s="433">
        <f t="shared" si="69"/>
        <v>0</v>
      </c>
      <c r="W200" s="433">
        <f t="shared" si="69"/>
        <v>0</v>
      </c>
      <c r="X200" s="433">
        <f t="shared" si="69"/>
        <v>0</v>
      </c>
      <c r="Y200" s="439">
        <v>0</v>
      </c>
    </row>
    <row r="201" spans="1:26" ht="13" thickBot="1">
      <c r="A201" s="435" t="s">
        <v>117</v>
      </c>
      <c r="B201" s="429">
        <f t="shared" ref="B201:X201" si="70">(C200+B200)*(C199-B199)/2</f>
        <v>2.5</v>
      </c>
      <c r="C201" s="430">
        <f t="shared" si="70"/>
        <v>4.6000000000000005</v>
      </c>
      <c r="D201" s="430">
        <f t="shared" si="70"/>
        <v>107.3</v>
      </c>
      <c r="E201" s="430">
        <f t="shared" si="70"/>
        <v>6.2000000000000055</v>
      </c>
      <c r="F201" s="430">
        <f t="shared" si="70"/>
        <v>2.9200000000000026</v>
      </c>
      <c r="G201" s="430">
        <f t="shared" si="70"/>
        <v>12.24</v>
      </c>
      <c r="H201" s="430">
        <f t="shared" si="70"/>
        <v>2.1999999999999957</v>
      </c>
      <c r="I201" s="430">
        <f t="shared" si="70"/>
        <v>1.6400000000000015</v>
      </c>
      <c r="J201" s="430">
        <f t="shared" si="70"/>
        <v>1.160000000000001</v>
      </c>
      <c r="K201" s="430">
        <f t="shared" si="70"/>
        <v>0.77999999999999847</v>
      </c>
      <c r="L201" s="430">
        <f t="shared" si="70"/>
        <v>0.50000000000000044</v>
      </c>
      <c r="M201" s="430">
        <f t="shared" si="70"/>
        <v>0.40000000000000036</v>
      </c>
      <c r="N201" s="430">
        <f t="shared" si="70"/>
        <v>0</v>
      </c>
      <c r="O201" s="430">
        <f t="shared" si="70"/>
        <v>0</v>
      </c>
      <c r="P201" s="430">
        <f t="shared" si="70"/>
        <v>0</v>
      </c>
      <c r="Q201" s="430">
        <f t="shared" si="70"/>
        <v>0</v>
      </c>
      <c r="R201" s="430">
        <f t="shared" si="70"/>
        <v>0</v>
      </c>
      <c r="S201" s="430">
        <f t="shared" si="70"/>
        <v>0</v>
      </c>
      <c r="T201" s="430">
        <f t="shared" si="70"/>
        <v>0</v>
      </c>
      <c r="U201" s="430">
        <f t="shared" si="70"/>
        <v>0</v>
      </c>
      <c r="V201" s="430">
        <f t="shared" si="70"/>
        <v>0</v>
      </c>
      <c r="W201" s="430">
        <f t="shared" si="70"/>
        <v>0</v>
      </c>
      <c r="X201" s="430">
        <f t="shared" si="70"/>
        <v>0</v>
      </c>
      <c r="Y201" s="424"/>
    </row>
    <row r="202" spans="1:26" ht="13" thickBot="1">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6" ht="13.5" thickBot="1">
      <c r="A203" s="416" t="s">
        <v>542</v>
      </c>
      <c r="B203" s="414">
        <f>ROW(A203)</f>
        <v>203</v>
      </c>
      <c r="C203" s="418" t="s">
        <v>116</v>
      </c>
      <c r="D203" s="408">
        <f>SUM(B206:Y206)</f>
        <v>143.08845000000002</v>
      </c>
      <c r="E203" s="418" t="s">
        <v>115</v>
      </c>
      <c r="F203" s="409">
        <f>D203/g/J203</f>
        <v>168.23504721190514</v>
      </c>
      <c r="G203" s="418" t="s">
        <v>57</v>
      </c>
      <c r="H203" s="86">
        <v>0.17249999999999999</v>
      </c>
      <c r="I203" s="418" t="s">
        <v>274</v>
      </c>
      <c r="J203" s="410">
        <f>H203-L203</f>
        <v>8.6699999999999985E-2</v>
      </c>
      <c r="K203" s="418" t="s">
        <v>275</v>
      </c>
      <c r="L203" s="86">
        <v>8.5800000000000001E-2</v>
      </c>
      <c r="M203" s="418" t="s">
        <v>58</v>
      </c>
      <c r="N203" s="87">
        <v>114</v>
      </c>
      <c r="O203" s="418" t="s">
        <v>60</v>
      </c>
      <c r="P203" s="87">
        <v>114</v>
      </c>
      <c r="Q203" s="418" t="s">
        <v>61</v>
      </c>
      <c r="R203" s="87">
        <v>228</v>
      </c>
      <c r="S203" s="418" t="s">
        <v>62</v>
      </c>
      <c r="T203" s="87">
        <v>24</v>
      </c>
      <c r="U203" s="418" t="s">
        <v>55</v>
      </c>
      <c r="V203" s="88" t="s">
        <v>120</v>
      </c>
      <c r="W203" s="547" t="s">
        <v>398</v>
      </c>
      <c r="X203" s="549">
        <v>0.97</v>
      </c>
      <c r="Y203" s="547" t="s">
        <v>397</v>
      </c>
      <c r="Z203" s="413">
        <v>11</v>
      </c>
    </row>
    <row r="204" spans="1:26">
      <c r="A204" s="417" t="s">
        <v>33</v>
      </c>
      <c r="B204" s="441">
        <v>0</v>
      </c>
      <c r="C204" s="442">
        <v>8.0000000000000002E-3</v>
      </c>
      <c r="D204" s="442">
        <v>1.2999999999999999E-2</v>
      </c>
      <c r="E204" s="442">
        <v>2.1999999999999999E-2</v>
      </c>
      <c r="F204" s="442">
        <v>3.5000000000000003E-2</v>
      </c>
      <c r="G204" s="442">
        <v>6.3E-2</v>
      </c>
      <c r="H204" s="442">
        <v>0.10299999999999999</v>
      </c>
      <c r="I204" s="442">
        <v>0.19600000000000001</v>
      </c>
      <c r="J204" s="442">
        <v>0.311</v>
      </c>
      <c r="K204" s="442">
        <v>0.47399999999999998</v>
      </c>
      <c r="L204" s="442">
        <v>0.56399999999999995</v>
      </c>
      <c r="M204" s="442">
        <v>0.76200000000000001</v>
      </c>
      <c r="N204" s="442">
        <v>0.85799999999999998</v>
      </c>
      <c r="O204" s="442">
        <v>0.92800000000000005</v>
      </c>
      <c r="P204" s="442">
        <v>1.038</v>
      </c>
      <c r="Q204" s="442">
        <v>1.08</v>
      </c>
      <c r="R204" s="442">
        <v>1.131</v>
      </c>
      <c r="S204" s="442">
        <v>1.1850000000000001</v>
      </c>
      <c r="T204" s="442">
        <v>1.224</v>
      </c>
      <c r="U204" s="442">
        <v>1.258</v>
      </c>
      <c r="V204" s="442">
        <v>1.4</v>
      </c>
      <c r="W204" s="442">
        <v>1.4410000000000001</v>
      </c>
      <c r="X204" s="442">
        <v>2</v>
      </c>
      <c r="Y204" s="444">
        <v>1000</v>
      </c>
    </row>
    <row r="205" spans="1:26">
      <c r="A205" s="434" t="s">
        <v>34</v>
      </c>
      <c r="B205" s="443">
        <v>0</v>
      </c>
      <c r="C205" s="433">
        <v>168.643</v>
      </c>
      <c r="D205" s="433">
        <v>177.339</v>
      </c>
      <c r="E205" s="433">
        <v>177.86600000000001</v>
      </c>
      <c r="F205" s="433">
        <v>171.27799999999999</v>
      </c>
      <c r="G205" s="433">
        <v>157.839</v>
      </c>
      <c r="H205" s="433">
        <v>154.941</v>
      </c>
      <c r="I205" s="433">
        <v>148.88</v>
      </c>
      <c r="J205" s="433">
        <v>144.137</v>
      </c>
      <c r="K205" s="433">
        <v>138.07599999999999</v>
      </c>
      <c r="L205" s="433">
        <v>135.70500000000001</v>
      </c>
      <c r="M205" s="433">
        <v>125.955</v>
      </c>
      <c r="N205" s="433">
        <v>116.733</v>
      </c>
      <c r="O205" s="433">
        <v>101.71299999999999</v>
      </c>
      <c r="P205" s="433">
        <v>57.444000000000003</v>
      </c>
      <c r="Q205" s="433">
        <v>42.688000000000002</v>
      </c>
      <c r="R205" s="433">
        <v>31.884</v>
      </c>
      <c r="S205" s="433">
        <v>17.655000000000001</v>
      </c>
      <c r="T205" s="433">
        <v>9.4860000000000007</v>
      </c>
      <c r="U205" s="433">
        <v>5.27</v>
      </c>
      <c r="V205" s="433">
        <v>0.79100000000000004</v>
      </c>
      <c r="W205" s="433">
        <v>0</v>
      </c>
      <c r="X205" s="433">
        <f>W205</f>
        <v>0</v>
      </c>
      <c r="Y205" s="439">
        <v>0</v>
      </c>
    </row>
    <row r="206" spans="1:26" ht="13" thickBot="1">
      <c r="A206" s="435" t="s">
        <v>117</v>
      </c>
      <c r="B206" s="429">
        <f t="shared" ref="B206:X206" si="71">(C205+B205)*(C204-B204)/2</f>
        <v>0.67457200000000006</v>
      </c>
      <c r="C206" s="430">
        <f t="shared" si="71"/>
        <v>0.86495499999999981</v>
      </c>
      <c r="D206" s="430">
        <f t="shared" si="71"/>
        <v>1.5984225000000001</v>
      </c>
      <c r="E206" s="430">
        <f t="shared" si="71"/>
        <v>2.2694360000000007</v>
      </c>
      <c r="F206" s="430">
        <f t="shared" si="71"/>
        <v>4.6076379999999988</v>
      </c>
      <c r="G206" s="430">
        <f t="shared" si="71"/>
        <v>6.2555999999999985</v>
      </c>
      <c r="H206" s="430">
        <f t="shared" si="71"/>
        <v>14.127676500000003</v>
      </c>
      <c r="I206" s="430">
        <f t="shared" si="71"/>
        <v>16.848477499999998</v>
      </c>
      <c r="J206" s="430">
        <f t="shared" si="71"/>
        <v>23.000359499999995</v>
      </c>
      <c r="K206" s="430">
        <f t="shared" si="71"/>
        <v>12.320144999999997</v>
      </c>
      <c r="L206" s="430">
        <f t="shared" si="71"/>
        <v>25.904340000000012</v>
      </c>
      <c r="M206" s="430">
        <f t="shared" si="71"/>
        <v>11.649023999999997</v>
      </c>
      <c r="N206" s="430">
        <f t="shared" si="71"/>
        <v>7.6456100000000067</v>
      </c>
      <c r="O206" s="430">
        <f t="shared" si="71"/>
        <v>8.7536349999999974</v>
      </c>
      <c r="P206" s="430">
        <f t="shared" si="71"/>
        <v>2.1027720000000021</v>
      </c>
      <c r="Q206" s="430">
        <f t="shared" si="71"/>
        <v>1.9015859999999976</v>
      </c>
      <c r="R206" s="430">
        <f t="shared" si="71"/>
        <v>1.3375530000000013</v>
      </c>
      <c r="S206" s="430">
        <f t="shared" si="71"/>
        <v>0.52924949999999904</v>
      </c>
      <c r="T206" s="430">
        <f t="shared" si="71"/>
        <v>0.25085200000000024</v>
      </c>
      <c r="U206" s="430">
        <f t="shared" si="71"/>
        <v>0.43033099999999969</v>
      </c>
      <c r="V206" s="430">
        <f t="shared" si="71"/>
        <v>1.621550000000006E-2</v>
      </c>
      <c r="W206" s="430">
        <f t="shared" si="71"/>
        <v>0</v>
      </c>
      <c r="X206" s="430">
        <f t="shared" si="71"/>
        <v>0</v>
      </c>
      <c r="Y206" s="424"/>
    </row>
    <row r="207" spans="1:26" ht="13" thickBot="1">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6" ht="13.5" thickBot="1">
      <c r="A208" s="416" t="s">
        <v>541</v>
      </c>
      <c r="B208" s="414">
        <f>ROW(A208)</f>
        <v>208</v>
      </c>
      <c r="C208" s="418" t="s">
        <v>116</v>
      </c>
      <c r="D208" s="408">
        <f>SUM(B211:Y211)</f>
        <v>139.423417</v>
      </c>
      <c r="E208" s="418" t="s">
        <v>115</v>
      </c>
      <c r="F208" s="409">
        <f>D208/g/J208</f>
        <v>158.62027745922524</v>
      </c>
      <c r="G208" s="418" t="s">
        <v>57</v>
      </c>
      <c r="H208" s="86">
        <v>0.19450000000000001</v>
      </c>
      <c r="I208" s="418" t="s">
        <v>274</v>
      </c>
      <c r="J208" s="410">
        <f>H208-L208</f>
        <v>8.9600000000000013E-2</v>
      </c>
      <c r="K208" s="418" t="s">
        <v>275</v>
      </c>
      <c r="L208" s="86">
        <v>0.10489999999999999</v>
      </c>
      <c r="M208" s="418" t="s">
        <v>58</v>
      </c>
      <c r="N208" s="87">
        <v>114</v>
      </c>
      <c r="O208" s="418" t="s">
        <v>60</v>
      </c>
      <c r="P208" s="87">
        <v>144</v>
      </c>
      <c r="Q208" s="418" t="s">
        <v>61</v>
      </c>
      <c r="R208" s="87">
        <v>228</v>
      </c>
      <c r="S208" s="418" t="s">
        <v>62</v>
      </c>
      <c r="T208" s="87">
        <v>24</v>
      </c>
      <c r="U208" s="418" t="s">
        <v>55</v>
      </c>
      <c r="V208" s="88" t="s">
        <v>120</v>
      </c>
      <c r="W208" s="547" t="s">
        <v>398</v>
      </c>
      <c r="X208" s="549">
        <v>1.3</v>
      </c>
      <c r="Y208" s="547" t="s">
        <v>397</v>
      </c>
      <c r="Z208" s="413">
        <v>12</v>
      </c>
    </row>
    <row r="209" spans="1:26">
      <c r="A209" s="417" t="s">
        <v>33</v>
      </c>
      <c r="B209" s="441">
        <v>0</v>
      </c>
      <c r="C209" s="442">
        <v>1.0999999999999999E-2</v>
      </c>
      <c r="D209" s="442">
        <v>2.1999999999999999E-2</v>
      </c>
      <c r="E209" s="442">
        <v>4.5999999999999999E-2</v>
      </c>
      <c r="F209" s="442">
        <v>8.1000000000000003E-2</v>
      </c>
      <c r="G209" s="442">
        <v>0.219</v>
      </c>
      <c r="H209" s="442">
        <v>0.253</v>
      </c>
      <c r="I209" s="442">
        <v>0.27400000000000002</v>
      </c>
      <c r="J209" s="442">
        <v>0.30499999999999999</v>
      </c>
      <c r="K209" s="442">
        <v>0.41199999999999998</v>
      </c>
      <c r="L209" s="442">
        <v>0.78900000000000003</v>
      </c>
      <c r="M209" s="442">
        <v>0.89900000000000002</v>
      </c>
      <c r="N209" s="442">
        <v>0.95299999999999996</v>
      </c>
      <c r="O209" s="442">
        <v>0.999</v>
      </c>
      <c r="P209" s="442">
        <v>1.03</v>
      </c>
      <c r="Q209" s="442">
        <v>1.0569999999999999</v>
      </c>
      <c r="R209" s="442">
        <v>1.1020000000000001</v>
      </c>
      <c r="S209" s="442">
        <v>1.1539999999999999</v>
      </c>
      <c r="T209" s="442">
        <v>1.1970000000000001</v>
      </c>
      <c r="U209" s="442">
        <v>1.2769999999999999</v>
      </c>
      <c r="V209" s="442">
        <v>1.335</v>
      </c>
      <c r="W209" s="442">
        <v>1.4510000000000001</v>
      </c>
      <c r="X209" s="442">
        <v>2</v>
      </c>
      <c r="Y209" s="444">
        <v>1000</v>
      </c>
    </row>
    <row r="210" spans="1:26">
      <c r="A210" s="434" t="s">
        <v>34</v>
      </c>
      <c r="B210" s="443">
        <v>0</v>
      </c>
      <c r="C210" s="433">
        <v>198.41800000000001</v>
      </c>
      <c r="D210" s="433">
        <v>221.83500000000001</v>
      </c>
      <c r="E210" s="433">
        <v>212.65799999999999</v>
      </c>
      <c r="F210" s="433">
        <v>218.35400000000001</v>
      </c>
      <c r="G210" s="433">
        <v>204.43</v>
      </c>
      <c r="H210" s="433">
        <v>195.886</v>
      </c>
      <c r="I210" s="433">
        <v>183.54400000000001</v>
      </c>
      <c r="J210" s="433">
        <v>88.290999999999997</v>
      </c>
      <c r="K210" s="433">
        <v>93.671000000000006</v>
      </c>
      <c r="L210" s="433">
        <v>93.986999999999995</v>
      </c>
      <c r="M210" s="433">
        <v>91.138999999999996</v>
      </c>
      <c r="N210" s="433">
        <v>89.873000000000005</v>
      </c>
      <c r="O210" s="433">
        <v>87.025000000000006</v>
      </c>
      <c r="P210" s="433">
        <v>81.328999999999994</v>
      </c>
      <c r="Q210" s="433">
        <v>69.936999999999998</v>
      </c>
      <c r="R210" s="433">
        <v>54.113999999999997</v>
      </c>
      <c r="S210" s="433">
        <v>42.405000000000001</v>
      </c>
      <c r="T210" s="433">
        <v>31.646000000000001</v>
      </c>
      <c r="U210" s="433">
        <v>17.088999999999999</v>
      </c>
      <c r="V210" s="433">
        <v>9.81</v>
      </c>
      <c r="W210" s="433">
        <v>0</v>
      </c>
      <c r="X210" s="433">
        <v>0</v>
      </c>
      <c r="Y210" s="439">
        <v>0</v>
      </c>
    </row>
    <row r="211" spans="1:26" ht="13" thickBot="1">
      <c r="A211" s="435" t="s">
        <v>117</v>
      </c>
      <c r="B211" s="429">
        <f t="shared" ref="B211:X211" si="72">(C210+B210)*(C209-B209)/2</f>
        <v>1.091299</v>
      </c>
      <c r="C211" s="430">
        <f t="shared" si="72"/>
        <v>2.3113915</v>
      </c>
      <c r="D211" s="430">
        <f t="shared" si="72"/>
        <v>5.2139160000000002</v>
      </c>
      <c r="E211" s="430">
        <f t="shared" si="72"/>
        <v>7.5427100000000005</v>
      </c>
      <c r="F211" s="430">
        <f t="shared" si="72"/>
        <v>29.172096000000003</v>
      </c>
      <c r="G211" s="430">
        <f t="shared" si="72"/>
        <v>6.8053720000000011</v>
      </c>
      <c r="H211" s="430">
        <f t="shared" si="72"/>
        <v>3.9840150000000034</v>
      </c>
      <c r="I211" s="430">
        <f t="shared" si="72"/>
        <v>4.2134424999999966</v>
      </c>
      <c r="J211" s="430">
        <f t="shared" si="72"/>
        <v>9.7349669999999975</v>
      </c>
      <c r="K211" s="430">
        <f t="shared" si="72"/>
        <v>35.373533000000009</v>
      </c>
      <c r="L211" s="430">
        <f t="shared" si="72"/>
        <v>10.181929999999998</v>
      </c>
      <c r="M211" s="430">
        <f t="shared" si="72"/>
        <v>4.8873239999999942</v>
      </c>
      <c r="N211" s="430">
        <f t="shared" si="72"/>
        <v>4.068654000000004</v>
      </c>
      <c r="O211" s="430">
        <f t="shared" si="72"/>
        <v>2.6094870000000019</v>
      </c>
      <c r="P211" s="430">
        <f t="shared" si="72"/>
        <v>2.0420909999999934</v>
      </c>
      <c r="Q211" s="430">
        <f t="shared" si="72"/>
        <v>2.791147500000009</v>
      </c>
      <c r="R211" s="430">
        <f t="shared" si="72"/>
        <v>2.5094939999999917</v>
      </c>
      <c r="S211" s="430">
        <f t="shared" si="72"/>
        <v>1.5920965000000056</v>
      </c>
      <c r="T211" s="430">
        <f t="shared" si="72"/>
        <v>1.9493999999999962</v>
      </c>
      <c r="U211" s="430">
        <f t="shared" si="72"/>
        <v>0.78007100000000074</v>
      </c>
      <c r="V211" s="430">
        <f t="shared" si="72"/>
        <v>0.56898000000000049</v>
      </c>
      <c r="W211" s="430">
        <f t="shared" si="72"/>
        <v>0</v>
      </c>
      <c r="X211" s="430">
        <f t="shared" si="72"/>
        <v>0</v>
      </c>
      <c r="Y211" s="424"/>
    </row>
    <row r="212" spans="1:26" ht="13.5" thickBot="1">
      <c r="A212" s="492" t="s">
        <v>319</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6" ht="13.5" thickBot="1">
      <c r="A213" s="416" t="s">
        <v>379</v>
      </c>
      <c r="B213" s="414">
        <f>ROW(A213)</f>
        <v>213</v>
      </c>
      <c r="C213" s="418" t="s">
        <v>116</v>
      </c>
      <c r="D213" s="408">
        <f>SUM(B216:Y216)</f>
        <v>82.798500000000018</v>
      </c>
      <c r="E213" s="418" t="s">
        <v>115</v>
      </c>
      <c r="F213" s="409">
        <f>D213/g/J213</f>
        <v>131.87834480122325</v>
      </c>
      <c r="G213" s="418" t="s">
        <v>57</v>
      </c>
      <c r="H213" s="86">
        <v>0.152</v>
      </c>
      <c r="I213" s="418" t="s">
        <v>274</v>
      </c>
      <c r="J213" s="410">
        <f>H213-L213</f>
        <v>6.4000000000000001E-2</v>
      </c>
      <c r="K213" s="418" t="s">
        <v>275</v>
      </c>
      <c r="L213" s="86">
        <v>8.7999999999999995E-2</v>
      </c>
      <c r="M213" s="418" t="s">
        <v>58</v>
      </c>
      <c r="N213" s="87">
        <v>71</v>
      </c>
      <c r="O213" s="418" t="s">
        <v>60</v>
      </c>
      <c r="P213" s="87">
        <v>71</v>
      </c>
      <c r="Q213" s="418" t="s">
        <v>61</v>
      </c>
      <c r="R213" s="87">
        <v>142</v>
      </c>
      <c r="S213" s="418" t="s">
        <v>62</v>
      </c>
      <c r="T213" s="87">
        <v>29</v>
      </c>
      <c r="U213" s="418" t="s">
        <v>55</v>
      </c>
      <c r="V213" s="88" t="s">
        <v>120</v>
      </c>
      <c r="W213" s="547" t="s">
        <v>398</v>
      </c>
      <c r="X213" s="549">
        <v>0.96</v>
      </c>
      <c r="Y213" s="547" t="s">
        <v>397</v>
      </c>
      <c r="Z213" s="413">
        <v>11</v>
      </c>
    </row>
    <row r="214" spans="1:26">
      <c r="A214" s="417" t="s">
        <v>33</v>
      </c>
      <c r="B214" s="441">
        <v>0</v>
      </c>
      <c r="C214" s="442">
        <v>0.02</v>
      </c>
      <c r="D214" s="442">
        <v>0.03</v>
      </c>
      <c r="E214" s="442">
        <v>0.04</v>
      </c>
      <c r="F214" s="442">
        <v>0.06</v>
      </c>
      <c r="G214" s="442">
        <v>0.08</v>
      </c>
      <c r="H214" s="442">
        <v>0.15</v>
      </c>
      <c r="I214" s="442">
        <v>0.18</v>
      </c>
      <c r="J214" s="442">
        <v>0.2</v>
      </c>
      <c r="K214" s="442">
        <v>0.3</v>
      </c>
      <c r="L214" s="442">
        <v>0.4</v>
      </c>
      <c r="M214" s="442">
        <v>0.5</v>
      </c>
      <c r="N214" s="442">
        <v>0.6</v>
      </c>
      <c r="O214" s="442">
        <v>0.7</v>
      </c>
      <c r="P214" s="442">
        <v>0.82</v>
      </c>
      <c r="Q214" s="442">
        <v>0.93</v>
      </c>
      <c r="R214" s="442">
        <v>1</v>
      </c>
      <c r="S214" s="442">
        <f t="shared" ref="S214:X215" si="73">R214</f>
        <v>1</v>
      </c>
      <c r="T214" s="442">
        <f t="shared" si="73"/>
        <v>1</v>
      </c>
      <c r="U214" s="442">
        <f t="shared" si="73"/>
        <v>1</v>
      </c>
      <c r="V214" s="442">
        <f t="shared" si="73"/>
        <v>1</v>
      </c>
      <c r="W214" s="442">
        <f t="shared" si="73"/>
        <v>1</v>
      </c>
      <c r="X214" s="442">
        <v>2</v>
      </c>
      <c r="Y214" s="444">
        <v>1000</v>
      </c>
    </row>
    <row r="215" spans="1:26">
      <c r="A215" s="434" t="s">
        <v>34</v>
      </c>
      <c r="B215" s="443">
        <v>0</v>
      </c>
      <c r="C215" s="433">
        <v>41.9</v>
      </c>
      <c r="D215" s="433">
        <v>92.1</v>
      </c>
      <c r="E215" s="433">
        <v>116.7</v>
      </c>
      <c r="F215" s="433">
        <v>112.7</v>
      </c>
      <c r="G215" s="433">
        <v>82.7</v>
      </c>
      <c r="H215" s="433">
        <v>84.7</v>
      </c>
      <c r="I215" s="433">
        <v>86.2</v>
      </c>
      <c r="J215" s="433">
        <v>87.9</v>
      </c>
      <c r="K215" s="433">
        <v>90.9</v>
      </c>
      <c r="L215" s="433">
        <v>93.9</v>
      </c>
      <c r="M215" s="433">
        <v>95.3</v>
      </c>
      <c r="N215" s="433">
        <v>96.8</v>
      </c>
      <c r="O215" s="433">
        <v>97.6</v>
      </c>
      <c r="P215" s="433">
        <v>108.2</v>
      </c>
      <c r="Q215" s="433">
        <v>11</v>
      </c>
      <c r="R215" s="433">
        <v>0</v>
      </c>
      <c r="S215" s="433">
        <f t="shared" si="73"/>
        <v>0</v>
      </c>
      <c r="T215" s="433">
        <f t="shared" si="73"/>
        <v>0</v>
      </c>
      <c r="U215" s="433">
        <f t="shared" si="73"/>
        <v>0</v>
      </c>
      <c r="V215" s="433">
        <f t="shared" si="73"/>
        <v>0</v>
      </c>
      <c r="W215" s="433">
        <f t="shared" si="73"/>
        <v>0</v>
      </c>
      <c r="X215" s="433">
        <f t="shared" si="73"/>
        <v>0</v>
      </c>
      <c r="Y215" s="439">
        <v>0</v>
      </c>
    </row>
    <row r="216" spans="1:26" ht="13" thickBot="1">
      <c r="A216" s="435" t="s">
        <v>117</v>
      </c>
      <c r="B216" s="429">
        <f t="shared" ref="B216:V216" si="74">(C215+B215)*(C214-B214)/2</f>
        <v>0.41899999999999998</v>
      </c>
      <c r="C216" s="430">
        <f t="shared" si="74"/>
        <v>0.66999999999999993</v>
      </c>
      <c r="D216" s="430">
        <f t="shared" si="74"/>
        <v>1.0440000000000003</v>
      </c>
      <c r="E216" s="430">
        <f t="shared" si="74"/>
        <v>2.2939999999999996</v>
      </c>
      <c r="F216" s="430">
        <f t="shared" si="74"/>
        <v>1.9540000000000004</v>
      </c>
      <c r="G216" s="430">
        <f t="shared" si="74"/>
        <v>5.859</v>
      </c>
      <c r="H216" s="430">
        <f t="shared" si="74"/>
        <v>2.5634999999999999</v>
      </c>
      <c r="I216" s="430">
        <f t="shared" si="74"/>
        <v>1.7410000000000019</v>
      </c>
      <c r="J216" s="430">
        <f>(K215+J215)*(K214-J214)/2</f>
        <v>8.9399999999999977</v>
      </c>
      <c r="K216" s="430">
        <f t="shared" si="74"/>
        <v>9.2400000000000038</v>
      </c>
      <c r="L216" s="430">
        <f t="shared" si="74"/>
        <v>9.4599999999999973</v>
      </c>
      <c r="M216" s="430">
        <f t="shared" si="74"/>
        <v>9.6049999999999969</v>
      </c>
      <c r="N216" s="430">
        <f t="shared" si="74"/>
        <v>9.7199999999999971</v>
      </c>
      <c r="O216" s="430">
        <f t="shared" si="74"/>
        <v>12.348000000000001</v>
      </c>
      <c r="P216" s="430">
        <f t="shared" si="74"/>
        <v>6.5560000000000063</v>
      </c>
      <c r="Q216" s="430">
        <f t="shared" si="74"/>
        <v>0.38499999999999973</v>
      </c>
      <c r="R216" s="430">
        <f t="shared" si="74"/>
        <v>0</v>
      </c>
      <c r="S216" s="430">
        <f>(T215+S215)*(T214-S214)/2</f>
        <v>0</v>
      </c>
      <c r="T216" s="430">
        <f t="shared" si="74"/>
        <v>0</v>
      </c>
      <c r="U216" s="430">
        <f t="shared" si="74"/>
        <v>0</v>
      </c>
      <c r="V216" s="430">
        <f t="shared" si="74"/>
        <v>0</v>
      </c>
      <c r="W216" s="430">
        <f>(X215+W215)*(X214-W214)/2</f>
        <v>0</v>
      </c>
      <c r="X216" s="430">
        <f>(Y215+X215)*(Y214-X214)/2</f>
        <v>0</v>
      </c>
      <c r="Y216" s="424"/>
    </row>
    <row r="217" spans="1:26" ht="13" thickBot="1">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6" ht="13.5" thickBot="1">
      <c r="A218" s="416" t="s">
        <v>380</v>
      </c>
      <c r="B218" s="414">
        <f>ROW(A218)</f>
        <v>218</v>
      </c>
      <c r="C218" s="418" t="s">
        <v>116</v>
      </c>
      <c r="D218" s="408">
        <f>SUM(B221:Y221)</f>
        <v>98.257101163036367</v>
      </c>
      <c r="E218" s="418" t="s">
        <v>115</v>
      </c>
      <c r="F218" s="409">
        <f>D218/g/J218</f>
        <v>177.58890761893778</v>
      </c>
      <c r="G218" s="418" t="s">
        <v>57</v>
      </c>
      <c r="H218" s="86">
        <v>0.14319999999999999</v>
      </c>
      <c r="I218" s="418" t="s">
        <v>274</v>
      </c>
      <c r="J218" s="410">
        <f>H218-L218</f>
        <v>5.6399999999999992E-2</v>
      </c>
      <c r="K218" s="418" t="s">
        <v>275</v>
      </c>
      <c r="L218" s="86">
        <v>8.6800000000000002E-2</v>
      </c>
      <c r="M218" s="418" t="s">
        <v>58</v>
      </c>
      <c r="N218" s="87">
        <v>71</v>
      </c>
      <c r="O218" s="418" t="s">
        <v>60</v>
      </c>
      <c r="P218" s="87">
        <v>71</v>
      </c>
      <c r="Q218" s="418" t="s">
        <v>61</v>
      </c>
      <c r="R218" s="87">
        <v>142</v>
      </c>
      <c r="S218" s="418" t="s">
        <v>62</v>
      </c>
      <c r="T218" s="87">
        <v>29</v>
      </c>
      <c r="U218" s="418" t="s">
        <v>55</v>
      </c>
      <c r="V218" s="88" t="s">
        <v>120</v>
      </c>
      <c r="W218" s="547" t="s">
        <v>398</v>
      </c>
      <c r="X218" s="549">
        <v>1.1499999999999999</v>
      </c>
      <c r="Y218" s="547" t="s">
        <v>397</v>
      </c>
      <c r="Z218" s="413">
        <v>14</v>
      </c>
    </row>
    <row r="219" spans="1:26">
      <c r="A219" s="417" t="s">
        <v>33</v>
      </c>
      <c r="B219" s="441">
        <v>0</v>
      </c>
      <c r="C219" s="442">
        <v>1.4999999999999999E-2</v>
      </c>
      <c r="D219" s="442">
        <v>0.03</v>
      </c>
      <c r="E219" s="442">
        <v>4.4999999999999998E-2</v>
      </c>
      <c r="F219" s="442">
        <v>0.06</v>
      </c>
      <c r="G219" s="442">
        <v>7.4999999999999997E-2</v>
      </c>
      <c r="H219" s="442">
        <v>0.09</v>
      </c>
      <c r="I219" s="442">
        <v>0.105</v>
      </c>
      <c r="J219" s="442">
        <v>0.12</v>
      </c>
      <c r="K219" s="442">
        <v>0.18</v>
      </c>
      <c r="L219" s="442">
        <v>0.24</v>
      </c>
      <c r="M219" s="442">
        <v>0.3</v>
      </c>
      <c r="N219" s="442">
        <v>0.48</v>
      </c>
      <c r="O219" s="442">
        <v>0.6</v>
      </c>
      <c r="P219" s="442">
        <v>0.66</v>
      </c>
      <c r="Q219" s="442">
        <v>0.72</v>
      </c>
      <c r="R219" s="442">
        <v>0.78</v>
      </c>
      <c r="S219" s="442">
        <v>0.84</v>
      </c>
      <c r="T219" s="442">
        <v>0.9</v>
      </c>
      <c r="U219" s="442">
        <v>0.96</v>
      </c>
      <c r="V219" s="442">
        <v>1.0349999999999999</v>
      </c>
      <c r="W219" s="442">
        <v>1.2</v>
      </c>
      <c r="X219" s="442">
        <v>2</v>
      </c>
      <c r="Y219" s="444">
        <v>1000</v>
      </c>
    </row>
    <row r="220" spans="1:26">
      <c r="A220" s="434" t="s">
        <v>34</v>
      </c>
      <c r="B220" s="443">
        <v>0</v>
      </c>
      <c r="C220" s="431">
        <v>99.328788958822486</v>
      </c>
      <c r="D220" s="431">
        <v>109.07039432469</v>
      </c>
      <c r="E220" s="431">
        <v>65.255411286427503</v>
      </c>
      <c r="F220" s="431">
        <v>67.568486533117493</v>
      </c>
      <c r="G220" s="431">
        <v>73.929443461515007</v>
      </c>
      <c r="H220" s="431">
        <v>74.329783408057494</v>
      </c>
      <c r="I220" s="431">
        <v>78.1552540083525</v>
      </c>
      <c r="J220" s="431">
        <v>78.600076171177506</v>
      </c>
      <c r="K220" s="431">
        <v>82.203135690059995</v>
      </c>
      <c r="L220" s="431">
        <v>84.516210936749999</v>
      </c>
      <c r="M220" s="431">
        <v>88.51961040217499</v>
      </c>
      <c r="N220" s="431">
        <v>95.102978411984992</v>
      </c>
      <c r="O220" s="431">
        <v>95.547800574809997</v>
      </c>
      <c r="P220" s="431">
        <v>94.480227384029988</v>
      </c>
      <c r="Q220" s="431">
        <v>92.122669921057494</v>
      </c>
      <c r="R220" s="431">
        <v>90.743721216299988</v>
      </c>
      <c r="S220" s="431">
        <v>88.964432564999996</v>
      </c>
      <c r="T220" s="431">
        <v>85.405855262399996</v>
      </c>
      <c r="U220" s="431">
        <v>83.448637745970004</v>
      </c>
      <c r="V220" s="431">
        <v>88.074788239349999</v>
      </c>
      <c r="W220" s="431">
        <v>0</v>
      </c>
      <c r="X220" s="433">
        <v>0</v>
      </c>
      <c r="Y220" s="439">
        <v>0</v>
      </c>
    </row>
    <row r="221" spans="1:26" ht="13" thickBot="1">
      <c r="A221" s="435" t="s">
        <v>117</v>
      </c>
      <c r="B221" s="429">
        <f t="shared" ref="B221:V221" si="75">(C220+B220)*(C219-B219)/2</f>
        <v>0.74496591719116867</v>
      </c>
      <c r="C221" s="430">
        <f t="shared" si="75"/>
        <v>1.5629938746263436</v>
      </c>
      <c r="D221" s="430">
        <f t="shared" si="75"/>
        <v>1.3074435420833814</v>
      </c>
      <c r="E221" s="430">
        <f t="shared" si="75"/>
        <v>0.99617923364658734</v>
      </c>
      <c r="F221" s="430">
        <f t="shared" si="75"/>
        <v>1.0612344749597438</v>
      </c>
      <c r="G221" s="430">
        <f t="shared" si="75"/>
        <v>1.1119442015217937</v>
      </c>
      <c r="H221" s="430">
        <f t="shared" si="75"/>
        <v>1.1436377806230749</v>
      </c>
      <c r="I221" s="430">
        <f t="shared" si="75"/>
        <v>1.175664976346475</v>
      </c>
      <c r="J221" s="430">
        <f>(K220+J220)*(K219-J219)/2</f>
        <v>4.824096355837125</v>
      </c>
      <c r="K221" s="430">
        <f t="shared" si="75"/>
        <v>5.0015803988042995</v>
      </c>
      <c r="L221" s="430">
        <f t="shared" si="75"/>
        <v>5.1910746401677494</v>
      </c>
      <c r="M221" s="430">
        <f t="shared" si="75"/>
        <v>16.526032993274399</v>
      </c>
      <c r="N221" s="430">
        <f t="shared" si="75"/>
        <v>11.439046739207699</v>
      </c>
      <c r="O221" s="430">
        <f t="shared" si="75"/>
        <v>5.7008408387652043</v>
      </c>
      <c r="P221" s="430">
        <f t="shared" si="75"/>
        <v>5.5980869191526192</v>
      </c>
      <c r="Q221" s="430">
        <f t="shared" si="75"/>
        <v>5.4859917341207289</v>
      </c>
      <c r="R221" s="430">
        <f t="shared" si="75"/>
        <v>5.3912446134389942</v>
      </c>
      <c r="S221" s="430">
        <f>(T220+S220)*(T219-S219)/2</f>
        <v>5.2311086348220037</v>
      </c>
      <c r="T221" s="430">
        <f t="shared" si="75"/>
        <v>5.0656347902510959</v>
      </c>
      <c r="U221" s="430">
        <f t="shared" si="75"/>
        <v>6.4321284744494962</v>
      </c>
      <c r="V221" s="430">
        <f t="shared" si="75"/>
        <v>7.2661700297463767</v>
      </c>
      <c r="W221" s="430">
        <f>(X220+W220)*(X219-W219)/2</f>
        <v>0</v>
      </c>
      <c r="X221" s="430">
        <f>(Y220+X220)*(Y219-X219)/2</f>
        <v>0</v>
      </c>
      <c r="Y221" s="424"/>
    </row>
    <row r="222" spans="1:26" ht="13" thickBot="1">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6" ht="13.5" thickBot="1">
      <c r="A223" s="416" t="s">
        <v>381</v>
      </c>
      <c r="B223" s="414">
        <f>ROW(A223)</f>
        <v>223</v>
      </c>
      <c r="C223" s="418" t="s">
        <v>116</v>
      </c>
      <c r="D223" s="408">
        <f>SUM(B226:Y226)</f>
        <v>109.60639850000001</v>
      </c>
      <c r="E223" s="418" t="s">
        <v>115</v>
      </c>
      <c r="F223" s="409">
        <f>D223/g/J223</f>
        <v>194.31174666489383</v>
      </c>
      <c r="G223" s="418" t="s">
        <v>57</v>
      </c>
      <c r="H223" s="86">
        <v>0.14130000000000001</v>
      </c>
      <c r="I223" s="418" t="s">
        <v>274</v>
      </c>
      <c r="J223" s="410">
        <f>H223-L223</f>
        <v>5.7500000000000009E-2</v>
      </c>
      <c r="K223" s="418" t="s">
        <v>275</v>
      </c>
      <c r="L223" s="86">
        <v>8.3799999999999999E-2</v>
      </c>
      <c r="M223" s="418" t="s">
        <v>58</v>
      </c>
      <c r="N223" s="87">
        <v>71</v>
      </c>
      <c r="O223" s="418" t="s">
        <v>60</v>
      </c>
      <c r="P223" s="87">
        <v>71</v>
      </c>
      <c r="Q223" s="418" t="s">
        <v>61</v>
      </c>
      <c r="R223" s="87">
        <v>142</v>
      </c>
      <c r="S223" s="418" t="s">
        <v>62</v>
      </c>
      <c r="T223" s="87">
        <v>29</v>
      </c>
      <c r="U223" s="418" t="s">
        <v>55</v>
      </c>
      <c r="V223" s="88" t="s">
        <v>405</v>
      </c>
      <c r="W223" s="547" t="s">
        <v>398</v>
      </c>
      <c r="X223" s="549">
        <v>0.45</v>
      </c>
      <c r="Y223" s="547" t="s">
        <v>397</v>
      </c>
      <c r="Z223" s="413">
        <v>14</v>
      </c>
    </row>
    <row r="224" spans="1:26">
      <c r="A224" s="417" t="s">
        <v>33</v>
      </c>
      <c r="B224" s="441">
        <v>0</v>
      </c>
      <c r="C224" s="442">
        <v>6.0000000000000001E-3</v>
      </c>
      <c r="D224" s="442">
        <v>1.0999999999999999E-2</v>
      </c>
      <c r="E224" s="442">
        <v>1.6E-2</v>
      </c>
      <c r="F224" s="442">
        <v>3.1E-2</v>
      </c>
      <c r="G224" s="442">
        <v>7.4999999999999997E-2</v>
      </c>
      <c r="H224" s="442">
        <v>0.122</v>
      </c>
      <c r="I224" s="442">
        <v>0.216</v>
      </c>
      <c r="J224" s="442">
        <v>0.25</v>
      </c>
      <c r="K224" s="442">
        <v>0.28699999999999998</v>
      </c>
      <c r="L224" s="442">
        <v>0.35399999999999998</v>
      </c>
      <c r="M224" s="442">
        <v>0.374</v>
      </c>
      <c r="N224" s="442">
        <v>0.4</v>
      </c>
      <c r="O224" s="442">
        <v>0.41299999999999998</v>
      </c>
      <c r="P224" s="442">
        <v>0.42</v>
      </c>
      <c r="Q224" s="442">
        <v>0.433</v>
      </c>
      <c r="R224" s="442">
        <v>0.44500000000000001</v>
      </c>
      <c r="S224" s="442">
        <v>0.45400000000000001</v>
      </c>
      <c r="T224" s="442">
        <f t="shared" ref="T224:X225" si="76">S224</f>
        <v>0.45400000000000001</v>
      </c>
      <c r="U224" s="442">
        <f t="shared" si="76"/>
        <v>0.45400000000000001</v>
      </c>
      <c r="V224" s="442">
        <f t="shared" si="76"/>
        <v>0.45400000000000001</v>
      </c>
      <c r="W224" s="442">
        <f t="shared" si="76"/>
        <v>0.45400000000000001</v>
      </c>
      <c r="X224" s="442">
        <v>2</v>
      </c>
      <c r="Y224" s="444">
        <v>1000</v>
      </c>
    </row>
    <row r="225" spans="1:26">
      <c r="A225" s="434" t="s">
        <v>34</v>
      </c>
      <c r="B225" s="443">
        <v>0</v>
      </c>
      <c r="C225" s="433">
        <v>151.62100000000001</v>
      </c>
      <c r="D225" s="433">
        <v>198.07900000000001</v>
      </c>
      <c r="E225" s="433">
        <v>203.12100000000001</v>
      </c>
      <c r="F225" s="433">
        <v>201.68100000000001</v>
      </c>
      <c r="G225" s="433">
        <v>226.17</v>
      </c>
      <c r="H225" s="433">
        <v>250.3</v>
      </c>
      <c r="I225" s="433">
        <v>280.19200000000001</v>
      </c>
      <c r="J225" s="433">
        <v>287.03500000000003</v>
      </c>
      <c r="K225" s="433">
        <v>284.87400000000002</v>
      </c>
      <c r="L225" s="433">
        <v>269.74799999999999</v>
      </c>
      <c r="M225" s="433">
        <v>258.58300000000003</v>
      </c>
      <c r="N225" s="433">
        <v>233.37299999999999</v>
      </c>
      <c r="O225" s="433">
        <v>234.09399999999999</v>
      </c>
      <c r="P225" s="433">
        <v>227.61099999999999</v>
      </c>
      <c r="Q225" s="433">
        <v>137.935</v>
      </c>
      <c r="R225" s="433">
        <v>33.853999999999999</v>
      </c>
      <c r="S225" s="433">
        <v>0</v>
      </c>
      <c r="T225" s="433">
        <f t="shared" si="76"/>
        <v>0</v>
      </c>
      <c r="U225" s="433">
        <f t="shared" si="76"/>
        <v>0</v>
      </c>
      <c r="V225" s="433">
        <f t="shared" si="76"/>
        <v>0</v>
      </c>
      <c r="W225" s="433">
        <f t="shared" si="76"/>
        <v>0</v>
      </c>
      <c r="X225" s="433">
        <f t="shared" si="76"/>
        <v>0</v>
      </c>
      <c r="Y225" s="439">
        <v>0</v>
      </c>
    </row>
    <row r="226" spans="1:26" ht="13" thickBot="1">
      <c r="A226" s="435" t="s">
        <v>117</v>
      </c>
      <c r="B226" s="429">
        <f t="shared" ref="B226:X226" si="77">(C225+B225)*(C224-B224)/2</f>
        <v>0.45486300000000002</v>
      </c>
      <c r="C226" s="430">
        <f t="shared" si="77"/>
        <v>0.87424999999999997</v>
      </c>
      <c r="D226" s="430">
        <f t="shared" si="77"/>
        <v>1.0030000000000003</v>
      </c>
      <c r="E226" s="430">
        <f t="shared" si="77"/>
        <v>3.0360149999999999</v>
      </c>
      <c r="F226" s="430">
        <f t="shared" si="77"/>
        <v>9.4127219999999987</v>
      </c>
      <c r="G226" s="430">
        <f t="shared" si="77"/>
        <v>11.197045000000001</v>
      </c>
      <c r="H226" s="430">
        <f t="shared" si="77"/>
        <v>24.933123999999999</v>
      </c>
      <c r="I226" s="430">
        <f t="shared" si="77"/>
        <v>9.6428590000000014</v>
      </c>
      <c r="J226" s="430">
        <f t="shared" si="77"/>
        <v>10.580316499999995</v>
      </c>
      <c r="K226" s="430">
        <f t="shared" si="77"/>
        <v>18.579837000000005</v>
      </c>
      <c r="L226" s="430">
        <f t="shared" si="77"/>
        <v>5.2833100000000046</v>
      </c>
      <c r="M226" s="430">
        <f t="shared" si="77"/>
        <v>6.3954280000000061</v>
      </c>
      <c r="N226" s="430">
        <f t="shared" si="77"/>
        <v>3.0385354999999898</v>
      </c>
      <c r="O226" s="430">
        <f t="shared" si="77"/>
        <v>1.6159675000000013</v>
      </c>
      <c r="P226" s="430">
        <f t="shared" si="77"/>
        <v>2.3760490000000019</v>
      </c>
      <c r="Q226" s="430">
        <f t="shared" si="77"/>
        <v>1.0307340000000009</v>
      </c>
      <c r="R226" s="430">
        <f t="shared" si="77"/>
        <v>0.15234300000000014</v>
      </c>
      <c r="S226" s="430">
        <f t="shared" si="77"/>
        <v>0</v>
      </c>
      <c r="T226" s="430">
        <f t="shared" si="77"/>
        <v>0</v>
      </c>
      <c r="U226" s="430">
        <f t="shared" si="77"/>
        <v>0</v>
      </c>
      <c r="V226" s="430">
        <f t="shared" si="77"/>
        <v>0</v>
      </c>
      <c r="W226" s="430">
        <f t="shared" si="77"/>
        <v>0</v>
      </c>
      <c r="X226" s="430">
        <f t="shared" si="77"/>
        <v>0</v>
      </c>
      <c r="Y226" s="424"/>
    </row>
    <row r="227" spans="1:26" ht="13" thickBot="1">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spans="1:26" ht="13.5" thickBot="1">
      <c r="A228" s="416" t="s">
        <v>382</v>
      </c>
      <c r="B228" s="414">
        <f>ROW(A228)</f>
        <v>228</v>
      </c>
      <c r="C228" s="418" t="s">
        <v>116</v>
      </c>
      <c r="D228" s="408">
        <f>SUM(B231:Y231)</f>
        <v>115.63</v>
      </c>
      <c r="E228" s="418" t="s">
        <v>115</v>
      </c>
      <c r="F228" s="409">
        <f>D228/g/J228</f>
        <v>199.77884897804037</v>
      </c>
      <c r="G228" s="418" t="s">
        <v>57</v>
      </c>
      <c r="H228" s="86">
        <v>0.14499999999999999</v>
      </c>
      <c r="I228" s="418" t="s">
        <v>274</v>
      </c>
      <c r="J228" s="410">
        <f>H228-L228</f>
        <v>5.8999999999999997E-2</v>
      </c>
      <c r="K228" s="418" t="s">
        <v>275</v>
      </c>
      <c r="L228" s="86">
        <v>8.5999999999999993E-2</v>
      </c>
      <c r="M228" s="418" t="s">
        <v>58</v>
      </c>
      <c r="N228" s="87">
        <v>71</v>
      </c>
      <c r="O228" s="418" t="s">
        <v>60</v>
      </c>
      <c r="P228" s="87">
        <v>71</v>
      </c>
      <c r="Q228" s="418" t="s">
        <v>61</v>
      </c>
      <c r="R228" s="87">
        <v>142</v>
      </c>
      <c r="S228" s="418" t="s">
        <v>62</v>
      </c>
      <c r="T228" s="87">
        <v>29</v>
      </c>
      <c r="U228" s="418" t="s">
        <v>55</v>
      </c>
      <c r="V228" s="88" t="s">
        <v>404</v>
      </c>
      <c r="W228" s="547" t="s">
        <v>398</v>
      </c>
      <c r="X228" s="549">
        <v>0.93</v>
      </c>
      <c r="Y228" s="547" t="s">
        <v>397</v>
      </c>
      <c r="Z228" s="413">
        <v>13</v>
      </c>
    </row>
    <row r="229" spans="1:26">
      <c r="A229" s="417" t="s">
        <v>33</v>
      </c>
      <c r="B229" s="441">
        <v>0</v>
      </c>
      <c r="C229" s="442">
        <v>0.01</v>
      </c>
      <c r="D229" s="442">
        <v>0.02</v>
      </c>
      <c r="E229" s="442">
        <v>0.03</v>
      </c>
      <c r="F229" s="442">
        <v>0.04</v>
      </c>
      <c r="G229" s="442">
        <v>0.05</v>
      </c>
      <c r="H229" s="442">
        <v>0.1</v>
      </c>
      <c r="I229" s="442">
        <v>0.2</v>
      </c>
      <c r="J229" s="442">
        <v>0.3</v>
      </c>
      <c r="K229" s="442">
        <v>0.4</v>
      </c>
      <c r="L229" s="442">
        <v>0.6</v>
      </c>
      <c r="M229" s="442">
        <v>0.75</v>
      </c>
      <c r="N229" s="442">
        <v>0.81</v>
      </c>
      <c r="O229" s="442">
        <v>0.86</v>
      </c>
      <c r="P229" s="442">
        <v>0.9</v>
      </c>
      <c r="Q229" s="442">
        <v>0.95</v>
      </c>
      <c r="R229" s="442">
        <v>1</v>
      </c>
      <c r="S229" s="442">
        <v>1</v>
      </c>
      <c r="T229" s="442">
        <v>1</v>
      </c>
      <c r="U229" s="442">
        <v>1</v>
      </c>
      <c r="V229" s="442">
        <v>1</v>
      </c>
      <c r="W229" s="442">
        <v>1</v>
      </c>
      <c r="X229" s="442">
        <v>2</v>
      </c>
      <c r="Y229" s="444">
        <v>1000</v>
      </c>
    </row>
    <row r="230" spans="1:26">
      <c r="A230" s="434" t="s">
        <v>34</v>
      </c>
      <c r="B230" s="443">
        <v>0</v>
      </c>
      <c r="C230" s="431">
        <v>55</v>
      </c>
      <c r="D230" s="431">
        <v>168</v>
      </c>
      <c r="E230" s="431">
        <v>157</v>
      </c>
      <c r="F230" s="431">
        <v>148</v>
      </c>
      <c r="G230" s="431">
        <v>125</v>
      </c>
      <c r="H230" s="431">
        <v>135</v>
      </c>
      <c r="I230" s="431">
        <v>141</v>
      </c>
      <c r="J230" s="431">
        <v>142</v>
      </c>
      <c r="K230" s="431">
        <v>141</v>
      </c>
      <c r="L230" s="431">
        <v>133</v>
      </c>
      <c r="M230" s="431">
        <v>127</v>
      </c>
      <c r="N230" s="431">
        <v>128</v>
      </c>
      <c r="O230" s="431">
        <v>60</v>
      </c>
      <c r="P230" s="431">
        <v>15</v>
      </c>
      <c r="Q230" s="431">
        <v>0</v>
      </c>
      <c r="R230" s="431">
        <v>0</v>
      </c>
      <c r="S230" s="431">
        <v>0</v>
      </c>
      <c r="T230" s="431">
        <v>0</v>
      </c>
      <c r="U230" s="431">
        <v>0</v>
      </c>
      <c r="V230" s="431">
        <v>0</v>
      </c>
      <c r="W230" s="431">
        <v>0</v>
      </c>
      <c r="X230" s="433">
        <v>0</v>
      </c>
      <c r="Y230" s="439">
        <v>0</v>
      </c>
    </row>
    <row r="231" spans="1:26" ht="13" thickBot="1">
      <c r="A231" s="435" t="s">
        <v>117</v>
      </c>
      <c r="B231" s="429">
        <f t="shared" ref="B231:X231" si="78">(C230+B230)*(C229-B229)/2</f>
        <v>0.27500000000000002</v>
      </c>
      <c r="C231" s="430">
        <f t="shared" si="78"/>
        <v>1.115</v>
      </c>
      <c r="D231" s="430">
        <f t="shared" si="78"/>
        <v>1.6249999999999998</v>
      </c>
      <c r="E231" s="430">
        <f t="shared" si="78"/>
        <v>1.5250000000000004</v>
      </c>
      <c r="F231" s="430">
        <f t="shared" si="78"/>
        <v>1.3650000000000002</v>
      </c>
      <c r="G231" s="430">
        <f t="shared" si="78"/>
        <v>6.5</v>
      </c>
      <c r="H231" s="430">
        <f t="shared" si="78"/>
        <v>13.8</v>
      </c>
      <c r="I231" s="430">
        <f t="shared" si="78"/>
        <v>14.149999999999997</v>
      </c>
      <c r="J231" s="430">
        <f t="shared" si="78"/>
        <v>14.150000000000004</v>
      </c>
      <c r="K231" s="430">
        <f t="shared" si="78"/>
        <v>27.399999999999995</v>
      </c>
      <c r="L231" s="430">
        <f t="shared" si="78"/>
        <v>19.500000000000004</v>
      </c>
      <c r="M231" s="430">
        <f t="shared" si="78"/>
        <v>7.6500000000000066</v>
      </c>
      <c r="N231" s="430">
        <f t="shared" si="78"/>
        <v>4.699999999999994</v>
      </c>
      <c r="O231" s="430">
        <f t="shared" si="78"/>
        <v>1.5000000000000013</v>
      </c>
      <c r="P231" s="430">
        <f t="shared" si="78"/>
        <v>0.3749999999999995</v>
      </c>
      <c r="Q231" s="430">
        <f t="shared" si="78"/>
        <v>0</v>
      </c>
      <c r="R231" s="430">
        <f t="shared" si="78"/>
        <v>0</v>
      </c>
      <c r="S231" s="430">
        <f t="shared" si="78"/>
        <v>0</v>
      </c>
      <c r="T231" s="430">
        <f t="shared" si="78"/>
        <v>0</v>
      </c>
      <c r="U231" s="430">
        <f t="shared" si="78"/>
        <v>0</v>
      </c>
      <c r="V231" s="430">
        <f t="shared" si="78"/>
        <v>0</v>
      </c>
      <c r="W231" s="430">
        <f t="shared" si="78"/>
        <v>0</v>
      </c>
      <c r="X231" s="430">
        <f t="shared" si="78"/>
        <v>0</v>
      </c>
      <c r="Y231" s="424"/>
    </row>
    <row r="232" spans="1:26" ht="13.5" thickBot="1">
      <c r="A232" s="492" t="s">
        <v>390</v>
      </c>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spans="1:26" ht="13.5" thickBot="1">
      <c r="A233" s="416" t="s">
        <v>391</v>
      </c>
      <c r="B233" s="414">
        <f>ROW(A233)</f>
        <v>233</v>
      </c>
      <c r="C233" s="418" t="s">
        <v>116</v>
      </c>
      <c r="D233" s="408">
        <f>SUM(B236:Y236)</f>
        <v>115.63</v>
      </c>
      <c r="E233" s="418" t="s">
        <v>115</v>
      </c>
      <c r="F233" s="409">
        <f>D233/g/J233</f>
        <v>125.39310733728064</v>
      </c>
      <c r="G233" s="418" t="s">
        <v>57</v>
      </c>
      <c r="H233" s="86">
        <v>0.2</v>
      </c>
      <c r="I233" s="418" t="s">
        <v>274</v>
      </c>
      <c r="J233" s="410">
        <f>H233-L233</f>
        <v>9.4000000000000014E-2</v>
      </c>
      <c r="K233" s="418" t="s">
        <v>275</v>
      </c>
      <c r="L233" s="86">
        <v>0.106</v>
      </c>
      <c r="M233" s="418" t="s">
        <v>58</v>
      </c>
      <c r="N233" s="87">
        <v>93</v>
      </c>
      <c r="O233" s="418" t="s">
        <v>60</v>
      </c>
      <c r="P233" s="87">
        <v>93</v>
      </c>
      <c r="Q233" s="418" t="s">
        <v>61</v>
      </c>
      <c r="R233" s="87">
        <v>187</v>
      </c>
      <c r="S233" s="418" t="s">
        <v>62</v>
      </c>
      <c r="T233" s="87">
        <v>29</v>
      </c>
      <c r="U233" s="418" t="s">
        <v>55</v>
      </c>
      <c r="V233" s="88" t="s">
        <v>120</v>
      </c>
      <c r="W233" s="547" t="s">
        <v>398</v>
      </c>
      <c r="X233" s="549">
        <v>0.96</v>
      </c>
      <c r="Y233" s="547" t="s">
        <v>397</v>
      </c>
      <c r="Z233" s="413">
        <v>14</v>
      </c>
    </row>
    <row r="234" spans="1:26">
      <c r="A234" s="417" t="s">
        <v>33</v>
      </c>
      <c r="B234" s="441">
        <v>0</v>
      </c>
      <c r="C234" s="442">
        <v>0.01</v>
      </c>
      <c r="D234" s="442">
        <v>0.02</v>
      </c>
      <c r="E234" s="442">
        <v>0.03</v>
      </c>
      <c r="F234" s="442">
        <v>0.04</v>
      </c>
      <c r="G234" s="442">
        <v>0.05</v>
      </c>
      <c r="H234" s="442">
        <v>0.1</v>
      </c>
      <c r="I234" s="442">
        <v>0.2</v>
      </c>
      <c r="J234" s="442">
        <v>0.3</v>
      </c>
      <c r="K234" s="442">
        <v>0.4</v>
      </c>
      <c r="L234" s="442">
        <v>0.6</v>
      </c>
      <c r="M234" s="442">
        <v>0.75</v>
      </c>
      <c r="N234" s="442">
        <v>0.81</v>
      </c>
      <c r="O234" s="442">
        <v>0.86</v>
      </c>
      <c r="P234" s="442">
        <v>0.9</v>
      </c>
      <c r="Q234" s="442">
        <v>0.95</v>
      </c>
      <c r="R234" s="442">
        <v>1</v>
      </c>
      <c r="S234" s="442">
        <f t="shared" ref="S234:X235" si="79">R234</f>
        <v>1</v>
      </c>
      <c r="T234" s="442">
        <f t="shared" si="79"/>
        <v>1</v>
      </c>
      <c r="U234" s="442">
        <f t="shared" si="79"/>
        <v>1</v>
      </c>
      <c r="V234" s="442">
        <f t="shared" si="79"/>
        <v>1</v>
      </c>
      <c r="W234" s="442">
        <f t="shared" si="79"/>
        <v>1</v>
      </c>
      <c r="X234" s="442">
        <v>2</v>
      </c>
      <c r="Y234" s="444">
        <v>1000</v>
      </c>
    </row>
    <row r="235" spans="1:26">
      <c r="A235" s="434" t="s">
        <v>34</v>
      </c>
      <c r="B235" s="443">
        <v>0</v>
      </c>
      <c r="C235" s="433">
        <v>55</v>
      </c>
      <c r="D235" s="433">
        <v>168</v>
      </c>
      <c r="E235" s="433">
        <v>157</v>
      </c>
      <c r="F235" s="433">
        <v>148</v>
      </c>
      <c r="G235" s="433">
        <v>125</v>
      </c>
      <c r="H235" s="433">
        <v>135</v>
      </c>
      <c r="I235" s="433">
        <v>141</v>
      </c>
      <c r="J235" s="433">
        <v>142</v>
      </c>
      <c r="K235" s="433">
        <v>141</v>
      </c>
      <c r="L235" s="433">
        <v>133</v>
      </c>
      <c r="M235" s="433">
        <v>127</v>
      </c>
      <c r="N235" s="433">
        <v>128</v>
      </c>
      <c r="O235" s="433">
        <v>60</v>
      </c>
      <c r="P235" s="433">
        <v>15</v>
      </c>
      <c r="Q235" s="433">
        <v>0</v>
      </c>
      <c r="R235" s="433">
        <v>0</v>
      </c>
      <c r="S235" s="433">
        <f t="shared" si="79"/>
        <v>0</v>
      </c>
      <c r="T235" s="433">
        <f t="shared" si="79"/>
        <v>0</v>
      </c>
      <c r="U235" s="433">
        <f t="shared" si="79"/>
        <v>0</v>
      </c>
      <c r="V235" s="433">
        <f t="shared" si="79"/>
        <v>0</v>
      </c>
      <c r="W235" s="433">
        <f t="shared" si="79"/>
        <v>0</v>
      </c>
      <c r="X235" s="433">
        <f t="shared" si="79"/>
        <v>0</v>
      </c>
      <c r="Y235" s="439">
        <v>0</v>
      </c>
    </row>
    <row r="236" spans="1:26" ht="13" thickBot="1">
      <c r="A236" s="435" t="s">
        <v>117</v>
      </c>
      <c r="B236" s="429">
        <f t="shared" ref="B236:X236" si="80">(C235+B235)*(C234-B234)/2</f>
        <v>0.27500000000000002</v>
      </c>
      <c r="C236" s="430">
        <f t="shared" si="80"/>
        <v>1.115</v>
      </c>
      <c r="D236" s="430">
        <f t="shared" si="80"/>
        <v>1.6249999999999998</v>
      </c>
      <c r="E236" s="430">
        <f t="shared" si="80"/>
        <v>1.5250000000000004</v>
      </c>
      <c r="F236" s="430">
        <f t="shared" si="80"/>
        <v>1.3650000000000002</v>
      </c>
      <c r="G236" s="430">
        <f t="shared" si="80"/>
        <v>6.5</v>
      </c>
      <c r="H236" s="430">
        <f t="shared" si="80"/>
        <v>13.8</v>
      </c>
      <c r="I236" s="430">
        <f t="shared" si="80"/>
        <v>14.149999999999997</v>
      </c>
      <c r="J236" s="430">
        <f t="shared" si="80"/>
        <v>14.150000000000004</v>
      </c>
      <c r="K236" s="430">
        <f t="shared" si="80"/>
        <v>27.399999999999995</v>
      </c>
      <c r="L236" s="430">
        <f t="shared" si="80"/>
        <v>19.500000000000004</v>
      </c>
      <c r="M236" s="430">
        <f t="shared" si="80"/>
        <v>7.6500000000000066</v>
      </c>
      <c r="N236" s="430">
        <f t="shared" si="80"/>
        <v>4.699999999999994</v>
      </c>
      <c r="O236" s="430">
        <f t="shared" si="80"/>
        <v>1.5000000000000013</v>
      </c>
      <c r="P236" s="430">
        <f t="shared" si="80"/>
        <v>0.3749999999999995</v>
      </c>
      <c r="Q236" s="430">
        <f t="shared" si="80"/>
        <v>0</v>
      </c>
      <c r="R236" s="430">
        <f t="shared" si="80"/>
        <v>0</v>
      </c>
      <c r="S236" s="430">
        <f t="shared" si="80"/>
        <v>0</v>
      </c>
      <c r="T236" s="430">
        <f t="shared" si="80"/>
        <v>0</v>
      </c>
      <c r="U236" s="430">
        <f t="shared" si="80"/>
        <v>0</v>
      </c>
      <c r="V236" s="430">
        <f t="shared" si="80"/>
        <v>0</v>
      </c>
      <c r="W236" s="430">
        <f t="shared" si="80"/>
        <v>0</v>
      </c>
      <c r="X236" s="430">
        <f t="shared" si="80"/>
        <v>0</v>
      </c>
      <c r="Y236" s="424"/>
    </row>
    <row r="237" spans="1:26" ht="13" thickBot="1">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spans="1:26" ht="13.5" thickBot="1">
      <c r="A238" s="416" t="s">
        <v>396</v>
      </c>
      <c r="B238" s="414">
        <f>ROW(A238)</f>
        <v>238</v>
      </c>
      <c r="C238" s="418" t="s">
        <v>116</v>
      </c>
      <c r="D238" s="408">
        <f>SUM(B241:Y241)</f>
        <v>158.04815100000002</v>
      </c>
      <c r="E238" s="418" t="s">
        <v>115</v>
      </c>
      <c r="F238" s="409">
        <v>198</v>
      </c>
      <c r="G238" s="418" t="s">
        <v>57</v>
      </c>
      <c r="H238" s="86">
        <v>0.19450000000000001</v>
      </c>
      <c r="I238" s="418" t="s">
        <v>274</v>
      </c>
      <c r="J238" s="410">
        <f>H238-L238</f>
        <v>8.9600000000000013E-2</v>
      </c>
      <c r="K238" s="418" t="s">
        <v>275</v>
      </c>
      <c r="L238" s="86">
        <v>0.10489999999999999</v>
      </c>
      <c r="M238" s="418" t="s">
        <v>58</v>
      </c>
      <c r="N238" s="87">
        <v>93</v>
      </c>
      <c r="O238" s="418" t="s">
        <v>60</v>
      </c>
      <c r="P238" s="87">
        <v>93</v>
      </c>
      <c r="Q238" s="418" t="s">
        <v>61</v>
      </c>
      <c r="R238" s="87">
        <v>187</v>
      </c>
      <c r="S238" s="418" t="s">
        <v>62</v>
      </c>
      <c r="T238" s="87">
        <v>29</v>
      </c>
      <c r="U238" s="418" t="s">
        <v>55</v>
      </c>
      <c r="V238" s="88" t="s">
        <v>120</v>
      </c>
      <c r="W238" s="547" t="s">
        <v>398</v>
      </c>
      <c r="X238" s="549">
        <v>1.27</v>
      </c>
      <c r="Y238" s="547" t="s">
        <v>397</v>
      </c>
      <c r="Z238" s="413">
        <v>14</v>
      </c>
    </row>
    <row r="239" spans="1:26">
      <c r="A239" s="417" t="s">
        <v>33</v>
      </c>
      <c r="B239" s="557">
        <v>0</v>
      </c>
      <c r="C239" s="557">
        <v>4.0000000000000001E-3</v>
      </c>
      <c r="D239" s="557">
        <v>2.1999999999999999E-2</v>
      </c>
      <c r="E239" s="557">
        <v>3.9E-2</v>
      </c>
      <c r="F239" s="557">
        <v>0.122</v>
      </c>
      <c r="G239" s="557">
        <v>0.23599999999999999</v>
      </c>
      <c r="H239" s="557">
        <v>0.58899999999999997</v>
      </c>
      <c r="I239" s="557">
        <v>0.80100000000000005</v>
      </c>
      <c r="J239" s="557">
        <v>1.0680000000000001</v>
      </c>
      <c r="K239" s="557">
        <v>1.1180000000000001</v>
      </c>
      <c r="L239" s="557">
        <v>1.145</v>
      </c>
      <c r="M239" s="557">
        <v>1.1739999999999999</v>
      </c>
      <c r="N239" s="557">
        <v>1.2110000000000001</v>
      </c>
      <c r="O239" s="557">
        <v>1.2470000000000001</v>
      </c>
      <c r="P239" s="557">
        <v>1.2989999999999999</v>
      </c>
      <c r="Q239" s="442">
        <v>2</v>
      </c>
      <c r="R239" s="442">
        <v>2</v>
      </c>
      <c r="S239" s="442">
        <f t="shared" ref="S239:X240" si="81">R239</f>
        <v>2</v>
      </c>
      <c r="T239" s="442">
        <f t="shared" si="81"/>
        <v>2</v>
      </c>
      <c r="U239" s="442">
        <f t="shared" si="81"/>
        <v>2</v>
      </c>
      <c r="V239" s="442">
        <f t="shared" si="81"/>
        <v>2</v>
      </c>
      <c r="W239" s="442">
        <f t="shared" si="81"/>
        <v>2</v>
      </c>
      <c r="X239" s="442">
        <f t="shared" si="81"/>
        <v>2</v>
      </c>
      <c r="Y239" s="444">
        <v>1000</v>
      </c>
    </row>
    <row r="240" spans="1:26">
      <c r="A240" s="434" t="s">
        <v>34</v>
      </c>
      <c r="B240" s="557">
        <v>0</v>
      </c>
      <c r="C240" s="557">
        <v>15.683</v>
      </c>
      <c r="D240" s="557">
        <v>170.834</v>
      </c>
      <c r="E240" s="557">
        <v>116.877</v>
      </c>
      <c r="F240" s="557">
        <v>142.642</v>
      </c>
      <c r="G240" s="557">
        <v>149.73699999999999</v>
      </c>
      <c r="H240" s="557">
        <v>142.642</v>
      </c>
      <c r="I240" s="557">
        <v>131.25299999999999</v>
      </c>
      <c r="J240" s="557">
        <v>122.104</v>
      </c>
      <c r="K240" s="557">
        <v>107.91500000000001</v>
      </c>
      <c r="L240" s="557">
        <v>78.415999999999997</v>
      </c>
      <c r="M240" s="557">
        <v>43.128999999999998</v>
      </c>
      <c r="N240" s="557">
        <v>21.471</v>
      </c>
      <c r="O240" s="557">
        <v>8.7750000000000004</v>
      </c>
      <c r="P240" s="557">
        <v>0</v>
      </c>
      <c r="Q240" s="433">
        <v>0</v>
      </c>
      <c r="R240" s="433">
        <v>0</v>
      </c>
      <c r="S240" s="433">
        <f t="shared" si="81"/>
        <v>0</v>
      </c>
      <c r="T240" s="433">
        <f t="shared" si="81"/>
        <v>0</v>
      </c>
      <c r="U240" s="433">
        <f t="shared" si="81"/>
        <v>0</v>
      </c>
      <c r="V240" s="433">
        <f t="shared" si="81"/>
        <v>0</v>
      </c>
      <c r="W240" s="433">
        <f t="shared" si="81"/>
        <v>0</v>
      </c>
      <c r="X240" s="433">
        <f t="shared" si="81"/>
        <v>0</v>
      </c>
      <c r="Y240" s="439">
        <v>0</v>
      </c>
    </row>
    <row r="241" spans="1:26" ht="13" thickBot="1">
      <c r="A241" s="435" t="s">
        <v>117</v>
      </c>
      <c r="B241" s="429">
        <f t="shared" ref="B241:X241" si="82">(C240+B240)*(C239-B239)/2</f>
        <v>3.1365999999999998E-2</v>
      </c>
      <c r="C241" s="430">
        <f t="shared" si="82"/>
        <v>1.6786529999999997</v>
      </c>
      <c r="D241" s="430">
        <f t="shared" si="82"/>
        <v>2.4455435000000003</v>
      </c>
      <c r="E241" s="430">
        <f t="shared" si="82"/>
        <v>10.770038499999998</v>
      </c>
      <c r="F241" s="430">
        <f t="shared" si="82"/>
        <v>16.665603000000001</v>
      </c>
      <c r="G241" s="430">
        <f t="shared" si="82"/>
        <v>51.604893500000003</v>
      </c>
      <c r="H241" s="430">
        <f t="shared" si="82"/>
        <v>29.03287000000001</v>
      </c>
      <c r="I241" s="430">
        <f t="shared" si="82"/>
        <v>33.823159499999996</v>
      </c>
      <c r="J241" s="430">
        <f t="shared" si="82"/>
        <v>5.7504750000000051</v>
      </c>
      <c r="K241" s="430">
        <f t="shared" si="82"/>
        <v>2.5154684999999923</v>
      </c>
      <c r="L241" s="430">
        <f t="shared" si="82"/>
        <v>1.7624024999999945</v>
      </c>
      <c r="M241" s="430">
        <f t="shared" si="82"/>
        <v>1.1951000000000045</v>
      </c>
      <c r="N241" s="430">
        <f t="shared" si="82"/>
        <v>0.54442800000000058</v>
      </c>
      <c r="O241" s="430">
        <f t="shared" si="82"/>
        <v>0.22814999999999924</v>
      </c>
      <c r="P241" s="430">
        <f t="shared" si="82"/>
        <v>0</v>
      </c>
      <c r="Q241" s="430">
        <f t="shared" si="82"/>
        <v>0</v>
      </c>
      <c r="R241" s="430">
        <f t="shared" si="82"/>
        <v>0</v>
      </c>
      <c r="S241" s="430">
        <f t="shared" si="82"/>
        <v>0</v>
      </c>
      <c r="T241" s="430">
        <f t="shared" si="82"/>
        <v>0</v>
      </c>
      <c r="U241" s="430">
        <f t="shared" si="82"/>
        <v>0</v>
      </c>
      <c r="V241" s="430">
        <f t="shared" si="82"/>
        <v>0</v>
      </c>
      <c r="W241" s="430">
        <f t="shared" si="82"/>
        <v>0</v>
      </c>
      <c r="X241" s="430">
        <f t="shared" si="82"/>
        <v>0</v>
      </c>
      <c r="Y241" s="424"/>
    </row>
    <row r="242" spans="1:26" ht="13.5" thickBot="1">
      <c r="A242" s="492" t="s">
        <v>378</v>
      </c>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spans="1:26" ht="13.5" thickBot="1">
      <c r="A243" s="416" t="s">
        <v>383</v>
      </c>
      <c r="B243" s="414">
        <f>ROW(A243)</f>
        <v>243</v>
      </c>
      <c r="C243" s="418" t="s">
        <v>116</v>
      </c>
      <c r="D243" s="408">
        <f>SUM(B246:Y246)</f>
        <v>136.75235000000001</v>
      </c>
      <c r="E243" s="418" t="s">
        <v>115</v>
      </c>
      <c r="F243" s="409">
        <f>D243/g/J243</f>
        <v>152.35078513616639</v>
      </c>
      <c r="G243" s="418" t="s">
        <v>57</v>
      </c>
      <c r="H243" s="86">
        <v>0.21249999999999999</v>
      </c>
      <c r="I243" s="418" t="s">
        <v>274</v>
      </c>
      <c r="J243" s="410">
        <f>H243-L243</f>
        <v>9.1499999999999998E-2</v>
      </c>
      <c r="K243" s="418" t="s">
        <v>275</v>
      </c>
      <c r="L243" s="86">
        <v>0.121</v>
      </c>
      <c r="M243" s="418" t="s">
        <v>58</v>
      </c>
      <c r="N243" s="87">
        <v>63</v>
      </c>
      <c r="O243" s="418" t="s">
        <v>60</v>
      </c>
      <c r="P243" s="87">
        <v>114</v>
      </c>
      <c r="Q243" s="418" t="s">
        <v>61</v>
      </c>
      <c r="R243" s="87">
        <v>127</v>
      </c>
      <c r="S243" s="418" t="s">
        <v>62</v>
      </c>
      <c r="T243" s="87">
        <v>38</v>
      </c>
      <c r="U243" s="418" t="s">
        <v>55</v>
      </c>
      <c r="V243" s="88" t="s">
        <v>120</v>
      </c>
      <c r="W243" s="547" t="s">
        <v>398</v>
      </c>
      <c r="X243" s="549">
        <v>2.36</v>
      </c>
      <c r="Y243" s="547" t="s">
        <v>397</v>
      </c>
      <c r="Z243" s="413">
        <v>13</v>
      </c>
    </row>
    <row r="244" spans="1:26">
      <c r="A244" s="417" t="s">
        <v>33</v>
      </c>
      <c r="B244" s="441">
        <v>0</v>
      </c>
      <c r="C244" s="426">
        <v>2.9000000000000001E-2</v>
      </c>
      <c r="D244" s="426">
        <v>4.5999999999999999E-2</v>
      </c>
      <c r="E244" s="426">
        <v>5.8000000000000003E-2</v>
      </c>
      <c r="F244" s="426">
        <v>8.4000000000000005E-2</v>
      </c>
      <c r="G244" s="426">
        <v>0.17100000000000001</v>
      </c>
      <c r="H244" s="426">
        <v>0.28000000000000003</v>
      </c>
      <c r="I244" s="426">
        <v>0.45500000000000002</v>
      </c>
      <c r="J244" s="426">
        <v>0.58599999999999997</v>
      </c>
      <c r="K244" s="426">
        <v>0.74099999999999999</v>
      </c>
      <c r="L244" s="426">
        <v>0.95199999999999996</v>
      </c>
      <c r="M244" s="426">
        <v>1.2170000000000001</v>
      </c>
      <c r="N244" s="426">
        <v>1.43</v>
      </c>
      <c r="O244" s="426">
        <v>1.6259999999999999</v>
      </c>
      <c r="P244" s="426">
        <v>1.8069999999999999</v>
      </c>
      <c r="Q244" s="426">
        <v>1.9590000000000001</v>
      </c>
      <c r="R244" s="426">
        <v>2.1040000000000001</v>
      </c>
      <c r="S244" s="426">
        <v>2.1680000000000001</v>
      </c>
      <c r="T244" s="426">
        <v>2.21</v>
      </c>
      <c r="U244" s="426">
        <v>2.2469999999999999</v>
      </c>
      <c r="V244" s="426">
        <v>2.3290000000000002</v>
      </c>
      <c r="W244" s="442">
        <f>2.4</f>
        <v>2.4</v>
      </c>
      <c r="X244" s="442">
        <f>W244</f>
        <v>2.4</v>
      </c>
      <c r="Y244" s="444">
        <v>1000</v>
      </c>
    </row>
    <row r="245" spans="1:26">
      <c r="A245" s="434" t="s">
        <v>34</v>
      </c>
      <c r="B245" s="443">
        <v>0</v>
      </c>
      <c r="C245" s="428">
        <v>90.25</v>
      </c>
      <c r="D245" s="428">
        <v>69.17</v>
      </c>
      <c r="E245" s="428">
        <v>59.947000000000003</v>
      </c>
      <c r="F245" s="428">
        <v>47.167000000000002</v>
      </c>
      <c r="G245" s="428">
        <v>57.970999999999997</v>
      </c>
      <c r="H245" s="428">
        <v>59.552</v>
      </c>
      <c r="I245" s="428">
        <v>61.265000000000001</v>
      </c>
      <c r="J245" s="428">
        <v>61.66</v>
      </c>
      <c r="K245" s="428">
        <v>62.319000000000003</v>
      </c>
      <c r="L245" s="428">
        <v>63.768000000000001</v>
      </c>
      <c r="M245" s="428">
        <v>64.69</v>
      </c>
      <c r="N245" s="428">
        <v>63.768000000000001</v>
      </c>
      <c r="O245" s="428">
        <v>61.265000000000001</v>
      </c>
      <c r="P245" s="428">
        <v>58.103000000000002</v>
      </c>
      <c r="Q245" s="428">
        <v>53.887</v>
      </c>
      <c r="R245" s="428">
        <v>48.353000000000002</v>
      </c>
      <c r="S245" s="428">
        <v>47.563000000000002</v>
      </c>
      <c r="T245" s="428">
        <v>44.005000000000003</v>
      </c>
      <c r="U245" s="428">
        <v>37.286000000000001</v>
      </c>
      <c r="V245" s="428">
        <v>22.265999999999998</v>
      </c>
      <c r="W245" s="433">
        <v>0</v>
      </c>
      <c r="X245" s="433">
        <f>W245</f>
        <v>0</v>
      </c>
      <c r="Y245" s="439">
        <v>0</v>
      </c>
    </row>
    <row r="246" spans="1:26" ht="13" thickBot="1">
      <c r="A246" s="435" t="s">
        <v>117</v>
      </c>
      <c r="B246" s="429">
        <f t="shared" ref="B246:X246" si="83">(C245+B245)*(C244-B244)/2</f>
        <v>1.3086250000000001</v>
      </c>
      <c r="C246" s="430">
        <f t="shared" si="83"/>
        <v>1.35507</v>
      </c>
      <c r="D246" s="430">
        <f t="shared" si="83"/>
        <v>0.77470200000000033</v>
      </c>
      <c r="E246" s="430">
        <f t="shared" si="83"/>
        <v>1.3924820000000002</v>
      </c>
      <c r="F246" s="430">
        <f t="shared" si="83"/>
        <v>4.5735030000000005</v>
      </c>
      <c r="G246" s="430">
        <f t="shared" si="83"/>
        <v>6.4050035000000003</v>
      </c>
      <c r="H246" s="430">
        <f t="shared" si="83"/>
        <v>10.5714875</v>
      </c>
      <c r="I246" s="430">
        <f t="shared" si="83"/>
        <v>8.0515874999999966</v>
      </c>
      <c r="J246" s="430">
        <f t="shared" si="83"/>
        <v>9.6083725000000015</v>
      </c>
      <c r="K246" s="430">
        <f t="shared" si="83"/>
        <v>13.302178499999998</v>
      </c>
      <c r="L246" s="430">
        <f t="shared" si="83"/>
        <v>17.020685000000007</v>
      </c>
      <c r="M246" s="430">
        <f t="shared" si="83"/>
        <v>13.68077699999999</v>
      </c>
      <c r="N246" s="430">
        <f t="shared" si="83"/>
        <v>12.253233999999997</v>
      </c>
      <c r="O246" s="430">
        <f t="shared" si="83"/>
        <v>10.802804000000002</v>
      </c>
      <c r="P246" s="430">
        <f t="shared" si="83"/>
        <v>8.5112400000000079</v>
      </c>
      <c r="Q246" s="430">
        <f t="shared" si="83"/>
        <v>7.4124000000000017</v>
      </c>
      <c r="R246" s="430">
        <f t="shared" si="83"/>
        <v>3.0693120000000027</v>
      </c>
      <c r="S246" s="430">
        <f t="shared" si="83"/>
        <v>1.9229279999999918</v>
      </c>
      <c r="T246" s="430">
        <f t="shared" si="83"/>
        <v>1.5038834999999968</v>
      </c>
      <c r="U246" s="430">
        <f t="shared" si="83"/>
        <v>2.4416320000000087</v>
      </c>
      <c r="V246" s="430">
        <f t="shared" si="83"/>
        <v>0.7904429999999969</v>
      </c>
      <c r="W246" s="430">
        <f t="shared" si="83"/>
        <v>0</v>
      </c>
      <c r="X246" s="430">
        <f t="shared" si="83"/>
        <v>0</v>
      </c>
      <c r="Y246" s="424"/>
    </row>
    <row r="247" spans="1:26" ht="13" thickBot="1">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spans="1:26" ht="13.5" thickBot="1">
      <c r="A248" s="416" t="s">
        <v>384</v>
      </c>
      <c r="B248" s="414">
        <f>ROW(A248)</f>
        <v>248</v>
      </c>
      <c r="C248" s="418" t="s">
        <v>116</v>
      </c>
      <c r="D248" s="408">
        <f>SUM(B251:Y251)</f>
        <v>127.06944999999999</v>
      </c>
      <c r="E248" s="418" t="s">
        <v>115</v>
      </c>
      <c r="F248" s="409">
        <f>D248/g/J248</f>
        <v>180.65624835614466</v>
      </c>
      <c r="G248" s="418" t="s">
        <v>57</v>
      </c>
      <c r="H248" s="86">
        <v>0.18840000000000001</v>
      </c>
      <c r="I248" s="418" t="s">
        <v>274</v>
      </c>
      <c r="J248" s="410">
        <f>H248-L248</f>
        <v>7.1700000000000014E-2</v>
      </c>
      <c r="K248" s="418" t="s">
        <v>275</v>
      </c>
      <c r="L248" s="86">
        <v>0.1167</v>
      </c>
      <c r="M248" s="418" t="s">
        <v>58</v>
      </c>
      <c r="N248" s="87">
        <v>63</v>
      </c>
      <c r="O248" s="418" t="s">
        <v>60</v>
      </c>
      <c r="P248" s="87">
        <v>114</v>
      </c>
      <c r="Q248" s="418" t="s">
        <v>61</v>
      </c>
      <c r="R248" s="87">
        <v>127</v>
      </c>
      <c r="S248" s="418" t="s">
        <v>62</v>
      </c>
      <c r="T248" s="87">
        <v>38</v>
      </c>
      <c r="U248" s="418" t="s">
        <v>55</v>
      </c>
      <c r="V248" s="88" t="s">
        <v>120</v>
      </c>
      <c r="W248" s="547" t="s">
        <v>398</v>
      </c>
      <c r="X248" s="549">
        <v>0.69</v>
      </c>
      <c r="Y248" s="547" t="s">
        <v>397</v>
      </c>
      <c r="Z248" s="413">
        <v>12</v>
      </c>
    </row>
    <row r="249" spans="1:26">
      <c r="A249" s="417" t="s">
        <v>33</v>
      </c>
      <c r="B249" s="441">
        <v>0</v>
      </c>
      <c r="C249" s="442">
        <v>0.01</v>
      </c>
      <c r="D249" s="442">
        <v>0.02</v>
      </c>
      <c r="E249" s="442">
        <v>0.05</v>
      </c>
      <c r="F249" s="442">
        <v>0.1</v>
      </c>
      <c r="G249" s="442">
        <v>0.2</v>
      </c>
      <c r="H249" s="442">
        <v>0.3</v>
      </c>
      <c r="I249" s="442">
        <v>0.35</v>
      </c>
      <c r="J249" s="442">
        <v>0.4</v>
      </c>
      <c r="K249" s="442">
        <v>0.45</v>
      </c>
      <c r="L249" s="442">
        <v>0.5</v>
      </c>
      <c r="M249" s="442">
        <v>0.55000000000000004</v>
      </c>
      <c r="N249" s="442">
        <v>0.6</v>
      </c>
      <c r="O249" s="442">
        <v>0.61</v>
      </c>
      <c r="P249" s="442">
        <v>0.63</v>
      </c>
      <c r="Q249" s="442">
        <v>0.64</v>
      </c>
      <c r="R249" s="442">
        <v>0.65</v>
      </c>
      <c r="S249" s="442">
        <v>0.67</v>
      </c>
      <c r="T249" s="442">
        <v>0.68</v>
      </c>
      <c r="U249" s="442">
        <v>0.69</v>
      </c>
      <c r="V249" s="442">
        <f t="shared" ref="V249:X250" si="84">U249</f>
        <v>0.69</v>
      </c>
      <c r="W249" s="442">
        <f t="shared" si="84"/>
        <v>0.69</v>
      </c>
      <c r="X249" s="442">
        <v>2</v>
      </c>
      <c r="Y249" s="444">
        <v>1000</v>
      </c>
    </row>
    <row r="250" spans="1:26">
      <c r="A250" s="434" t="s">
        <v>34</v>
      </c>
      <c r="B250" s="443">
        <v>0</v>
      </c>
      <c r="C250" s="433">
        <v>108.72</v>
      </c>
      <c r="D250" s="433">
        <v>131.19</v>
      </c>
      <c r="E250" s="433">
        <v>153.13999999999999</v>
      </c>
      <c r="F250" s="433">
        <v>168.97</v>
      </c>
      <c r="G250" s="433">
        <v>189.92</v>
      </c>
      <c r="H250" s="433">
        <v>199.95</v>
      </c>
      <c r="I250" s="433">
        <v>203.59</v>
      </c>
      <c r="J250" s="433">
        <v>205.03</v>
      </c>
      <c r="K250" s="433">
        <v>202.6</v>
      </c>
      <c r="L250" s="433">
        <v>203.06</v>
      </c>
      <c r="M250" s="433">
        <v>199.34</v>
      </c>
      <c r="N250" s="433">
        <v>194.71</v>
      </c>
      <c r="O250" s="433">
        <v>194.1</v>
      </c>
      <c r="P250" s="433">
        <v>193.49</v>
      </c>
      <c r="Q250" s="433">
        <v>193.68</v>
      </c>
      <c r="R250" s="433">
        <v>202.91</v>
      </c>
      <c r="S250" s="433">
        <v>163.38999999999999</v>
      </c>
      <c r="T250" s="433">
        <v>80.44</v>
      </c>
      <c r="U250" s="433">
        <v>0</v>
      </c>
      <c r="V250" s="433">
        <f t="shared" si="84"/>
        <v>0</v>
      </c>
      <c r="W250" s="433">
        <f t="shared" si="84"/>
        <v>0</v>
      </c>
      <c r="X250" s="433">
        <f t="shared" si="84"/>
        <v>0</v>
      </c>
      <c r="Y250" s="439">
        <v>0</v>
      </c>
    </row>
    <row r="251" spans="1:26" ht="13" thickBot="1">
      <c r="A251" s="435" t="s">
        <v>117</v>
      </c>
      <c r="B251" s="429">
        <f t="shared" ref="B251:X251" si="85">(C250+B250)*(C249-B249)/2</f>
        <v>0.54359999999999997</v>
      </c>
      <c r="C251" s="430">
        <f t="shared" si="85"/>
        <v>1.1995500000000001</v>
      </c>
      <c r="D251" s="430">
        <f t="shared" si="85"/>
        <v>4.2649499999999998</v>
      </c>
      <c r="E251" s="430">
        <f t="shared" si="85"/>
        <v>8.0527500000000014</v>
      </c>
      <c r="F251" s="430">
        <f t="shared" si="85"/>
        <v>17.944500000000001</v>
      </c>
      <c r="G251" s="430">
        <f t="shared" si="85"/>
        <v>19.493499999999997</v>
      </c>
      <c r="H251" s="430">
        <f t="shared" si="85"/>
        <v>10.088499999999996</v>
      </c>
      <c r="I251" s="430">
        <f t="shared" si="85"/>
        <v>10.215500000000009</v>
      </c>
      <c r="J251" s="430">
        <f t="shared" si="85"/>
        <v>10.190749999999998</v>
      </c>
      <c r="K251" s="430">
        <f t="shared" si="85"/>
        <v>10.141499999999997</v>
      </c>
      <c r="L251" s="430">
        <f t="shared" si="85"/>
        <v>10.060000000000008</v>
      </c>
      <c r="M251" s="430">
        <f t="shared" si="85"/>
        <v>9.8512499999999878</v>
      </c>
      <c r="N251" s="430">
        <f t="shared" si="85"/>
        <v>1.9440500000000018</v>
      </c>
      <c r="O251" s="430">
        <f t="shared" si="85"/>
        <v>3.8759000000000037</v>
      </c>
      <c r="P251" s="430">
        <f t="shared" si="85"/>
        <v>1.9358500000000018</v>
      </c>
      <c r="Q251" s="430">
        <f t="shared" si="85"/>
        <v>1.982950000000002</v>
      </c>
      <c r="R251" s="430">
        <f t="shared" si="85"/>
        <v>3.6630000000000029</v>
      </c>
      <c r="S251" s="430">
        <f t="shared" si="85"/>
        <v>1.2191500000000011</v>
      </c>
      <c r="T251" s="430">
        <f t="shared" si="85"/>
        <v>0.40219999999999589</v>
      </c>
      <c r="U251" s="430">
        <f t="shared" si="85"/>
        <v>0</v>
      </c>
      <c r="V251" s="430">
        <f t="shared" si="85"/>
        <v>0</v>
      </c>
      <c r="W251" s="430">
        <f t="shared" si="85"/>
        <v>0</v>
      </c>
      <c r="X251" s="430">
        <f t="shared" si="85"/>
        <v>0</v>
      </c>
      <c r="Y251" s="424"/>
    </row>
    <row r="252" spans="1:26" ht="13" thickBot="1">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spans="1:26" ht="13.5" thickBot="1">
      <c r="A253" s="416" t="s">
        <v>392</v>
      </c>
      <c r="B253" s="414">
        <f>ROW(A253)</f>
        <v>253</v>
      </c>
      <c r="C253" s="418" t="s">
        <v>116</v>
      </c>
      <c r="D253" s="408">
        <f>SUM(B256:Y256)</f>
        <v>142.7236025</v>
      </c>
      <c r="E253" s="418" t="s">
        <v>115</v>
      </c>
      <c r="F253" s="409">
        <v>208</v>
      </c>
      <c r="G253" s="418" t="s">
        <v>57</v>
      </c>
      <c r="H253" s="86">
        <v>0.19700000000000001</v>
      </c>
      <c r="I253" s="418" t="s">
        <v>274</v>
      </c>
      <c r="J253" s="410">
        <f>H253-L253</f>
        <v>7.0000000000000007E-2</v>
      </c>
      <c r="K253" s="418" t="s">
        <v>275</v>
      </c>
      <c r="L253" s="86">
        <v>0.127</v>
      </c>
      <c r="M253" s="418" t="s">
        <v>58</v>
      </c>
      <c r="N253" s="87">
        <v>63</v>
      </c>
      <c r="O253" s="418" t="s">
        <v>60</v>
      </c>
      <c r="P253" s="87">
        <v>114</v>
      </c>
      <c r="Q253" s="418" t="s">
        <v>61</v>
      </c>
      <c r="R253" s="87">
        <v>127</v>
      </c>
      <c r="S253" s="418" t="s">
        <v>62</v>
      </c>
      <c r="T253" s="87">
        <v>38</v>
      </c>
      <c r="U253" s="418" t="s">
        <v>55</v>
      </c>
      <c r="V253" s="88" t="s">
        <v>120</v>
      </c>
      <c r="W253" s="547" t="s">
        <v>398</v>
      </c>
      <c r="X253" s="549">
        <v>1.8</v>
      </c>
      <c r="Y253" s="547" t="s">
        <v>397</v>
      </c>
      <c r="Z253" s="413">
        <v>15</v>
      </c>
    </row>
    <row r="254" spans="1:26">
      <c r="A254" s="417" t="s">
        <v>33</v>
      </c>
      <c r="B254" s="441">
        <v>0</v>
      </c>
      <c r="C254" s="441">
        <v>6.0000000000000001E-3</v>
      </c>
      <c r="D254" s="442">
        <v>1.7999999999999999E-2</v>
      </c>
      <c r="E254" s="442">
        <v>3.5999999999999997E-2</v>
      </c>
      <c r="F254" s="442">
        <v>4.7E-2</v>
      </c>
      <c r="G254" s="442">
        <v>8.4000000000000005E-2</v>
      </c>
      <c r="H254" s="442">
        <v>0.13500000000000001</v>
      </c>
      <c r="I254" s="442">
        <v>0.23799999999999999</v>
      </c>
      <c r="J254" s="442">
        <v>0.438</v>
      </c>
      <c r="K254" s="442">
        <v>0.63</v>
      </c>
      <c r="L254" s="442">
        <v>0.85899999999999999</v>
      </c>
      <c r="M254" s="442">
        <v>1.2829999999999999</v>
      </c>
      <c r="N254" s="442">
        <v>1.4470000000000001</v>
      </c>
      <c r="O254" s="442">
        <v>1.643</v>
      </c>
      <c r="P254" s="442">
        <v>1.7130000000000001</v>
      </c>
      <c r="Q254" s="442">
        <v>1.7430000000000001</v>
      </c>
      <c r="R254" s="442">
        <v>1.79</v>
      </c>
      <c r="S254" s="442">
        <v>1.8180000000000001</v>
      </c>
      <c r="T254" s="442">
        <v>1.8520000000000001</v>
      </c>
      <c r="U254" s="442">
        <v>2</v>
      </c>
      <c r="V254" s="442">
        <f t="shared" ref="V254:X255" si="86">U254</f>
        <v>2</v>
      </c>
      <c r="W254" s="442">
        <f t="shared" si="86"/>
        <v>2</v>
      </c>
      <c r="X254" s="442">
        <f t="shared" si="86"/>
        <v>2</v>
      </c>
      <c r="Y254" s="444">
        <v>1000</v>
      </c>
    </row>
    <row r="255" spans="1:26">
      <c r="A255" s="434" t="s">
        <v>34</v>
      </c>
      <c r="B255" s="443">
        <v>0</v>
      </c>
      <c r="C255" s="443">
        <v>104.068</v>
      </c>
      <c r="D255" s="433">
        <v>137.928</v>
      </c>
      <c r="E255" s="433">
        <v>70.706999999999994</v>
      </c>
      <c r="F255" s="433">
        <v>62.241999999999997</v>
      </c>
      <c r="G255" s="433">
        <v>73.694000000000003</v>
      </c>
      <c r="H255" s="433">
        <v>78.176000000000002</v>
      </c>
      <c r="I255" s="433">
        <v>84.150999999999996</v>
      </c>
      <c r="J255" s="433">
        <v>89.628</v>
      </c>
      <c r="K255" s="433">
        <v>88.135000000000005</v>
      </c>
      <c r="L255" s="433">
        <v>87.138999999999996</v>
      </c>
      <c r="M255" s="433">
        <v>77.180000000000007</v>
      </c>
      <c r="N255" s="433">
        <v>70.706999999999994</v>
      </c>
      <c r="O255" s="433">
        <v>67.718999999999994</v>
      </c>
      <c r="P255" s="433">
        <v>64.233999999999995</v>
      </c>
      <c r="Q255" s="433">
        <v>54.274999999999999</v>
      </c>
      <c r="R255" s="433">
        <v>18.423999999999999</v>
      </c>
      <c r="S255" s="433">
        <v>6.4729999999999999</v>
      </c>
      <c r="T255" s="433">
        <v>0</v>
      </c>
      <c r="U255" s="433">
        <v>0</v>
      </c>
      <c r="V255" s="433">
        <f t="shared" si="86"/>
        <v>0</v>
      </c>
      <c r="W255" s="433">
        <f t="shared" si="86"/>
        <v>0</v>
      </c>
      <c r="X255" s="433">
        <f t="shared" si="86"/>
        <v>0</v>
      </c>
      <c r="Y255" s="439">
        <v>0</v>
      </c>
    </row>
    <row r="256" spans="1:26" ht="13" thickBot="1">
      <c r="A256" s="435" t="s">
        <v>117</v>
      </c>
      <c r="B256" s="429">
        <f t="shared" ref="B256:X256" si="87">(C255+B255)*(C254-B254)/2</f>
        <v>0.31220399999999998</v>
      </c>
      <c r="C256" s="430">
        <f t="shared" si="87"/>
        <v>1.4519759999999997</v>
      </c>
      <c r="D256" s="430">
        <f t="shared" si="87"/>
        <v>1.8777149999999998</v>
      </c>
      <c r="E256" s="430">
        <f t="shared" si="87"/>
        <v>0.73121950000000013</v>
      </c>
      <c r="F256" s="430">
        <f t="shared" si="87"/>
        <v>2.5148160000000006</v>
      </c>
      <c r="G256" s="430">
        <f t="shared" si="87"/>
        <v>3.8726850000000006</v>
      </c>
      <c r="H256" s="430">
        <f t="shared" si="87"/>
        <v>8.3598404999999989</v>
      </c>
      <c r="I256" s="430">
        <f t="shared" si="87"/>
        <v>17.3779</v>
      </c>
      <c r="J256" s="430">
        <f t="shared" si="87"/>
        <v>17.065248</v>
      </c>
      <c r="K256" s="430">
        <f t="shared" si="87"/>
        <v>20.068873</v>
      </c>
      <c r="L256" s="430">
        <f t="shared" si="87"/>
        <v>34.835628</v>
      </c>
      <c r="M256" s="430">
        <f t="shared" si="87"/>
        <v>12.126734000000011</v>
      </c>
      <c r="N256" s="430">
        <f t="shared" si="87"/>
        <v>13.565747999999996</v>
      </c>
      <c r="O256" s="430">
        <f t="shared" si="87"/>
        <v>4.6183550000000029</v>
      </c>
      <c r="P256" s="430">
        <f t="shared" si="87"/>
        <v>1.7776350000000014</v>
      </c>
      <c r="Q256" s="430">
        <f t="shared" si="87"/>
        <v>1.7084264999999974</v>
      </c>
      <c r="R256" s="430">
        <f t="shared" si="87"/>
        <v>0.34855800000000031</v>
      </c>
      <c r="S256" s="430">
        <f t="shared" si="87"/>
        <v>0.1100410000000001</v>
      </c>
      <c r="T256" s="430">
        <f t="shared" si="87"/>
        <v>0</v>
      </c>
      <c r="U256" s="430">
        <f t="shared" si="87"/>
        <v>0</v>
      </c>
      <c r="V256" s="430">
        <f t="shared" si="87"/>
        <v>0</v>
      </c>
      <c r="W256" s="430">
        <f t="shared" si="87"/>
        <v>0</v>
      </c>
      <c r="X256" s="430">
        <f t="shared" si="87"/>
        <v>0</v>
      </c>
      <c r="Y256" s="424"/>
    </row>
    <row r="257" spans="1:25" ht="13" thickBot="1">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spans="1:25" ht="13.5" thickBot="1">
      <c r="A258" s="416" t="s">
        <v>277</v>
      </c>
      <c r="B258" s="415">
        <f>ROW(A258)</f>
        <v>258</v>
      </c>
      <c r="C258" s="418" t="s">
        <v>116</v>
      </c>
      <c r="D258" s="408">
        <f>SUM(B261:Y261)</f>
        <v>33.500000000000007</v>
      </c>
      <c r="E258" s="418" t="s">
        <v>115</v>
      </c>
      <c r="F258" s="409">
        <f>D258/g/J258</f>
        <v>68.297655453618759</v>
      </c>
      <c r="G258" s="418" t="s">
        <v>57</v>
      </c>
      <c r="H258" s="86">
        <v>8.5000000000000006E-2</v>
      </c>
      <c r="I258" s="418" t="s">
        <v>274</v>
      </c>
      <c r="J258" s="410">
        <f>H258-L258</f>
        <v>0.05</v>
      </c>
      <c r="K258" s="418" t="s">
        <v>275</v>
      </c>
      <c r="L258" s="86">
        <v>3.5000000000000003E-2</v>
      </c>
      <c r="M258" s="418" t="s">
        <v>58</v>
      </c>
      <c r="N258" s="87">
        <v>20</v>
      </c>
      <c r="O258" s="418" t="s">
        <v>60</v>
      </c>
      <c r="P258" s="87">
        <v>20</v>
      </c>
      <c r="Q258" s="418" t="s">
        <v>61</v>
      </c>
      <c r="R258" s="87">
        <v>39</v>
      </c>
      <c r="S258" s="418" t="s">
        <v>62</v>
      </c>
      <c r="T258" s="87">
        <v>39</v>
      </c>
      <c r="U258" s="418" t="s">
        <v>55</v>
      </c>
      <c r="V258" s="88" t="s">
        <v>405</v>
      </c>
      <c r="W258" s="17"/>
      <c r="X258" s="17"/>
      <c r="Y258" s="17"/>
    </row>
    <row r="259" spans="1:25">
      <c r="A259" s="417" t="s">
        <v>33</v>
      </c>
      <c r="B259" s="425">
        <v>0</v>
      </c>
      <c r="C259" s="426">
        <v>0.05</v>
      </c>
      <c r="D259" s="426">
        <v>0.1</v>
      </c>
      <c r="E259" s="426">
        <v>0.25</v>
      </c>
      <c r="F259" s="426">
        <v>0.3</v>
      </c>
      <c r="G259" s="426">
        <v>0.35</v>
      </c>
      <c r="H259" s="426">
        <v>0.45</v>
      </c>
      <c r="I259" s="426">
        <v>0.55000000000000004</v>
      </c>
      <c r="J259" s="426">
        <v>3.5</v>
      </c>
      <c r="K259" s="426">
        <v>3.6</v>
      </c>
      <c r="L259" s="426">
        <v>3.6</v>
      </c>
      <c r="M259" s="426">
        <v>3.6</v>
      </c>
      <c r="N259" s="426">
        <v>3.6</v>
      </c>
      <c r="O259" s="426">
        <v>3.6</v>
      </c>
      <c r="P259" s="426">
        <v>3.6</v>
      </c>
      <c r="Q259" s="426">
        <v>3.6</v>
      </c>
      <c r="R259" s="426">
        <v>3.6</v>
      </c>
      <c r="S259" s="426">
        <v>3.6</v>
      </c>
      <c r="T259" s="426">
        <v>3.6</v>
      </c>
      <c r="U259" s="426">
        <v>3.6</v>
      </c>
      <c r="V259" s="426">
        <v>3.6</v>
      </c>
      <c r="W259" s="426">
        <v>3.6</v>
      </c>
      <c r="X259" s="426">
        <v>3.6</v>
      </c>
      <c r="Y259" s="437">
        <v>1000</v>
      </c>
    </row>
    <row r="260" spans="1:25">
      <c r="A260" s="434" t="s">
        <v>34</v>
      </c>
      <c r="B260" s="427">
        <v>0</v>
      </c>
      <c r="C260" s="428">
        <v>68</v>
      </c>
      <c r="D260" s="428">
        <v>62</v>
      </c>
      <c r="E260" s="428">
        <v>60</v>
      </c>
      <c r="F260" s="428">
        <v>39</v>
      </c>
      <c r="G260" s="428">
        <v>38</v>
      </c>
      <c r="H260" s="428">
        <v>9</v>
      </c>
      <c r="I260" s="428">
        <v>5</v>
      </c>
      <c r="J260" s="428">
        <v>3</v>
      </c>
      <c r="K260" s="428">
        <v>0</v>
      </c>
      <c r="L260" s="428">
        <v>0</v>
      </c>
      <c r="M260" s="428">
        <v>0</v>
      </c>
      <c r="N260" s="428">
        <v>0</v>
      </c>
      <c r="O260" s="428">
        <v>0</v>
      </c>
      <c r="P260" s="428">
        <v>0</v>
      </c>
      <c r="Q260" s="428">
        <v>0</v>
      </c>
      <c r="R260" s="428">
        <v>0</v>
      </c>
      <c r="S260" s="428">
        <v>0</v>
      </c>
      <c r="T260" s="428">
        <v>0</v>
      </c>
      <c r="U260" s="428">
        <v>0</v>
      </c>
      <c r="V260" s="428">
        <v>0</v>
      </c>
      <c r="W260" s="428">
        <v>0</v>
      </c>
      <c r="X260" s="428">
        <v>0</v>
      </c>
      <c r="Y260" s="438">
        <v>0</v>
      </c>
    </row>
    <row r="261" spans="1:25" ht="13" thickBot="1">
      <c r="A261" s="435" t="s">
        <v>117</v>
      </c>
      <c r="B261" s="429">
        <f t="shared" ref="B261:V261" si="88">(C260+B260)*(C259-B259)/2</f>
        <v>1.7000000000000002</v>
      </c>
      <c r="C261" s="430">
        <f t="shared" si="88"/>
        <v>3.25</v>
      </c>
      <c r="D261" s="430">
        <f t="shared" si="88"/>
        <v>9.15</v>
      </c>
      <c r="E261" s="430">
        <f t="shared" si="88"/>
        <v>2.4749999999999996</v>
      </c>
      <c r="F261" s="430">
        <f t="shared" si="88"/>
        <v>1.9249999999999996</v>
      </c>
      <c r="G261" s="430">
        <f t="shared" si="88"/>
        <v>2.350000000000001</v>
      </c>
      <c r="H261" s="430">
        <f t="shared" si="88"/>
        <v>0.70000000000000018</v>
      </c>
      <c r="I261" s="430">
        <f t="shared" si="88"/>
        <v>11.8</v>
      </c>
      <c r="J261" s="430">
        <f t="shared" si="88"/>
        <v>0.15000000000000013</v>
      </c>
      <c r="K261" s="430">
        <f t="shared" si="88"/>
        <v>0</v>
      </c>
      <c r="L261" s="430">
        <f t="shared" si="88"/>
        <v>0</v>
      </c>
      <c r="M261" s="430">
        <f t="shared" si="88"/>
        <v>0</v>
      </c>
      <c r="N261" s="430">
        <f t="shared" si="88"/>
        <v>0</v>
      </c>
      <c r="O261" s="430">
        <f t="shared" si="88"/>
        <v>0</v>
      </c>
      <c r="P261" s="430">
        <f t="shared" si="88"/>
        <v>0</v>
      </c>
      <c r="Q261" s="430">
        <f t="shared" si="88"/>
        <v>0</v>
      </c>
      <c r="R261" s="430">
        <f t="shared" si="88"/>
        <v>0</v>
      </c>
      <c r="S261" s="430">
        <f t="shared" si="88"/>
        <v>0</v>
      </c>
      <c r="T261" s="430">
        <f t="shared" si="88"/>
        <v>0</v>
      </c>
      <c r="U261" s="430">
        <f t="shared" si="88"/>
        <v>0</v>
      </c>
      <c r="V261" s="430">
        <f t="shared" si="88"/>
        <v>0</v>
      </c>
      <c r="W261" s="430">
        <f>(X260+W260)*(X259-W259)/2</f>
        <v>0</v>
      </c>
      <c r="X261" s="430">
        <f>(Y260+X260)*(Y259-X259)/2</f>
        <v>0</v>
      </c>
      <c r="Y261" s="424"/>
    </row>
    <row r="262" spans="1:25" ht="13" thickBot="1">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spans="1:25" ht="13.5" thickBot="1">
      <c r="A263" s="416" t="s">
        <v>278</v>
      </c>
      <c r="B263" s="414">
        <f>ROW(A263)</f>
        <v>263</v>
      </c>
      <c r="C263" s="418" t="s">
        <v>116</v>
      </c>
      <c r="D263" s="408">
        <f>SUM(B266:Y266)</f>
        <v>145.46</v>
      </c>
      <c r="E263" s="418" t="s">
        <v>115</v>
      </c>
      <c r="F263" s="409">
        <f>D263/g/J263</f>
        <v>211.82466870540264</v>
      </c>
      <c r="G263" s="418" t="s">
        <v>57</v>
      </c>
      <c r="H263" s="86">
        <v>0.22</v>
      </c>
      <c r="I263" s="418" t="s">
        <v>274</v>
      </c>
      <c r="J263" s="410">
        <f>H263-L263</f>
        <v>7.0000000000000007E-2</v>
      </c>
      <c r="K263" s="418" t="s">
        <v>275</v>
      </c>
      <c r="L263" s="86">
        <v>0.15</v>
      </c>
      <c r="M263" s="418" t="s">
        <v>58</v>
      </c>
      <c r="N263" s="87">
        <v>50</v>
      </c>
      <c r="O263" s="418" t="s">
        <v>60</v>
      </c>
      <c r="P263" s="87">
        <v>55</v>
      </c>
      <c r="Q263" s="418" t="s">
        <v>61</v>
      </c>
      <c r="R263" s="87">
        <v>76</v>
      </c>
      <c r="S263" s="418" t="s">
        <v>62</v>
      </c>
      <c r="T263" s="87">
        <v>40</v>
      </c>
      <c r="U263" s="418" t="s">
        <v>55</v>
      </c>
      <c r="V263" s="88" t="s">
        <v>405</v>
      </c>
      <c r="W263" s="17"/>
      <c r="X263" s="17"/>
      <c r="Y263" s="17"/>
    </row>
    <row r="264" spans="1:25">
      <c r="A264" s="417" t="s">
        <v>33</v>
      </c>
      <c r="B264" s="425">
        <v>0</v>
      </c>
      <c r="C264" s="426">
        <v>0.02</v>
      </c>
      <c r="D264" s="426">
        <v>0.04</v>
      </c>
      <c r="E264" s="426">
        <v>0.05</v>
      </c>
      <c r="F264" s="426">
        <v>0.06</v>
      </c>
      <c r="G264" s="426">
        <v>0.94</v>
      </c>
      <c r="H264" s="432">
        <v>0.94200000000000006</v>
      </c>
      <c r="I264" s="426">
        <v>0.95</v>
      </c>
      <c r="J264" s="426">
        <v>0.95</v>
      </c>
      <c r="K264" s="426">
        <v>0.95</v>
      </c>
      <c r="L264" s="426">
        <v>0.95</v>
      </c>
      <c r="M264" s="426">
        <v>0.95</v>
      </c>
      <c r="N264" s="426">
        <v>0.95</v>
      </c>
      <c r="O264" s="426">
        <v>0.95</v>
      </c>
      <c r="P264" s="426">
        <v>0.95</v>
      </c>
      <c r="Q264" s="426">
        <v>0.95</v>
      </c>
      <c r="R264" s="426">
        <v>0.95</v>
      </c>
      <c r="S264" s="426">
        <v>0.95</v>
      </c>
      <c r="T264" s="426">
        <v>0.95</v>
      </c>
      <c r="U264" s="426">
        <v>0.95</v>
      </c>
      <c r="V264" s="426">
        <v>0.95</v>
      </c>
      <c r="W264" s="426">
        <v>0.95</v>
      </c>
      <c r="X264" s="426">
        <v>2</v>
      </c>
      <c r="Y264" s="437">
        <v>1000</v>
      </c>
    </row>
    <row r="265" spans="1:25">
      <c r="A265" s="434" t="s">
        <v>34</v>
      </c>
      <c r="B265" s="427">
        <v>0</v>
      </c>
      <c r="C265" s="428">
        <v>320</v>
      </c>
      <c r="D265" s="428">
        <v>170</v>
      </c>
      <c r="E265" s="428">
        <v>205</v>
      </c>
      <c r="F265" s="428">
        <v>217</v>
      </c>
      <c r="G265" s="428">
        <v>85</v>
      </c>
      <c r="H265" s="428">
        <v>82</v>
      </c>
      <c r="I265" s="428">
        <v>0</v>
      </c>
      <c r="J265" s="428">
        <v>0</v>
      </c>
      <c r="K265" s="428">
        <v>0</v>
      </c>
      <c r="L265" s="428">
        <v>0</v>
      </c>
      <c r="M265" s="428">
        <v>0</v>
      </c>
      <c r="N265" s="428">
        <v>0</v>
      </c>
      <c r="O265" s="428">
        <v>0</v>
      </c>
      <c r="P265" s="428">
        <v>0</v>
      </c>
      <c r="Q265" s="428">
        <v>0</v>
      </c>
      <c r="R265" s="428">
        <v>0</v>
      </c>
      <c r="S265" s="428">
        <v>0</v>
      </c>
      <c r="T265" s="428">
        <v>0</v>
      </c>
      <c r="U265" s="428">
        <v>0</v>
      </c>
      <c r="V265" s="428">
        <v>0</v>
      </c>
      <c r="W265" s="428">
        <v>0</v>
      </c>
      <c r="X265" s="428">
        <v>0</v>
      </c>
      <c r="Y265" s="438">
        <v>0</v>
      </c>
    </row>
    <row r="266" spans="1:25" ht="13" thickBot="1">
      <c r="A266" s="435" t="s">
        <v>117</v>
      </c>
      <c r="B266" s="429">
        <f t="shared" ref="B266:H266" si="89">(C265+B265)*(C264-B264)/2</f>
        <v>3.2</v>
      </c>
      <c r="C266" s="430">
        <f t="shared" si="89"/>
        <v>4.9000000000000004</v>
      </c>
      <c r="D266" s="430">
        <f t="shared" si="89"/>
        <v>1.8750000000000004</v>
      </c>
      <c r="E266" s="430">
        <f t="shared" si="89"/>
        <v>2.109999999999999</v>
      </c>
      <c r="F266" s="430">
        <f t="shared" si="89"/>
        <v>132.88</v>
      </c>
      <c r="G266" s="430">
        <f t="shared" si="89"/>
        <v>0.16700000000000942</v>
      </c>
      <c r="H266" s="430">
        <f t="shared" si="89"/>
        <v>0.32799999999999574</v>
      </c>
      <c r="I266" s="430">
        <f t="shared" ref="I266:V266" si="90">(J265+I265)*(J264-I264)/2</f>
        <v>0</v>
      </c>
      <c r="J266" s="430">
        <f>(K265+J265)*(K264-J264)/2</f>
        <v>0</v>
      </c>
      <c r="K266" s="430">
        <f t="shared" si="90"/>
        <v>0</v>
      </c>
      <c r="L266" s="430">
        <f t="shared" si="90"/>
        <v>0</v>
      </c>
      <c r="M266" s="430">
        <f t="shared" si="90"/>
        <v>0</v>
      </c>
      <c r="N266" s="430">
        <f t="shared" si="90"/>
        <v>0</v>
      </c>
      <c r="O266" s="430">
        <f t="shared" si="90"/>
        <v>0</v>
      </c>
      <c r="P266" s="430">
        <f t="shared" si="90"/>
        <v>0</v>
      </c>
      <c r="Q266" s="430">
        <f t="shared" si="90"/>
        <v>0</v>
      </c>
      <c r="R266" s="430">
        <f t="shared" si="90"/>
        <v>0</v>
      </c>
      <c r="S266" s="430">
        <f>(T265+S265)*(T264-S264)/2</f>
        <v>0</v>
      </c>
      <c r="T266" s="430">
        <f t="shared" si="90"/>
        <v>0</v>
      </c>
      <c r="U266" s="430">
        <f t="shared" si="90"/>
        <v>0</v>
      </c>
      <c r="V266" s="430">
        <f t="shared" si="90"/>
        <v>0</v>
      </c>
      <c r="W266" s="430">
        <f>(X265+W265)*(X264-W264)/2</f>
        <v>0</v>
      </c>
      <c r="X266" s="430">
        <f>(Y265+X265)*(Y264-X264)/2</f>
        <v>0</v>
      </c>
      <c r="Y266" s="424"/>
    </row>
    <row r="267" spans="1:25">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spans="1:25" ht="13.5" thickBot="1">
      <c r="A268" s="492" t="s">
        <v>316</v>
      </c>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spans="1:25" ht="13.5" thickBot="1">
      <c r="A269" s="416" t="s">
        <v>35</v>
      </c>
      <c r="B269" s="414">
        <f>ROW(A269)</f>
        <v>269</v>
      </c>
      <c r="C269" s="418" t="s">
        <v>116</v>
      </c>
      <c r="D269" s="408">
        <f>SUM(B272:Y272)</f>
        <v>1071.5999999999999</v>
      </c>
      <c r="E269" s="418" t="s">
        <v>115</v>
      </c>
      <c r="F269" s="409">
        <f>D269/g/J269</f>
        <v>163.03802090465106</v>
      </c>
      <c r="G269" s="418" t="s">
        <v>57</v>
      </c>
      <c r="H269" s="86">
        <v>2.02</v>
      </c>
      <c r="I269" s="418" t="s">
        <v>274</v>
      </c>
      <c r="J269" s="410">
        <f>H269-L269</f>
        <v>0.66999999999999993</v>
      </c>
      <c r="K269" s="418" t="s">
        <v>275</v>
      </c>
      <c r="L269" s="86">
        <v>1.35</v>
      </c>
      <c r="M269" s="418" t="s">
        <v>58</v>
      </c>
      <c r="N269" s="87">
        <v>154</v>
      </c>
      <c r="O269" s="418" t="s">
        <v>60</v>
      </c>
      <c r="P269" s="87">
        <v>168</v>
      </c>
      <c r="Q269" s="418" t="s">
        <v>61</v>
      </c>
      <c r="R269" s="87">
        <v>230</v>
      </c>
      <c r="S269" s="418" t="s">
        <v>62</v>
      </c>
      <c r="T269" s="87">
        <v>67</v>
      </c>
      <c r="U269" s="418" t="s">
        <v>55</v>
      </c>
      <c r="V269" s="88" t="s">
        <v>119</v>
      </c>
      <c r="W269" s="17"/>
      <c r="X269" s="17"/>
      <c r="Y269" s="17"/>
    </row>
    <row r="270" spans="1:25">
      <c r="A270" s="417" t="s">
        <v>33</v>
      </c>
      <c r="B270" s="425">
        <v>0</v>
      </c>
      <c r="C270" s="426">
        <v>0.02</v>
      </c>
      <c r="D270" s="426">
        <v>0.05</v>
      </c>
      <c r="E270" s="426">
        <v>0.06</v>
      </c>
      <c r="F270" s="426">
        <v>0.09</v>
      </c>
      <c r="G270" s="426">
        <v>0.17</v>
      </c>
      <c r="H270" s="426">
        <v>0.2</v>
      </c>
      <c r="I270" s="426">
        <v>0.38</v>
      </c>
      <c r="J270" s="426">
        <v>0.75</v>
      </c>
      <c r="K270" s="426">
        <v>0.79</v>
      </c>
      <c r="L270" s="426">
        <v>1.1299999999999999</v>
      </c>
      <c r="M270" s="426">
        <v>1.2</v>
      </c>
      <c r="N270" s="426">
        <v>1.5</v>
      </c>
      <c r="O270" s="426">
        <v>1.54</v>
      </c>
      <c r="P270" s="426">
        <v>1.65</v>
      </c>
      <c r="Q270" s="426">
        <v>1.7</v>
      </c>
      <c r="R270" s="426">
        <v>1.79</v>
      </c>
      <c r="S270" s="426">
        <v>1.79</v>
      </c>
      <c r="T270" s="426">
        <v>1.79</v>
      </c>
      <c r="U270" s="426">
        <v>1.79</v>
      </c>
      <c r="V270" s="426">
        <v>1.79</v>
      </c>
      <c r="W270" s="426">
        <v>1.79</v>
      </c>
      <c r="X270" s="426">
        <v>1.79</v>
      </c>
      <c r="Y270" s="437">
        <v>1000</v>
      </c>
    </row>
    <row r="271" spans="1:25">
      <c r="A271" s="434" t="s">
        <v>34</v>
      </c>
      <c r="B271" s="427">
        <v>0</v>
      </c>
      <c r="C271" s="428">
        <v>20</v>
      </c>
      <c r="D271" s="428">
        <v>870</v>
      </c>
      <c r="E271" s="428">
        <v>530</v>
      </c>
      <c r="F271" s="428">
        <v>790</v>
      </c>
      <c r="G271" s="428">
        <v>700</v>
      </c>
      <c r="H271" s="428">
        <v>710</v>
      </c>
      <c r="I271" s="428">
        <v>670</v>
      </c>
      <c r="J271" s="428">
        <v>630</v>
      </c>
      <c r="K271" s="428">
        <v>630</v>
      </c>
      <c r="L271" s="433">
        <v>710</v>
      </c>
      <c r="M271" s="433">
        <v>690</v>
      </c>
      <c r="N271" s="433">
        <v>690</v>
      </c>
      <c r="O271" s="433">
        <v>660</v>
      </c>
      <c r="P271" s="433">
        <v>160</v>
      </c>
      <c r="Q271" s="433">
        <v>10</v>
      </c>
      <c r="R271" s="433">
        <v>0</v>
      </c>
      <c r="S271" s="433">
        <v>0</v>
      </c>
      <c r="T271" s="433">
        <v>0</v>
      </c>
      <c r="U271" s="433">
        <v>0</v>
      </c>
      <c r="V271" s="433">
        <v>0</v>
      </c>
      <c r="W271" s="433">
        <v>0</v>
      </c>
      <c r="X271" s="433">
        <v>0</v>
      </c>
      <c r="Y271" s="439">
        <v>0</v>
      </c>
    </row>
    <row r="272" spans="1:25" ht="13" thickBot="1">
      <c r="A272" s="435" t="s">
        <v>117</v>
      </c>
      <c r="B272" s="429">
        <f t="shared" ref="B272:Q272" si="91">(C271+B271)*(C270-B270)/2</f>
        <v>0.2</v>
      </c>
      <c r="C272" s="430">
        <f t="shared" si="91"/>
        <v>13.350000000000001</v>
      </c>
      <c r="D272" s="430">
        <f t="shared" si="91"/>
        <v>6.9999999999999964</v>
      </c>
      <c r="E272" s="430">
        <f t="shared" si="91"/>
        <v>19.8</v>
      </c>
      <c r="F272" s="430">
        <f t="shared" si="91"/>
        <v>59.600000000000009</v>
      </c>
      <c r="G272" s="430">
        <f t="shared" si="91"/>
        <v>21.15</v>
      </c>
      <c r="H272" s="430">
        <f t="shared" si="91"/>
        <v>124.19999999999999</v>
      </c>
      <c r="I272" s="430">
        <f t="shared" si="91"/>
        <v>240.5</v>
      </c>
      <c r="J272" s="430">
        <f>(K271+J271)*(K270-J270)/2</f>
        <v>25.200000000000024</v>
      </c>
      <c r="K272" s="430">
        <f t="shared" si="91"/>
        <v>227.7999999999999</v>
      </c>
      <c r="L272" s="430">
        <f t="shared" si="91"/>
        <v>49.000000000000043</v>
      </c>
      <c r="M272" s="430">
        <f t="shared" si="91"/>
        <v>207.00000000000003</v>
      </c>
      <c r="N272" s="430">
        <f t="shared" si="91"/>
        <v>27.000000000000025</v>
      </c>
      <c r="O272" s="430">
        <f t="shared" si="91"/>
        <v>45.099999999999952</v>
      </c>
      <c r="P272" s="430">
        <f t="shared" si="91"/>
        <v>4.2500000000000036</v>
      </c>
      <c r="Q272" s="430">
        <f t="shared" si="91"/>
        <v>0.4500000000000004</v>
      </c>
      <c r="R272" s="430">
        <f t="shared" ref="R272:X272" si="92">(S271+R271)*(S270-R270)/2</f>
        <v>0</v>
      </c>
      <c r="S272" s="430">
        <f t="shared" si="92"/>
        <v>0</v>
      </c>
      <c r="T272" s="430">
        <f t="shared" si="92"/>
        <v>0</v>
      </c>
      <c r="U272" s="430">
        <f t="shared" si="92"/>
        <v>0</v>
      </c>
      <c r="V272" s="430">
        <f t="shared" si="92"/>
        <v>0</v>
      </c>
      <c r="W272" s="430">
        <f t="shared" si="92"/>
        <v>0</v>
      </c>
      <c r="X272" s="430">
        <f t="shared" si="92"/>
        <v>0</v>
      </c>
      <c r="Y272" s="440"/>
    </row>
    <row r="273" spans="1:25" ht="13" thickBot="1">
      <c r="S273" s="17"/>
      <c r="T273" s="17"/>
      <c r="U273" s="17"/>
      <c r="V273" s="17"/>
      <c r="W273" s="112"/>
      <c r="X273" s="112"/>
      <c r="Y273" s="17"/>
    </row>
    <row r="274" spans="1:25" ht="13.5" thickBot="1">
      <c r="A274" s="416" t="s">
        <v>36</v>
      </c>
      <c r="B274" s="414">
        <f>ROW(A274)</f>
        <v>274</v>
      </c>
      <c r="C274" s="418" t="s">
        <v>116</v>
      </c>
      <c r="D274" s="408">
        <f>SUM(B277:Y277)</f>
        <v>2102.35</v>
      </c>
      <c r="E274" s="418" t="s">
        <v>115</v>
      </c>
      <c r="F274" s="409">
        <f>D274/g/J274</f>
        <v>174.23319493133766</v>
      </c>
      <c r="G274" s="418" t="s">
        <v>57</v>
      </c>
      <c r="H274" s="86">
        <v>3.7</v>
      </c>
      <c r="I274" s="418" t="s">
        <v>274</v>
      </c>
      <c r="J274" s="410">
        <f>H274-L274</f>
        <v>1.23</v>
      </c>
      <c r="K274" s="418" t="s">
        <v>275</v>
      </c>
      <c r="L274" s="86">
        <v>2.4700000000000002</v>
      </c>
      <c r="M274" s="418" t="s">
        <v>58</v>
      </c>
      <c r="N274" s="87">
        <v>151</v>
      </c>
      <c r="O274" s="418" t="s">
        <v>60</v>
      </c>
      <c r="P274" s="87">
        <v>171</v>
      </c>
      <c r="Q274" s="418" t="s">
        <v>61</v>
      </c>
      <c r="R274" s="87">
        <v>247</v>
      </c>
      <c r="S274" s="418" t="s">
        <v>62</v>
      </c>
      <c r="T274" s="87">
        <v>90</v>
      </c>
      <c r="U274" s="418" t="s">
        <v>55</v>
      </c>
      <c r="V274" s="88" t="s">
        <v>119</v>
      </c>
      <c r="W274" s="17"/>
      <c r="X274" s="17"/>
      <c r="Y274" s="17"/>
    </row>
    <row r="275" spans="1:25">
      <c r="A275" s="417" t="s">
        <v>33</v>
      </c>
      <c r="B275" s="425">
        <v>0</v>
      </c>
      <c r="C275" s="426">
        <v>0.05</v>
      </c>
      <c r="D275" s="426">
        <v>0.1</v>
      </c>
      <c r="E275" s="426">
        <v>1</v>
      </c>
      <c r="F275" s="426">
        <v>1.35</v>
      </c>
      <c r="G275" s="426">
        <v>1.75</v>
      </c>
      <c r="H275" s="426">
        <v>2.15</v>
      </c>
      <c r="I275" s="426">
        <v>2.25</v>
      </c>
      <c r="J275" s="426">
        <v>2.48</v>
      </c>
      <c r="K275" s="426">
        <v>2.6</v>
      </c>
      <c r="L275" s="426">
        <v>2.8</v>
      </c>
      <c r="M275" s="426">
        <v>2.8</v>
      </c>
      <c r="N275" s="426">
        <v>2.8</v>
      </c>
      <c r="O275" s="426">
        <v>2.8</v>
      </c>
      <c r="P275" s="426">
        <v>2.8</v>
      </c>
      <c r="Q275" s="426">
        <v>2.8</v>
      </c>
      <c r="R275" s="426">
        <v>2.8</v>
      </c>
      <c r="S275" s="426">
        <v>2.8</v>
      </c>
      <c r="T275" s="426">
        <v>2.8</v>
      </c>
      <c r="U275" s="426">
        <v>2.8</v>
      </c>
      <c r="V275" s="426">
        <v>2.8</v>
      </c>
      <c r="W275" s="426">
        <v>2.8</v>
      </c>
      <c r="X275" s="426">
        <v>2.8</v>
      </c>
      <c r="Y275" s="437">
        <v>1000</v>
      </c>
    </row>
    <row r="276" spans="1:25">
      <c r="A276" s="434" t="s">
        <v>34</v>
      </c>
      <c r="B276" s="427">
        <v>0</v>
      </c>
      <c r="C276" s="428">
        <v>860</v>
      </c>
      <c r="D276" s="428">
        <v>840</v>
      </c>
      <c r="E276" s="428">
        <v>840</v>
      </c>
      <c r="F276" s="428">
        <v>850</v>
      </c>
      <c r="G276" s="428">
        <v>900</v>
      </c>
      <c r="H276" s="428">
        <v>1050</v>
      </c>
      <c r="I276" s="428">
        <v>1020</v>
      </c>
      <c r="J276" s="428">
        <v>120</v>
      </c>
      <c r="K276" s="428">
        <v>30</v>
      </c>
      <c r="L276" s="428">
        <v>0</v>
      </c>
      <c r="M276" s="428">
        <v>0</v>
      </c>
      <c r="N276" s="428">
        <v>0</v>
      </c>
      <c r="O276" s="428">
        <v>0</v>
      </c>
      <c r="P276" s="428">
        <v>0</v>
      </c>
      <c r="Q276" s="428">
        <v>0</v>
      </c>
      <c r="R276" s="428">
        <v>0</v>
      </c>
      <c r="S276" s="428">
        <v>0</v>
      </c>
      <c r="T276" s="428">
        <v>0</v>
      </c>
      <c r="U276" s="428">
        <v>0</v>
      </c>
      <c r="V276" s="428">
        <v>0</v>
      </c>
      <c r="W276" s="428">
        <v>0</v>
      </c>
      <c r="X276" s="428">
        <v>0</v>
      </c>
      <c r="Y276" s="438">
        <v>0</v>
      </c>
    </row>
    <row r="277" spans="1:25" ht="13" thickBot="1">
      <c r="A277" s="435" t="s">
        <v>117</v>
      </c>
      <c r="B277" s="429">
        <f t="shared" ref="B277:K277" si="93">(C276+B276)*(C275-B275)/2</f>
        <v>21.5</v>
      </c>
      <c r="C277" s="430">
        <f t="shared" si="93"/>
        <v>42.5</v>
      </c>
      <c r="D277" s="430">
        <f t="shared" si="93"/>
        <v>756</v>
      </c>
      <c r="E277" s="430">
        <f t="shared" si="93"/>
        <v>295.75000000000006</v>
      </c>
      <c r="F277" s="430">
        <f t="shared" si="93"/>
        <v>349.99999999999994</v>
      </c>
      <c r="G277" s="430">
        <f t="shared" si="93"/>
        <v>389.99999999999989</v>
      </c>
      <c r="H277" s="430">
        <f t="shared" si="93"/>
        <v>103.50000000000009</v>
      </c>
      <c r="I277" s="430">
        <f t="shared" si="93"/>
        <v>131.1</v>
      </c>
      <c r="J277" s="430">
        <f>(K276+J276)*(K275-J275)/2</f>
        <v>9.0000000000000071</v>
      </c>
      <c r="K277" s="430">
        <f t="shared" si="93"/>
        <v>2.999999999999996</v>
      </c>
      <c r="L277" s="430">
        <f t="shared" ref="L277:V277" si="94">(M276+L276)*(M275-L275)/2</f>
        <v>0</v>
      </c>
      <c r="M277" s="430">
        <f t="shared" si="94"/>
        <v>0</v>
      </c>
      <c r="N277" s="430">
        <f t="shared" si="94"/>
        <v>0</v>
      </c>
      <c r="O277" s="430">
        <f t="shared" si="94"/>
        <v>0</v>
      </c>
      <c r="P277" s="430">
        <f t="shared" si="94"/>
        <v>0</v>
      </c>
      <c r="Q277" s="430">
        <f t="shared" si="94"/>
        <v>0</v>
      </c>
      <c r="R277" s="430">
        <f t="shared" si="94"/>
        <v>0</v>
      </c>
      <c r="S277" s="430">
        <f>(T276+S276)*(T275-S275)/2</f>
        <v>0</v>
      </c>
      <c r="T277" s="430">
        <f t="shared" si="94"/>
        <v>0</v>
      </c>
      <c r="U277" s="430">
        <f t="shared" si="94"/>
        <v>0</v>
      </c>
      <c r="V277" s="430">
        <f t="shared" si="94"/>
        <v>0</v>
      </c>
      <c r="W277" s="430">
        <f>(X276+W276)*(X275-W275)/2</f>
        <v>0</v>
      </c>
      <c r="X277" s="430">
        <f>(Y276+X276)*(Y275-X275)/2</f>
        <v>0</v>
      </c>
      <c r="Y277" s="424"/>
    </row>
    <row r="278" spans="1:25" ht="13" thickBot="1"/>
    <row r="279" spans="1:25" ht="13.5" thickBot="1">
      <c r="A279" s="416" t="s">
        <v>557</v>
      </c>
      <c r="B279" s="414">
        <f>ROW(A279)</f>
        <v>279</v>
      </c>
      <c r="C279" s="418" t="s">
        <v>116</v>
      </c>
      <c r="D279" s="408">
        <f>SUM(B282:Y282)</f>
        <v>2058.37</v>
      </c>
      <c r="E279" s="418" t="s">
        <v>115</v>
      </c>
      <c r="F279" s="409">
        <f>D279/g/J279</f>
        <v>203.12066731598335</v>
      </c>
      <c r="G279" s="418" t="s">
        <v>57</v>
      </c>
      <c r="H279" s="86">
        <v>1.6850000000000001</v>
      </c>
      <c r="I279" s="418" t="s">
        <v>274</v>
      </c>
      <c r="J279" s="410">
        <f>H279-L279</f>
        <v>1.0329999999999999</v>
      </c>
      <c r="K279" s="418" t="s">
        <v>275</v>
      </c>
      <c r="L279" s="86">
        <v>0.65200000000000002</v>
      </c>
      <c r="M279" s="418" t="s">
        <v>58</v>
      </c>
      <c r="N279" s="87">
        <v>250</v>
      </c>
      <c r="O279" s="418" t="s">
        <v>60</v>
      </c>
      <c r="P279" s="87">
        <v>240</v>
      </c>
      <c r="Q279" s="418" t="s">
        <v>61</v>
      </c>
      <c r="R279" s="87">
        <v>488</v>
      </c>
      <c r="S279" s="418" t="s">
        <v>62</v>
      </c>
      <c r="T279" s="87">
        <v>54</v>
      </c>
      <c r="U279" s="418" t="s">
        <v>55</v>
      </c>
      <c r="V279" s="88" t="s">
        <v>119</v>
      </c>
      <c r="W279" s="17"/>
      <c r="X279" s="17"/>
      <c r="Y279" s="17"/>
    </row>
    <row r="280" spans="1:25">
      <c r="A280" s="417" t="s">
        <v>33</v>
      </c>
      <c r="B280" s="425">
        <v>0</v>
      </c>
      <c r="C280" s="426">
        <v>0.05</v>
      </c>
      <c r="D280" s="426">
        <v>0.5</v>
      </c>
      <c r="E280" s="426">
        <v>1</v>
      </c>
      <c r="F280" s="426">
        <v>1.5</v>
      </c>
      <c r="G280" s="426">
        <v>2</v>
      </c>
      <c r="H280" s="426">
        <v>2.5</v>
      </c>
      <c r="I280" s="426">
        <v>2.97</v>
      </c>
      <c r="J280" s="426">
        <v>3.2</v>
      </c>
      <c r="K280" s="426">
        <v>3.47</v>
      </c>
      <c r="L280" s="426">
        <v>3.59</v>
      </c>
      <c r="M280" s="426">
        <v>3.59</v>
      </c>
      <c r="N280" s="426">
        <v>3.59</v>
      </c>
      <c r="O280" s="426">
        <v>3.59</v>
      </c>
      <c r="P280" s="426">
        <v>3.59</v>
      </c>
      <c r="Q280" s="426">
        <v>3.59</v>
      </c>
      <c r="R280" s="426">
        <v>3.59</v>
      </c>
      <c r="S280" s="426">
        <v>3.59</v>
      </c>
      <c r="T280" s="426">
        <v>3.59</v>
      </c>
      <c r="U280" s="426">
        <v>3.59</v>
      </c>
      <c r="V280" s="426">
        <v>3.59</v>
      </c>
      <c r="W280" s="426">
        <v>3.59</v>
      </c>
      <c r="X280" s="426">
        <v>3.59</v>
      </c>
      <c r="Y280" s="437">
        <v>1000</v>
      </c>
    </row>
    <row r="281" spans="1:25">
      <c r="A281" s="434" t="s">
        <v>34</v>
      </c>
      <c r="B281" s="427">
        <v>0</v>
      </c>
      <c r="C281" s="428">
        <v>893</v>
      </c>
      <c r="D281" s="428">
        <v>798</v>
      </c>
      <c r="E281" s="428">
        <v>739</v>
      </c>
      <c r="F281" s="428">
        <v>659</v>
      </c>
      <c r="G281" s="428">
        <v>586</v>
      </c>
      <c r="H281" s="428">
        <v>513</v>
      </c>
      <c r="I281" s="428">
        <v>417</v>
      </c>
      <c r="J281" s="428">
        <v>225</v>
      </c>
      <c r="K281" s="428">
        <v>67</v>
      </c>
      <c r="L281" s="428">
        <v>0</v>
      </c>
      <c r="M281" s="428">
        <v>0</v>
      </c>
      <c r="N281" s="428">
        <v>0</v>
      </c>
      <c r="O281" s="428">
        <v>0</v>
      </c>
      <c r="P281" s="428">
        <v>0</v>
      </c>
      <c r="Q281" s="428">
        <v>0</v>
      </c>
      <c r="R281" s="428">
        <v>0</v>
      </c>
      <c r="S281" s="428">
        <v>0</v>
      </c>
      <c r="T281" s="428">
        <v>0</v>
      </c>
      <c r="U281" s="428">
        <v>0</v>
      </c>
      <c r="V281" s="428">
        <v>0</v>
      </c>
      <c r="W281" s="428">
        <v>0</v>
      </c>
      <c r="X281" s="428">
        <v>0</v>
      </c>
      <c r="Y281" s="438">
        <v>0</v>
      </c>
    </row>
    <row r="282" spans="1:25" ht="13" thickBot="1">
      <c r="A282" s="436" t="s">
        <v>117</v>
      </c>
      <c r="B282" s="429">
        <f t="shared" ref="B282:V282" si="95">(C281+B281)*(C280-B280)/2</f>
        <v>22.325000000000003</v>
      </c>
      <c r="C282" s="430">
        <f t="shared" si="95"/>
        <v>380.47500000000002</v>
      </c>
      <c r="D282" s="430">
        <f t="shared" si="95"/>
        <v>384.25</v>
      </c>
      <c r="E282" s="430">
        <f t="shared" si="95"/>
        <v>349.5</v>
      </c>
      <c r="F282" s="430">
        <f t="shared" si="95"/>
        <v>311.25</v>
      </c>
      <c r="G282" s="430">
        <f t="shared" si="95"/>
        <v>274.75</v>
      </c>
      <c r="H282" s="430">
        <f t="shared" si="95"/>
        <v>218.5500000000001</v>
      </c>
      <c r="I282" s="430">
        <f t="shared" si="95"/>
        <v>73.83</v>
      </c>
      <c r="J282" s="430">
        <f>(K281+J281)*(K280-J280)/2</f>
        <v>39.42</v>
      </c>
      <c r="K282" s="430">
        <f t="shared" si="95"/>
        <v>4.0199999999999889</v>
      </c>
      <c r="L282" s="430">
        <f t="shared" si="95"/>
        <v>0</v>
      </c>
      <c r="M282" s="430">
        <f t="shared" si="95"/>
        <v>0</v>
      </c>
      <c r="N282" s="430">
        <f t="shared" si="95"/>
        <v>0</v>
      </c>
      <c r="O282" s="430">
        <f t="shared" si="95"/>
        <v>0</v>
      </c>
      <c r="P282" s="430">
        <f t="shared" si="95"/>
        <v>0</v>
      </c>
      <c r="Q282" s="430">
        <f t="shared" si="95"/>
        <v>0</v>
      </c>
      <c r="R282" s="430">
        <f t="shared" si="95"/>
        <v>0</v>
      </c>
      <c r="S282" s="430">
        <f>(T281+S281)*(T280-S280)/2</f>
        <v>0</v>
      </c>
      <c r="T282" s="430">
        <f t="shared" si="95"/>
        <v>0</v>
      </c>
      <c r="U282" s="430">
        <f t="shared" si="95"/>
        <v>0</v>
      </c>
      <c r="V282" s="430">
        <f t="shared" si="95"/>
        <v>0</v>
      </c>
      <c r="W282" s="430">
        <f>(X281+W281)*(X280-W280)/2</f>
        <v>0</v>
      </c>
      <c r="X282" s="430">
        <f>(Y281+X281)*(Y280-X280)/2</f>
        <v>0</v>
      </c>
      <c r="Y282" s="424"/>
    </row>
    <row r="283" spans="1:25" ht="13" thickBot="1">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spans="1:25" ht="13.5" thickBot="1">
      <c r="A284" s="416" t="s">
        <v>37</v>
      </c>
      <c r="B284" s="414">
        <f>ROW(A284)</f>
        <v>284</v>
      </c>
      <c r="C284" s="418" t="s">
        <v>116</v>
      </c>
      <c r="D284" s="408">
        <f>SUM(B287:Y287)</f>
        <v>2486.041999999999</v>
      </c>
      <c r="E284" s="418" t="s">
        <v>115</v>
      </c>
      <c r="F284" s="409">
        <f>D284/g/J284</f>
        <v>199.54264891200521</v>
      </c>
      <c r="G284" s="418" t="s">
        <v>57</v>
      </c>
      <c r="H284" s="86">
        <v>2.59</v>
      </c>
      <c r="I284" s="418" t="s">
        <v>274</v>
      </c>
      <c r="J284" s="410">
        <f>H284-L284</f>
        <v>1.2699999999999998</v>
      </c>
      <c r="K284" s="418" t="s">
        <v>275</v>
      </c>
      <c r="L284" s="86">
        <v>1.32</v>
      </c>
      <c r="M284" s="418" t="s">
        <v>58</v>
      </c>
      <c r="N284" s="87">
        <v>175</v>
      </c>
      <c r="O284" s="418" t="s">
        <v>60</v>
      </c>
      <c r="P284" s="87">
        <v>175</v>
      </c>
      <c r="Q284" s="418" t="s">
        <v>61</v>
      </c>
      <c r="R284" s="87">
        <v>350</v>
      </c>
      <c r="S284" s="418" t="s">
        <v>62</v>
      </c>
      <c r="T284" s="87">
        <v>75</v>
      </c>
      <c r="U284" s="418" t="s">
        <v>55</v>
      </c>
      <c r="V284" s="88" t="s">
        <v>119</v>
      </c>
      <c r="W284" s="17"/>
      <c r="X284" s="17"/>
      <c r="Y284" s="17"/>
    </row>
    <row r="285" spans="1:25">
      <c r="A285" s="417" t="s">
        <v>33</v>
      </c>
      <c r="B285" s="425">
        <v>0</v>
      </c>
      <c r="C285" s="426">
        <v>0.04</v>
      </c>
      <c r="D285" s="426">
        <v>7.0000000000000007E-2</v>
      </c>
      <c r="E285" s="426">
        <v>0.1</v>
      </c>
      <c r="F285" s="426">
        <v>0.21</v>
      </c>
      <c r="G285" s="426">
        <v>0.35</v>
      </c>
      <c r="H285" s="426">
        <v>0.53</v>
      </c>
      <c r="I285" s="426">
        <v>0.82</v>
      </c>
      <c r="J285" s="426">
        <v>1.18</v>
      </c>
      <c r="K285" s="426">
        <v>1.72</v>
      </c>
      <c r="L285" s="426">
        <v>2.15</v>
      </c>
      <c r="M285" s="426">
        <v>2.39</v>
      </c>
      <c r="N285" s="426">
        <v>2.9</v>
      </c>
      <c r="O285" s="426">
        <v>3.07</v>
      </c>
      <c r="P285" s="426">
        <v>3.56</v>
      </c>
      <c r="Q285" s="426">
        <v>3.98</v>
      </c>
      <c r="R285" s="426">
        <v>4.32</v>
      </c>
      <c r="S285" s="426">
        <v>4.4800000000000004</v>
      </c>
      <c r="T285" s="426">
        <v>4.5999999999999996</v>
      </c>
      <c r="U285" s="426">
        <v>4.6500000000000004</v>
      </c>
      <c r="V285" s="426">
        <v>4.8</v>
      </c>
      <c r="W285" s="426">
        <v>4.83</v>
      </c>
      <c r="X285" s="426">
        <v>4.84</v>
      </c>
      <c r="Y285" s="437">
        <v>1000</v>
      </c>
    </row>
    <row r="286" spans="1:25">
      <c r="A286" s="434" t="s">
        <v>34</v>
      </c>
      <c r="B286" s="427">
        <v>0</v>
      </c>
      <c r="C286" s="428">
        <v>394.4</v>
      </c>
      <c r="D286" s="428">
        <v>617.70000000000005</v>
      </c>
      <c r="E286" s="428">
        <v>645.1</v>
      </c>
      <c r="F286" s="428">
        <v>658.2</v>
      </c>
      <c r="G286" s="428">
        <v>669.2</v>
      </c>
      <c r="H286" s="428">
        <v>667.7</v>
      </c>
      <c r="I286" s="428">
        <v>661.6</v>
      </c>
      <c r="J286" s="428">
        <v>626.9</v>
      </c>
      <c r="K286" s="428">
        <v>588.5</v>
      </c>
      <c r="L286" s="428">
        <v>557.70000000000005</v>
      </c>
      <c r="M286" s="428">
        <v>542.29999999999995</v>
      </c>
      <c r="N286" s="428">
        <v>492.9</v>
      </c>
      <c r="O286" s="428">
        <v>470.3</v>
      </c>
      <c r="P286" s="428">
        <v>426.8</v>
      </c>
      <c r="Q286" s="428">
        <v>399</v>
      </c>
      <c r="R286" s="428">
        <v>394</v>
      </c>
      <c r="S286" s="428">
        <v>380.6</v>
      </c>
      <c r="T286" s="428">
        <v>364.2</v>
      </c>
      <c r="U286" s="428">
        <v>290.89999999999998</v>
      </c>
      <c r="V286" s="428">
        <v>91.2</v>
      </c>
      <c r="W286" s="428">
        <v>45.8</v>
      </c>
      <c r="X286" s="428">
        <v>0</v>
      </c>
      <c r="Y286" s="438">
        <v>0</v>
      </c>
    </row>
    <row r="287" spans="1:25" ht="13" thickBot="1">
      <c r="A287" s="435" t="s">
        <v>117</v>
      </c>
      <c r="B287" s="429">
        <f t="shared" ref="B287:V287" si="96">(C286+B286)*(C285-B285)/2</f>
        <v>7.8879999999999999</v>
      </c>
      <c r="C287" s="430">
        <f t="shared" si="96"/>
        <v>15.181500000000003</v>
      </c>
      <c r="D287" s="430">
        <f t="shared" si="96"/>
        <v>18.942000000000004</v>
      </c>
      <c r="E287" s="430">
        <f t="shared" si="96"/>
        <v>71.6815</v>
      </c>
      <c r="F287" s="430">
        <f t="shared" si="96"/>
        <v>92.917999999999992</v>
      </c>
      <c r="G287" s="430">
        <f t="shared" si="96"/>
        <v>120.32100000000004</v>
      </c>
      <c r="H287" s="430">
        <f t="shared" si="96"/>
        <v>192.74849999999998</v>
      </c>
      <c r="I287" s="430">
        <f t="shared" si="96"/>
        <v>231.92999999999998</v>
      </c>
      <c r="J287" s="430">
        <f>(K286+J286)*(K285-J285)/2</f>
        <v>328.15800000000007</v>
      </c>
      <c r="K287" s="430">
        <f t="shared" si="96"/>
        <v>246.43299999999996</v>
      </c>
      <c r="L287" s="430">
        <f t="shared" si="96"/>
        <v>132.00000000000011</v>
      </c>
      <c r="M287" s="430">
        <f t="shared" si="96"/>
        <v>263.97599999999983</v>
      </c>
      <c r="N287" s="430">
        <f t="shared" si="96"/>
        <v>81.871999999999971</v>
      </c>
      <c r="O287" s="430">
        <f t="shared" si="96"/>
        <v>219.78950000000009</v>
      </c>
      <c r="P287" s="430">
        <f t="shared" si="96"/>
        <v>173.41799999999995</v>
      </c>
      <c r="Q287" s="430">
        <f t="shared" si="96"/>
        <v>134.81000000000012</v>
      </c>
      <c r="R287" s="430">
        <f t="shared" si="96"/>
        <v>61.96800000000006</v>
      </c>
      <c r="S287" s="430">
        <f>(T286+S286)*(T285-S285)/2</f>
        <v>44.687999999999704</v>
      </c>
      <c r="T287" s="430">
        <f t="shared" si="96"/>
        <v>16.377500000000232</v>
      </c>
      <c r="U287" s="430">
        <f t="shared" si="96"/>
        <v>28.657499999999896</v>
      </c>
      <c r="V287" s="430">
        <f t="shared" si="96"/>
        <v>2.055000000000017</v>
      </c>
      <c r="W287" s="430">
        <f>(X286+W286)*(X285-W285)/2</f>
        <v>0.2289999999999951</v>
      </c>
      <c r="X287" s="430">
        <f>(Y286+X286)*(Y285-X285)/2</f>
        <v>0</v>
      </c>
      <c r="Y287" s="424"/>
    </row>
    <row r="288" spans="1:25" ht="13" thickBot="1">
      <c r="A288" s="17"/>
      <c r="L288" s="17"/>
      <c r="M288" s="17"/>
      <c r="N288" s="17"/>
      <c r="O288" s="17"/>
      <c r="P288" s="17"/>
      <c r="Q288" s="17"/>
      <c r="R288" s="17"/>
      <c r="S288" s="17"/>
      <c r="T288" s="17"/>
      <c r="U288" s="17"/>
      <c r="V288" s="17"/>
      <c r="W288" s="17"/>
      <c r="X288" s="17"/>
      <c r="Y288" s="17"/>
    </row>
    <row r="289" spans="1:25" ht="13.5" thickBot="1">
      <c r="A289" s="416" t="s">
        <v>558</v>
      </c>
      <c r="B289" s="414">
        <f>ROW(A289)</f>
        <v>289</v>
      </c>
      <c r="C289" s="418" t="s">
        <v>116</v>
      </c>
      <c r="D289" s="408">
        <f>SUM(B292:Y292)</f>
        <v>3739.0284999999994</v>
      </c>
      <c r="E289" s="418" t="s">
        <v>115</v>
      </c>
      <c r="F289" s="409">
        <f>D289/g/J289</f>
        <v>203.4941790441234</v>
      </c>
      <c r="G289" s="418" t="s">
        <v>57</v>
      </c>
      <c r="H289" s="86">
        <v>3.5110000000000001</v>
      </c>
      <c r="I289" s="418" t="s">
        <v>274</v>
      </c>
      <c r="J289" s="410">
        <f>H289-L289</f>
        <v>1.8730000000000002</v>
      </c>
      <c r="K289" s="418" t="s">
        <v>275</v>
      </c>
      <c r="L289" s="86">
        <v>1.6379999999999999</v>
      </c>
      <c r="M289" s="418" t="s">
        <v>58</v>
      </c>
      <c r="N289" s="87">
        <v>243</v>
      </c>
      <c r="O289" s="418" t="s">
        <v>60</v>
      </c>
      <c r="P289" s="87">
        <v>243</v>
      </c>
      <c r="Q289" s="418" t="s">
        <v>61</v>
      </c>
      <c r="R289" s="87">
        <v>486</v>
      </c>
      <c r="S289" s="418" t="s">
        <v>62</v>
      </c>
      <c r="T289" s="87">
        <v>75</v>
      </c>
      <c r="U289" s="418" t="s">
        <v>55</v>
      </c>
      <c r="V289" s="88" t="s">
        <v>119</v>
      </c>
      <c r="W289" s="17"/>
      <c r="X289" s="17"/>
      <c r="Y289" s="17"/>
    </row>
    <row r="290" spans="1:25">
      <c r="A290" s="417" t="s">
        <v>33</v>
      </c>
      <c r="B290" s="425">
        <v>0</v>
      </c>
      <c r="C290" s="426">
        <v>0.01</v>
      </c>
      <c r="D290" s="426">
        <v>0.1</v>
      </c>
      <c r="E290" s="426">
        <v>0.12</v>
      </c>
      <c r="F290" s="426">
        <v>0.26</v>
      </c>
      <c r="G290" s="426">
        <v>0.71</v>
      </c>
      <c r="H290" s="426">
        <v>1.28</v>
      </c>
      <c r="I290" s="426">
        <v>2.0499999999999998</v>
      </c>
      <c r="J290" s="426">
        <v>2.41</v>
      </c>
      <c r="K290" s="426">
        <v>2.83</v>
      </c>
      <c r="L290" s="426">
        <v>3.25</v>
      </c>
      <c r="M290" s="426">
        <v>3.65</v>
      </c>
      <c r="N290" s="426">
        <v>3.8</v>
      </c>
      <c r="O290" s="426">
        <v>4</v>
      </c>
      <c r="P290" s="426">
        <v>4.0999999999999996</v>
      </c>
      <c r="Q290" s="426">
        <v>4.1900000000000004</v>
      </c>
      <c r="R290" s="426">
        <v>4.3099999999999996</v>
      </c>
      <c r="S290" s="426">
        <v>4.41</v>
      </c>
      <c r="T290" s="426">
        <v>4.5199999999999996</v>
      </c>
      <c r="U290" s="426">
        <v>4.5999999999999996</v>
      </c>
      <c r="V290" s="426">
        <v>4.6500000000000004</v>
      </c>
      <c r="W290" s="426">
        <v>4.67</v>
      </c>
      <c r="X290" s="426">
        <v>4.68</v>
      </c>
      <c r="Y290" s="437">
        <v>1000</v>
      </c>
    </row>
    <row r="291" spans="1:25">
      <c r="A291" s="434" t="s">
        <v>34</v>
      </c>
      <c r="B291" s="427">
        <v>27</v>
      </c>
      <c r="C291" s="428">
        <v>402.4</v>
      </c>
      <c r="D291" s="428">
        <v>1286</v>
      </c>
      <c r="E291" s="428">
        <v>1257</v>
      </c>
      <c r="F291" s="428">
        <v>1042</v>
      </c>
      <c r="G291" s="428">
        <v>1027</v>
      </c>
      <c r="H291" s="428">
        <v>998.4</v>
      </c>
      <c r="I291" s="428">
        <v>901.4</v>
      </c>
      <c r="J291" s="428">
        <v>849.6</v>
      </c>
      <c r="K291" s="428">
        <v>763.5</v>
      </c>
      <c r="L291" s="428">
        <v>707.1</v>
      </c>
      <c r="M291" s="428">
        <v>655.1</v>
      </c>
      <c r="N291" s="428">
        <v>651.70000000000005</v>
      </c>
      <c r="O291" s="428">
        <v>624.1</v>
      </c>
      <c r="P291" s="428">
        <v>601.29999999999995</v>
      </c>
      <c r="Q291" s="428">
        <v>536.20000000000005</v>
      </c>
      <c r="R291" s="428">
        <v>415.7</v>
      </c>
      <c r="S291" s="428">
        <v>270.2</v>
      </c>
      <c r="T291" s="428">
        <v>140.19999999999999</v>
      </c>
      <c r="U291" s="428">
        <v>76.900000000000006</v>
      </c>
      <c r="V291" s="428">
        <v>54.9</v>
      </c>
      <c r="W291" s="428">
        <v>40.200000000000003</v>
      </c>
      <c r="X291" s="428">
        <v>0</v>
      </c>
      <c r="Y291" s="438">
        <v>0</v>
      </c>
    </row>
    <row r="292" spans="1:25" ht="13" thickBot="1">
      <c r="A292" s="435" t="s">
        <v>117</v>
      </c>
      <c r="B292" s="429">
        <f t="shared" ref="B292:V292" si="97">(C291+B291)*(C290-B290)/2</f>
        <v>2.1469999999999998</v>
      </c>
      <c r="C292" s="430">
        <f t="shared" si="97"/>
        <v>75.978000000000009</v>
      </c>
      <c r="D292" s="430">
        <f t="shared" si="97"/>
        <v>25.429999999999989</v>
      </c>
      <c r="E292" s="430">
        <f t="shared" si="97"/>
        <v>160.93</v>
      </c>
      <c r="F292" s="430">
        <f t="shared" si="97"/>
        <v>465.52499999999998</v>
      </c>
      <c r="G292" s="430">
        <f t="shared" si="97"/>
        <v>577.23900000000003</v>
      </c>
      <c r="H292" s="430">
        <f t="shared" si="97"/>
        <v>731.42299999999977</v>
      </c>
      <c r="I292" s="430">
        <f t="shared" si="97"/>
        <v>315.18000000000029</v>
      </c>
      <c r="J292" s="430">
        <f>(K291+J291)*(K290-J290)/2</f>
        <v>338.75099999999992</v>
      </c>
      <c r="K292" s="430">
        <f t="shared" si="97"/>
        <v>308.82599999999991</v>
      </c>
      <c r="L292" s="430">
        <f t="shared" si="97"/>
        <v>272.43999999999994</v>
      </c>
      <c r="M292" s="430">
        <f t="shared" si="97"/>
        <v>98.009999999999962</v>
      </c>
      <c r="N292" s="430">
        <f t="shared" si="97"/>
        <v>127.58000000000013</v>
      </c>
      <c r="O292" s="430">
        <f t="shared" si="97"/>
        <v>61.26999999999979</v>
      </c>
      <c r="P292" s="430">
        <f t="shared" si="97"/>
        <v>51.187500000000426</v>
      </c>
      <c r="Q292" s="430">
        <f t="shared" si="97"/>
        <v>57.113999999999635</v>
      </c>
      <c r="R292" s="430">
        <f t="shared" si="97"/>
        <v>34.295000000000179</v>
      </c>
      <c r="S292" s="430">
        <f>(T291+S291)*(T290-S290)/2</f>
        <v>22.571999999999882</v>
      </c>
      <c r="T292" s="430">
        <f t="shared" si="97"/>
        <v>8.6840000000000082</v>
      </c>
      <c r="U292" s="430">
        <f t="shared" si="97"/>
        <v>3.295000000000047</v>
      </c>
      <c r="V292" s="430">
        <f t="shared" si="97"/>
        <v>0.95099999999997964</v>
      </c>
      <c r="W292" s="430">
        <f>(X291+W291)*(X290-W290)/2</f>
        <v>0.20099999999999574</v>
      </c>
      <c r="X292" s="430">
        <f>(Y291+X291)*(Y290-X290)/2</f>
        <v>0</v>
      </c>
      <c r="Y292" s="424"/>
    </row>
    <row r="293" spans="1:25" ht="13" thickBot="1">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spans="1:25" ht="13.5" thickBot="1">
      <c r="A294" s="416" t="s">
        <v>321</v>
      </c>
      <c r="B294" s="414">
        <f>ROW(A294)</f>
        <v>294</v>
      </c>
      <c r="C294" s="418" t="s">
        <v>116</v>
      </c>
      <c r="D294" s="408">
        <f>SUM(B297:Y297)</f>
        <v>5322.2813159999996</v>
      </c>
      <c r="E294" s="418" t="s">
        <v>115</v>
      </c>
      <c r="F294" s="409">
        <f>D294/g/J294</f>
        <v>210.04116210318938</v>
      </c>
      <c r="G294" s="418" t="s">
        <v>57</v>
      </c>
      <c r="H294" s="86">
        <v>4.9770000000000003</v>
      </c>
      <c r="I294" s="418" t="s">
        <v>274</v>
      </c>
      <c r="J294" s="410">
        <f>H294-L294</f>
        <v>2.5830000000000002</v>
      </c>
      <c r="K294" s="418" t="s">
        <v>275</v>
      </c>
      <c r="L294" s="86">
        <v>2.3940000000000001</v>
      </c>
      <c r="M294" s="418" t="s">
        <v>58</v>
      </c>
      <c r="N294" s="87">
        <v>197</v>
      </c>
      <c r="O294" s="418" t="s">
        <v>60</v>
      </c>
      <c r="P294" s="87">
        <v>197</v>
      </c>
      <c r="Q294" s="418" t="s">
        <v>61</v>
      </c>
      <c r="R294" s="87">
        <v>394</v>
      </c>
      <c r="S294" s="418" t="s">
        <v>62</v>
      </c>
      <c r="T294" s="87">
        <v>98</v>
      </c>
      <c r="U294" s="418" t="s">
        <v>55</v>
      </c>
      <c r="V294" s="88" t="s">
        <v>119</v>
      </c>
      <c r="W294" s="17"/>
      <c r="X294" s="17"/>
      <c r="Y294" s="17"/>
    </row>
    <row r="295" spans="1:25">
      <c r="A295" s="417" t="s">
        <v>33</v>
      </c>
      <c r="B295" s="425">
        <v>0</v>
      </c>
      <c r="C295" s="426">
        <v>3.6999999999999998E-2</v>
      </c>
      <c r="D295" s="426">
        <v>0.121</v>
      </c>
      <c r="E295" s="426">
        <v>0.32800000000000001</v>
      </c>
      <c r="F295" s="426">
        <v>1.2989999999999999</v>
      </c>
      <c r="G295" s="426">
        <v>1.5449999999999999</v>
      </c>
      <c r="H295" s="426">
        <v>1.7969999999999999</v>
      </c>
      <c r="I295" s="426">
        <v>1.998</v>
      </c>
      <c r="J295" s="426">
        <v>2.2080000000000002</v>
      </c>
      <c r="K295" s="426">
        <v>2.4620000000000002</v>
      </c>
      <c r="L295" s="426">
        <v>2.782</v>
      </c>
      <c r="M295" s="426">
        <v>3.0859999999999999</v>
      </c>
      <c r="N295" s="426">
        <v>3.2130000000000001</v>
      </c>
      <c r="O295" s="426">
        <v>3.258</v>
      </c>
      <c r="P295" s="426">
        <v>3.3279999999999998</v>
      </c>
      <c r="Q295" s="426">
        <v>3.383</v>
      </c>
      <c r="R295" s="426">
        <v>3.4279999999999999</v>
      </c>
      <c r="S295" s="426">
        <v>3.5</v>
      </c>
      <c r="T295" s="426">
        <v>3.5</v>
      </c>
      <c r="U295" s="426">
        <v>3.5</v>
      </c>
      <c r="V295" s="426">
        <v>3.5</v>
      </c>
      <c r="W295" s="426">
        <v>3.5</v>
      </c>
      <c r="X295" s="426">
        <v>3.5</v>
      </c>
      <c r="Y295" s="437">
        <v>1000</v>
      </c>
    </row>
    <row r="296" spans="1:25">
      <c r="A296" s="434" t="s">
        <v>34</v>
      </c>
      <c r="B296" s="427">
        <v>0</v>
      </c>
      <c r="C296" s="428">
        <v>1474.12</v>
      </c>
      <c r="D296" s="428">
        <v>1436.5</v>
      </c>
      <c r="E296" s="428">
        <v>1523.49</v>
      </c>
      <c r="F296" s="428">
        <v>1775.06</v>
      </c>
      <c r="G296" s="428">
        <v>1807.97</v>
      </c>
      <c r="H296" s="428">
        <v>1807.97</v>
      </c>
      <c r="I296" s="428">
        <v>1786.81</v>
      </c>
      <c r="J296" s="428">
        <v>1737.44</v>
      </c>
      <c r="K296" s="428">
        <v>1572.86</v>
      </c>
      <c r="L296" s="428">
        <v>1415.34</v>
      </c>
      <c r="M296" s="428">
        <v>1309.55</v>
      </c>
      <c r="N296" s="428">
        <v>1290.74</v>
      </c>
      <c r="O296" s="428">
        <v>1309.55</v>
      </c>
      <c r="P296" s="428">
        <v>679.45899999999995</v>
      </c>
      <c r="Q296" s="428">
        <v>173.97900000000001</v>
      </c>
      <c r="R296" s="428">
        <v>68.180999999999997</v>
      </c>
      <c r="S296" s="428">
        <v>0</v>
      </c>
      <c r="T296" s="428">
        <v>0</v>
      </c>
      <c r="U296" s="428">
        <v>0</v>
      </c>
      <c r="V296" s="428">
        <v>0</v>
      </c>
      <c r="W296" s="428">
        <v>0</v>
      </c>
      <c r="X296" s="428">
        <v>0</v>
      </c>
      <c r="Y296" s="438">
        <v>0</v>
      </c>
    </row>
    <row r="297" spans="1:25" ht="13" thickBot="1">
      <c r="A297" s="435" t="s">
        <v>117</v>
      </c>
      <c r="B297" s="429">
        <f t="shared" ref="B297:X297" si="98">(C296+B296)*(C295-B295)/2</f>
        <v>27.271219999999996</v>
      </c>
      <c r="C297" s="430">
        <f t="shared" si="98"/>
        <v>122.24603999999998</v>
      </c>
      <c r="D297" s="430">
        <f t="shared" si="98"/>
        <v>306.35896500000001</v>
      </c>
      <c r="E297" s="430">
        <f t="shared" si="98"/>
        <v>1601.446025</v>
      </c>
      <c r="F297" s="430">
        <f t="shared" si="98"/>
        <v>440.71268999999995</v>
      </c>
      <c r="G297" s="430">
        <f t="shared" si="98"/>
        <v>455.60844000000003</v>
      </c>
      <c r="H297" s="430">
        <f t="shared" si="98"/>
        <v>361.27539000000007</v>
      </c>
      <c r="I297" s="430">
        <f t="shared" si="98"/>
        <v>370.04625000000033</v>
      </c>
      <c r="J297" s="430">
        <f t="shared" si="98"/>
        <v>420.40810000000005</v>
      </c>
      <c r="K297" s="430">
        <f t="shared" si="98"/>
        <v>478.11199999999974</v>
      </c>
      <c r="L297" s="430">
        <f t="shared" si="98"/>
        <v>414.18327999999974</v>
      </c>
      <c r="M297" s="430">
        <f t="shared" si="98"/>
        <v>165.11841500000028</v>
      </c>
      <c r="N297" s="430">
        <f t="shared" si="98"/>
        <v>58.506524999999904</v>
      </c>
      <c r="O297" s="430">
        <f t="shared" si="98"/>
        <v>69.615314999999839</v>
      </c>
      <c r="P297" s="430">
        <f t="shared" si="98"/>
        <v>23.469545000000068</v>
      </c>
      <c r="Q297" s="430">
        <f t="shared" si="98"/>
        <v>5.4485999999999919</v>
      </c>
      <c r="R297" s="430">
        <f t="shared" si="98"/>
        <v>2.4545160000000021</v>
      </c>
      <c r="S297" s="430">
        <f t="shared" si="98"/>
        <v>0</v>
      </c>
      <c r="T297" s="430">
        <f t="shared" si="98"/>
        <v>0</v>
      </c>
      <c r="U297" s="430">
        <f t="shared" si="98"/>
        <v>0</v>
      </c>
      <c r="V297" s="430">
        <f t="shared" si="98"/>
        <v>0</v>
      </c>
      <c r="W297" s="430">
        <f t="shared" si="98"/>
        <v>0</v>
      </c>
      <c r="X297" s="430">
        <f t="shared" si="98"/>
        <v>0</v>
      </c>
      <c r="Y297" s="424"/>
    </row>
    <row r="298" spans="1:25" ht="13" thickBot="1">
      <c r="A298" s="17"/>
      <c r="L298" s="17"/>
      <c r="M298" s="17"/>
      <c r="N298" s="17"/>
      <c r="O298" s="17"/>
      <c r="P298" s="17"/>
      <c r="Q298" s="17"/>
      <c r="R298" s="17"/>
      <c r="S298" s="17"/>
      <c r="T298" s="17"/>
      <c r="U298" s="17"/>
      <c r="V298" s="17"/>
      <c r="W298" s="17"/>
      <c r="X298" s="17"/>
      <c r="Y298" s="17"/>
    </row>
    <row r="299" spans="1:25" ht="13.5" thickBot="1">
      <c r="A299" s="416" t="s">
        <v>322</v>
      </c>
      <c r="B299" s="414">
        <f>ROW(A299)</f>
        <v>299</v>
      </c>
      <c r="C299" s="418" t="s">
        <v>116</v>
      </c>
      <c r="D299" s="408">
        <f>SUM(B302:Y302)</f>
        <v>7412.4371409999985</v>
      </c>
      <c r="E299" s="418" t="s">
        <v>115</v>
      </c>
      <c r="F299" s="409">
        <f>D299/g/J299</f>
        <v>223.28608637999045</v>
      </c>
      <c r="G299" s="418" t="s">
        <v>57</v>
      </c>
      <c r="H299" s="86">
        <v>6.25</v>
      </c>
      <c r="I299" s="418" t="s">
        <v>274</v>
      </c>
      <c r="J299" s="410">
        <f>H299-L299</f>
        <v>3.3839999999999999</v>
      </c>
      <c r="K299" s="418" t="s">
        <v>275</v>
      </c>
      <c r="L299" s="86">
        <v>2.8660000000000001</v>
      </c>
      <c r="M299" s="418" t="s">
        <v>58</v>
      </c>
      <c r="N299" s="87">
        <v>290</v>
      </c>
      <c r="O299" s="418" t="s">
        <v>60</v>
      </c>
      <c r="P299" s="87">
        <v>290</v>
      </c>
      <c r="Q299" s="418" t="s">
        <v>61</v>
      </c>
      <c r="R299" s="87">
        <v>579</v>
      </c>
      <c r="S299" s="418" t="s">
        <v>62</v>
      </c>
      <c r="T299" s="87">
        <v>98</v>
      </c>
      <c r="U299" s="418" t="s">
        <v>55</v>
      </c>
      <c r="V299" s="88" t="s">
        <v>119</v>
      </c>
      <c r="W299" s="17"/>
      <c r="X299" s="17"/>
      <c r="Y299" s="17"/>
    </row>
    <row r="300" spans="1:25">
      <c r="A300" s="417" t="s">
        <v>33</v>
      </c>
      <c r="B300" s="425">
        <v>0</v>
      </c>
      <c r="C300" s="426">
        <v>1.7000000000000001E-2</v>
      </c>
      <c r="D300" s="426">
        <v>5.1999999999999998E-2</v>
      </c>
      <c r="E300" s="426">
        <v>8.7999999999999995E-2</v>
      </c>
      <c r="F300" s="426">
        <v>0.108</v>
      </c>
      <c r="G300" s="426">
        <v>0.127</v>
      </c>
      <c r="H300" s="426">
        <v>0.17399999999999999</v>
      </c>
      <c r="I300" s="426">
        <v>0.25700000000000001</v>
      </c>
      <c r="J300" s="426">
        <v>0.40300000000000002</v>
      </c>
      <c r="K300" s="426">
        <v>0.76200000000000001</v>
      </c>
      <c r="L300" s="426">
        <v>0.97699999999999998</v>
      </c>
      <c r="M300" s="426">
        <v>1.341</v>
      </c>
      <c r="N300" s="426">
        <v>1.5009999999999999</v>
      </c>
      <c r="O300" s="426">
        <v>1.661</v>
      </c>
      <c r="P300" s="426">
        <v>1.96</v>
      </c>
      <c r="Q300" s="426">
        <v>2.4039999999999999</v>
      </c>
      <c r="R300" s="426">
        <v>2.641</v>
      </c>
      <c r="S300" s="426">
        <v>2.7160000000000002</v>
      </c>
      <c r="T300" s="426">
        <v>2.8210000000000002</v>
      </c>
      <c r="U300" s="426">
        <v>2.8919999999999999</v>
      </c>
      <c r="V300" s="426">
        <v>2.92</v>
      </c>
      <c r="W300" s="426">
        <v>2.97</v>
      </c>
      <c r="X300" s="426">
        <v>3</v>
      </c>
      <c r="Y300" s="437">
        <v>1000</v>
      </c>
    </row>
    <row r="301" spans="1:25">
      <c r="A301" s="434" t="s">
        <v>34</v>
      </c>
      <c r="B301" s="427">
        <v>0</v>
      </c>
      <c r="C301" s="428">
        <v>329.84699999999998</v>
      </c>
      <c r="D301" s="428">
        <v>1003.68</v>
      </c>
      <c r="E301" s="428">
        <v>2346.62</v>
      </c>
      <c r="F301" s="428">
        <v>2549.2399999999998</v>
      </c>
      <c r="G301" s="428">
        <v>2605.79</v>
      </c>
      <c r="H301" s="428">
        <v>2520.9699999999998</v>
      </c>
      <c r="I301" s="428">
        <v>2516.2600000000002</v>
      </c>
      <c r="J301" s="428">
        <v>2596.37</v>
      </c>
      <c r="K301" s="428">
        <v>2808.41</v>
      </c>
      <c r="L301" s="428">
        <v>2954.49</v>
      </c>
      <c r="M301" s="428">
        <v>2959.2</v>
      </c>
      <c r="N301" s="428">
        <v>2907.36</v>
      </c>
      <c r="O301" s="428">
        <v>2869.67</v>
      </c>
      <c r="P301" s="428">
        <v>2695.32</v>
      </c>
      <c r="Q301" s="428">
        <v>2351.34</v>
      </c>
      <c r="R301" s="428">
        <v>2228.8200000000002</v>
      </c>
      <c r="S301" s="428">
        <v>2007.35</v>
      </c>
      <c r="T301" s="428">
        <v>1427.77</v>
      </c>
      <c r="U301" s="428">
        <v>504.19400000000002</v>
      </c>
      <c r="V301" s="428">
        <v>334.55900000000003</v>
      </c>
      <c r="W301" s="428">
        <v>122.515</v>
      </c>
      <c r="X301" s="428">
        <v>0</v>
      </c>
      <c r="Y301" s="438">
        <v>0</v>
      </c>
    </row>
    <row r="302" spans="1:25" ht="13" thickBot="1">
      <c r="A302" s="435" t="s">
        <v>117</v>
      </c>
      <c r="B302" s="429">
        <f t="shared" ref="B302:X302" si="99">(C301+B301)*(C300-B300)/2</f>
        <v>2.8036995</v>
      </c>
      <c r="C302" s="430">
        <f t="shared" si="99"/>
        <v>23.336722499999997</v>
      </c>
      <c r="D302" s="430">
        <f t="shared" si="99"/>
        <v>60.305399999999992</v>
      </c>
      <c r="E302" s="430">
        <f t="shared" si="99"/>
        <v>48.958600000000004</v>
      </c>
      <c r="F302" s="430">
        <f t="shared" si="99"/>
        <v>48.972785000000002</v>
      </c>
      <c r="G302" s="430">
        <f t="shared" si="99"/>
        <v>120.47885999999997</v>
      </c>
      <c r="H302" s="430">
        <f t="shared" si="99"/>
        <v>209.04504500000002</v>
      </c>
      <c r="I302" s="430">
        <f t="shared" si="99"/>
        <v>373.22199000000006</v>
      </c>
      <c r="J302" s="430">
        <f t="shared" si="99"/>
        <v>970.15800999999988</v>
      </c>
      <c r="K302" s="430">
        <f t="shared" si="99"/>
        <v>619.51174999999989</v>
      </c>
      <c r="L302" s="430">
        <f t="shared" si="99"/>
        <v>1076.2915799999998</v>
      </c>
      <c r="M302" s="430">
        <f t="shared" si="99"/>
        <v>469.3247999999997</v>
      </c>
      <c r="N302" s="430">
        <f t="shared" si="99"/>
        <v>462.16240000000045</v>
      </c>
      <c r="O302" s="430">
        <f t="shared" si="99"/>
        <v>831.96600499999977</v>
      </c>
      <c r="P302" s="430">
        <f t="shared" si="99"/>
        <v>1120.3585199999998</v>
      </c>
      <c r="Q302" s="430">
        <f t="shared" si="99"/>
        <v>542.74896000000024</v>
      </c>
      <c r="R302" s="430">
        <f t="shared" si="99"/>
        <v>158.85637500000038</v>
      </c>
      <c r="S302" s="430">
        <f t="shared" si="99"/>
        <v>180.34379999999996</v>
      </c>
      <c r="T302" s="430">
        <f t="shared" si="99"/>
        <v>68.584721999999744</v>
      </c>
      <c r="U302" s="430">
        <f t="shared" si="99"/>
        <v>11.742542000000011</v>
      </c>
      <c r="V302" s="430">
        <f t="shared" si="99"/>
        <v>11.42685000000006</v>
      </c>
      <c r="W302" s="430">
        <f t="shared" si="99"/>
        <v>1.8377249999999881</v>
      </c>
      <c r="X302" s="430">
        <f t="shared" si="99"/>
        <v>0</v>
      </c>
      <c r="Y302" s="424"/>
    </row>
    <row r="303" spans="1:25" ht="13" thickBot="1">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row>
    <row r="304" spans="1:25" ht="13.5" thickBot="1">
      <c r="A304" s="416" t="s">
        <v>559</v>
      </c>
      <c r="B304" s="414">
        <f>ROW(A304)</f>
        <v>304</v>
      </c>
      <c r="C304" s="418" t="s">
        <v>116</v>
      </c>
      <c r="D304" s="408">
        <f>SUM(B307:Y307)</f>
        <v>17734.977350500001</v>
      </c>
      <c r="E304" s="418" t="s">
        <v>115</v>
      </c>
      <c r="F304" s="409">
        <f>D304/g/J304</f>
        <v>192.73420306179892</v>
      </c>
      <c r="G304" s="418" t="s">
        <v>57</v>
      </c>
      <c r="H304" s="86">
        <v>14.747999999999999</v>
      </c>
      <c r="I304" s="418" t="s">
        <v>274</v>
      </c>
      <c r="J304" s="410">
        <f>H304-L304</f>
        <v>9.379999999999999</v>
      </c>
      <c r="K304" s="418" t="s">
        <v>275</v>
      </c>
      <c r="L304" s="86">
        <v>5.3680000000000003</v>
      </c>
      <c r="M304" s="418" t="s">
        <v>58</v>
      </c>
      <c r="N304" s="87">
        <v>500</v>
      </c>
      <c r="O304" s="418" t="s">
        <v>60</v>
      </c>
      <c r="P304" s="87">
        <v>500</v>
      </c>
      <c r="Q304" s="418" t="s">
        <v>61</v>
      </c>
      <c r="R304" s="87">
        <v>1046</v>
      </c>
      <c r="S304" s="418" t="s">
        <v>62</v>
      </c>
      <c r="T304" s="87">
        <v>98</v>
      </c>
      <c r="U304" s="418" t="s">
        <v>55</v>
      </c>
      <c r="V304" s="88" t="s">
        <v>119</v>
      </c>
      <c r="W304" s="17"/>
      <c r="X304" s="17"/>
      <c r="Y304" s="17"/>
    </row>
    <row r="305" spans="1:25">
      <c r="A305" s="417" t="s">
        <v>33</v>
      </c>
      <c r="B305" s="425">
        <v>0</v>
      </c>
      <c r="C305" s="426">
        <v>3.0000000000000001E-3</v>
      </c>
      <c r="D305" s="426">
        <v>0.05</v>
      </c>
      <c r="E305" s="426">
        <v>7.8E-2</v>
      </c>
      <c r="F305" s="426">
        <v>0.121</v>
      </c>
      <c r="G305" s="426">
        <v>0.65200000000000002</v>
      </c>
      <c r="H305" s="426">
        <v>1.123</v>
      </c>
      <c r="I305" s="426">
        <v>1.655</v>
      </c>
      <c r="J305" s="426">
        <v>2.3530000000000002</v>
      </c>
      <c r="K305" s="426">
        <v>3.0350000000000001</v>
      </c>
      <c r="L305" s="426">
        <v>3.7</v>
      </c>
      <c r="M305" s="426">
        <v>3.7330000000000001</v>
      </c>
      <c r="N305" s="426">
        <v>3.887</v>
      </c>
      <c r="O305" s="426">
        <v>4.0359999999999996</v>
      </c>
      <c r="P305" s="426">
        <v>4.1970000000000001</v>
      </c>
      <c r="Q305" s="426">
        <v>4.2619999999999996</v>
      </c>
      <c r="R305" s="426">
        <v>4.3</v>
      </c>
      <c r="S305" s="426">
        <v>5</v>
      </c>
      <c r="T305" s="426">
        <v>5</v>
      </c>
      <c r="U305" s="426">
        <v>5</v>
      </c>
      <c r="V305" s="426">
        <v>5</v>
      </c>
      <c r="W305" s="426">
        <v>5</v>
      </c>
      <c r="X305" s="426">
        <v>5</v>
      </c>
      <c r="Y305" s="437">
        <v>1000</v>
      </c>
    </row>
    <row r="306" spans="1:25">
      <c r="A306" s="434" t="s">
        <v>34</v>
      </c>
      <c r="B306" s="427">
        <v>0</v>
      </c>
      <c r="C306" s="428">
        <v>203.87700000000001</v>
      </c>
      <c r="D306" s="428">
        <v>2362.8789999999999</v>
      </c>
      <c r="E306" s="428">
        <v>3946.8449999999998</v>
      </c>
      <c r="F306" s="428">
        <v>4281.4120000000003</v>
      </c>
      <c r="G306" s="428">
        <v>4370.2809999999999</v>
      </c>
      <c r="H306" s="428">
        <v>4453.9229999999998</v>
      </c>
      <c r="I306" s="428">
        <v>4772.8069999999998</v>
      </c>
      <c r="J306" s="428">
        <v>4621.2060000000001</v>
      </c>
      <c r="K306" s="428">
        <v>4511.4269999999997</v>
      </c>
      <c r="L306" s="428">
        <v>4375.509</v>
      </c>
      <c r="M306" s="428">
        <v>4182.0870000000004</v>
      </c>
      <c r="N306" s="428">
        <v>2969.2820000000002</v>
      </c>
      <c r="O306" s="428">
        <v>1589.193</v>
      </c>
      <c r="P306" s="428">
        <v>533.21600000000001</v>
      </c>
      <c r="Q306" s="428">
        <v>240.47</v>
      </c>
      <c r="R306" s="428">
        <v>0</v>
      </c>
      <c r="S306" s="428">
        <v>0</v>
      </c>
      <c r="T306" s="428">
        <v>0</v>
      </c>
      <c r="U306" s="428">
        <v>0</v>
      </c>
      <c r="V306" s="428">
        <v>0</v>
      </c>
      <c r="W306" s="428">
        <v>0</v>
      </c>
      <c r="X306" s="428">
        <v>0</v>
      </c>
      <c r="Y306" s="438">
        <v>0</v>
      </c>
    </row>
    <row r="307" spans="1:25" ht="13" thickBot="1">
      <c r="A307" s="435" t="s">
        <v>117</v>
      </c>
      <c r="B307" s="429">
        <f t="shared" ref="B307" si="100">(C306+B306)*(C305-B305)/2</f>
        <v>0.30581550000000002</v>
      </c>
      <c r="C307" s="430">
        <f t="shared" ref="C307" si="101">(D306+C306)*(D305-C305)/2</f>
        <v>60.318765999999997</v>
      </c>
      <c r="D307" s="430">
        <f t="shared" ref="D307" si="102">(E306+D306)*(E305-D305)/2</f>
        <v>88.336135999999996</v>
      </c>
      <c r="E307" s="430">
        <f t="shared" ref="E307" si="103">(F306+E306)*(F305-E305)/2</f>
        <v>176.90752549999999</v>
      </c>
      <c r="F307" s="430">
        <f t="shared" ref="F307" si="104">(G306+F306)*(G305-F305)/2</f>
        <v>2297.0244914999998</v>
      </c>
      <c r="G307" s="430">
        <f t="shared" ref="G307" si="105">(H306+G306)*(H305-G305)/2</f>
        <v>2078.100042</v>
      </c>
      <c r="H307" s="430">
        <f t="shared" ref="H307" si="106">(I306+H306)*(I305-H305)/2</f>
        <v>2454.3101799999999</v>
      </c>
      <c r="I307" s="430">
        <f t="shared" ref="I307" si="107">(J306+I306)*(J305-I305)/2</f>
        <v>3278.5105370000006</v>
      </c>
      <c r="J307" s="430">
        <f t="shared" ref="J307" si="108">(K306+J306)*(K305-J305)/2</f>
        <v>3114.2278529999999</v>
      </c>
      <c r="K307" s="430">
        <f t="shared" ref="K307" si="109">(L306+K306)*(L305-K305)/2</f>
        <v>2954.9062199999998</v>
      </c>
      <c r="L307" s="430">
        <f t="shared" ref="L307" si="110">(M306+L306)*(M305-L305)/2</f>
        <v>141.20033399999969</v>
      </c>
      <c r="M307" s="430">
        <f t="shared" ref="M307" si="111">(N306+M306)*(N305-M305)/2</f>
        <v>550.65541299999973</v>
      </c>
      <c r="N307" s="430">
        <f t="shared" ref="N307" si="112">(O306+N306)*(O305-N305)/2</f>
        <v>339.60638749999907</v>
      </c>
      <c r="O307" s="430">
        <f t="shared" ref="O307" si="113">(P306+O306)*(P305-O305)/2</f>
        <v>170.85392450000052</v>
      </c>
      <c r="P307" s="430">
        <f t="shared" ref="P307" si="114">(Q306+P306)*(Q305-P305)/2</f>
        <v>25.14479499999981</v>
      </c>
      <c r="Q307" s="430">
        <f t="shared" ref="Q307" si="115">(R306+Q306)*(R305-Q305)/2</f>
        <v>4.568930000000031</v>
      </c>
      <c r="R307" s="430">
        <f t="shared" ref="R307" si="116">(S306+R306)*(S305-R305)/2</f>
        <v>0</v>
      </c>
      <c r="S307" s="430">
        <f t="shared" ref="S307" si="117">(T306+S306)*(T305-S305)/2</f>
        <v>0</v>
      </c>
      <c r="T307" s="430">
        <f t="shared" ref="T307" si="118">(U306+T306)*(U305-T305)/2</f>
        <v>0</v>
      </c>
      <c r="U307" s="430">
        <f t="shared" ref="U307" si="119">(V306+U306)*(V305-U305)/2</f>
        <v>0</v>
      </c>
      <c r="V307" s="430">
        <f t="shared" ref="V307" si="120">(W306+V306)*(W305-V305)/2</f>
        <v>0</v>
      </c>
      <c r="W307" s="430">
        <f t="shared" ref="W307" si="121">(X306+W306)*(X305-W305)/2</f>
        <v>0</v>
      </c>
      <c r="X307" s="430">
        <f t="shared" ref="X307" si="122">(Y306+X306)*(Y305-X305)/2</f>
        <v>0</v>
      </c>
      <c r="Y307" s="424"/>
    </row>
    <row r="308" spans="1:25" ht="13" thickBot="1">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row>
    <row r="309" spans="1:25" ht="13.5" thickBot="1">
      <c r="A309" s="416" t="s">
        <v>45</v>
      </c>
      <c r="B309" s="414">
        <f>ROW(A309)</f>
        <v>309</v>
      </c>
      <c r="C309" s="418" t="s">
        <v>116</v>
      </c>
      <c r="D309" s="408">
        <f>SUM(B312:Y312)</f>
        <v>1E-3</v>
      </c>
      <c r="E309" s="418" t="s">
        <v>115</v>
      </c>
      <c r="F309" s="409">
        <f>D309/g/J309</f>
        <v>1.019367991845056</v>
      </c>
      <c r="G309" s="418" t="s">
        <v>57</v>
      </c>
      <c r="H309" s="86">
        <v>1E-4</v>
      </c>
      <c r="I309" s="418" t="s">
        <v>274</v>
      </c>
      <c r="J309" s="410">
        <f>H309-L309</f>
        <v>1E-4</v>
      </c>
      <c r="K309" s="418" t="s">
        <v>275</v>
      </c>
      <c r="L309" s="86">
        <v>0</v>
      </c>
      <c r="M309" s="418" t="s">
        <v>58</v>
      </c>
      <c r="N309" s="87">
        <v>0</v>
      </c>
      <c r="O309" s="418" t="s">
        <v>60</v>
      </c>
      <c r="P309" s="87">
        <v>0</v>
      </c>
      <c r="Q309" s="418" t="s">
        <v>61</v>
      </c>
      <c r="R309" s="87">
        <v>0</v>
      </c>
      <c r="S309" s="418" t="s">
        <v>62</v>
      </c>
      <c r="T309" s="87">
        <v>0</v>
      </c>
      <c r="U309" s="418" t="s">
        <v>55</v>
      </c>
      <c r="V309" s="88" t="s">
        <v>119</v>
      </c>
      <c r="W309" s="17"/>
      <c r="X309" s="17"/>
      <c r="Y309" s="17"/>
    </row>
    <row r="310" spans="1:25">
      <c r="A310" s="417" t="s">
        <v>33</v>
      </c>
      <c r="B310" s="425">
        <v>0</v>
      </c>
      <c r="C310" s="426">
        <v>0.1</v>
      </c>
      <c r="D310" s="426">
        <v>0.2</v>
      </c>
      <c r="E310" s="426">
        <v>1</v>
      </c>
      <c r="F310" s="426">
        <v>1</v>
      </c>
      <c r="G310" s="426">
        <v>1</v>
      </c>
      <c r="H310" s="426">
        <v>1</v>
      </c>
      <c r="I310" s="426">
        <v>1</v>
      </c>
      <c r="J310" s="426">
        <v>1</v>
      </c>
      <c r="K310" s="426">
        <v>1</v>
      </c>
      <c r="L310" s="426">
        <v>1</v>
      </c>
      <c r="M310" s="426">
        <v>1</v>
      </c>
      <c r="N310" s="426">
        <v>1</v>
      </c>
      <c r="O310" s="426">
        <v>1</v>
      </c>
      <c r="P310" s="426">
        <v>1</v>
      </c>
      <c r="Q310" s="426">
        <v>1</v>
      </c>
      <c r="R310" s="426">
        <v>1</v>
      </c>
      <c r="S310" s="426">
        <v>1</v>
      </c>
      <c r="T310" s="426">
        <v>1</v>
      </c>
      <c r="U310" s="426">
        <v>1</v>
      </c>
      <c r="V310" s="426">
        <v>1</v>
      </c>
      <c r="W310" s="426">
        <v>1</v>
      </c>
      <c r="X310" s="426">
        <v>1</v>
      </c>
      <c r="Y310" s="437">
        <v>1000</v>
      </c>
    </row>
    <row r="311" spans="1:25">
      <c r="A311" s="434" t="s">
        <v>34</v>
      </c>
      <c r="B311" s="427">
        <v>0</v>
      </c>
      <c r="C311" s="428">
        <v>0.01</v>
      </c>
      <c r="D311" s="428">
        <v>0</v>
      </c>
      <c r="E311" s="428">
        <v>0</v>
      </c>
      <c r="F311" s="428">
        <v>0</v>
      </c>
      <c r="G311" s="428">
        <v>0</v>
      </c>
      <c r="H311" s="428">
        <v>0</v>
      </c>
      <c r="I311" s="428">
        <v>0</v>
      </c>
      <c r="J311" s="428">
        <v>0</v>
      </c>
      <c r="K311" s="428">
        <v>0</v>
      </c>
      <c r="L311" s="428">
        <v>0</v>
      </c>
      <c r="M311" s="428">
        <v>0</v>
      </c>
      <c r="N311" s="428">
        <v>0</v>
      </c>
      <c r="O311" s="428">
        <v>0</v>
      </c>
      <c r="P311" s="428">
        <v>0</v>
      </c>
      <c r="Q311" s="428">
        <v>0</v>
      </c>
      <c r="R311" s="428">
        <v>0</v>
      </c>
      <c r="S311" s="428">
        <v>0</v>
      </c>
      <c r="T311" s="428">
        <v>0</v>
      </c>
      <c r="U311" s="428">
        <v>0</v>
      </c>
      <c r="V311" s="428">
        <v>0</v>
      </c>
      <c r="W311" s="428">
        <v>0</v>
      </c>
      <c r="X311" s="428">
        <v>0</v>
      </c>
      <c r="Y311" s="438">
        <v>0</v>
      </c>
    </row>
    <row r="312" spans="1:25" ht="13" thickBot="1">
      <c r="A312" s="435" t="s">
        <v>117</v>
      </c>
      <c r="B312" s="429">
        <f t="shared" ref="B312:G312" si="123">(C311+B311)*(C310-B310)/2</f>
        <v>5.0000000000000001E-4</v>
      </c>
      <c r="C312" s="430">
        <f t="shared" si="123"/>
        <v>5.0000000000000001E-4</v>
      </c>
      <c r="D312" s="430">
        <f t="shared" si="123"/>
        <v>0</v>
      </c>
      <c r="E312" s="430">
        <f t="shared" si="123"/>
        <v>0</v>
      </c>
      <c r="F312" s="430">
        <f t="shared" si="123"/>
        <v>0</v>
      </c>
      <c r="G312" s="430">
        <f t="shared" si="123"/>
        <v>0</v>
      </c>
      <c r="H312" s="430">
        <f t="shared" ref="H312:V312" si="124">(I311+H311)*(I310-H310)/2</f>
        <v>0</v>
      </c>
      <c r="I312" s="430">
        <f t="shared" si="124"/>
        <v>0</v>
      </c>
      <c r="J312" s="430">
        <f>(K311+J311)*(K310-J310)/2</f>
        <v>0</v>
      </c>
      <c r="K312" s="430">
        <f t="shared" si="124"/>
        <v>0</v>
      </c>
      <c r="L312" s="430">
        <f t="shared" si="124"/>
        <v>0</v>
      </c>
      <c r="M312" s="430">
        <f t="shared" si="124"/>
        <v>0</v>
      </c>
      <c r="N312" s="430">
        <f t="shared" si="124"/>
        <v>0</v>
      </c>
      <c r="O312" s="430">
        <f t="shared" si="124"/>
        <v>0</v>
      </c>
      <c r="P312" s="430">
        <f t="shared" si="124"/>
        <v>0</v>
      </c>
      <c r="Q312" s="430">
        <f t="shared" si="124"/>
        <v>0</v>
      </c>
      <c r="R312" s="430">
        <f t="shared" si="124"/>
        <v>0</v>
      </c>
      <c r="S312" s="430">
        <f>(T311+S311)*(T310-S310)/2</f>
        <v>0</v>
      </c>
      <c r="T312" s="430">
        <f t="shared" si="124"/>
        <v>0</v>
      </c>
      <c r="U312" s="430">
        <f t="shared" si="124"/>
        <v>0</v>
      </c>
      <c r="V312" s="430">
        <f t="shared" si="124"/>
        <v>0</v>
      </c>
      <c r="W312" s="430">
        <f>(X311+W311)*(X310-W310)/2</f>
        <v>0</v>
      </c>
      <c r="X312" s="430">
        <f>(Y311+X311)*(Y310-X310)/2</f>
        <v>0</v>
      </c>
      <c r="Y312" s="424"/>
    </row>
    <row r="314" spans="1:25">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row>
    <row r="316" spans="1:25">
      <c r="A316" s="458" t="str">
        <f>IF(Lang="Français","Liste des propu affichés :","Motor list (shown):")</f>
        <v>Liste des propu affichés :</v>
      </c>
      <c r="C316" s="756" t="s">
        <v>279</v>
      </c>
      <c r="D316" s="755"/>
      <c r="F316" s="756" t="s">
        <v>184</v>
      </c>
      <c r="G316" s="755"/>
      <c r="H316" s="555"/>
      <c r="I316" s="754" t="s">
        <v>401</v>
      </c>
      <c r="J316" s="755"/>
      <c r="K316" s="555"/>
      <c r="L316" s="756" t="s">
        <v>185</v>
      </c>
      <c r="M316" s="755"/>
      <c r="O316" s="754" t="s">
        <v>400</v>
      </c>
      <c r="P316" s="755"/>
      <c r="R316" s="756" t="s">
        <v>119</v>
      </c>
      <c r="S316" s="755"/>
    </row>
    <row r="317" spans="1:25">
      <c r="A317" s="459" t="str">
        <f t="array" ref="A317:A346">IF(RIGHT(Type_fusee,1)=".",Liste_fusex, IF(LEFT(Type_fusee,4)="Mini",Liste_minif, IF(LEFT(Type_fusee,5)="Micro",Liste_µfu, IF(RIGHT(Type_fusee,1)=" ",Liste_H2O, IF(LEFT(Type_fusee,1)="R",Liste_RC, IF(LEFT(Type_fusee,1)=",",Liste_minifT))))))</f>
        <v>p29-1G 56F31</v>
      </c>
      <c r="C317" s="747" t="str">
        <f>A26</f>
        <v>H2O 1.5L 300g 6bar</v>
      </c>
      <c r="D317" s="748"/>
      <c r="F317" s="747" t="str">
        <f>A67</f>
        <v>µ-propu A8-3</v>
      </c>
      <c r="G317" s="748"/>
      <c r="H317" s="558"/>
      <c r="I317" s="745" t="str">
        <f>A148</f>
        <v>p29-1G 56F31</v>
      </c>
      <c r="J317" s="746"/>
      <c r="K317" s="558"/>
      <c r="L317" s="745" t="str">
        <f>A148</f>
        <v>p29-1G 56F31</v>
      </c>
      <c r="M317" s="746"/>
      <c r="O317" s="747" t="str">
        <f>A108</f>
        <v>p24-1G 24E22</v>
      </c>
      <c r="P317" s="748"/>
      <c r="R317" s="747" t="str">
        <f>A279</f>
        <v>Barasinga (Pro54-5G C)</v>
      </c>
      <c r="S317" s="748"/>
    </row>
    <row r="318" spans="1:25">
      <c r="A318" s="459" t="str">
        <v>p29-1G 56F120</v>
      </c>
      <c r="C318" s="747" t="str">
        <f>A31</f>
        <v>H2O 1.5L 450g 6bar</v>
      </c>
      <c r="D318" s="748"/>
      <c r="F318" s="747" t="str">
        <f>A72</f>
        <v>µ-propu B4-4</v>
      </c>
      <c r="G318" s="748"/>
      <c r="H318" s="558"/>
      <c r="I318" s="745" t="str">
        <f>A153</f>
        <v>p29-1G 56F120</v>
      </c>
      <c r="J318" s="746"/>
      <c r="K318" s="558"/>
      <c r="L318" s="745" t="str">
        <f>A153</f>
        <v>p29-1G 56F120</v>
      </c>
      <c r="M318" s="746"/>
      <c r="O318" s="747" t="str">
        <f>A113</f>
        <v>p24-1G 25E75 (Rufina)</v>
      </c>
      <c r="P318" s="748"/>
      <c r="R318" s="747" t="str">
        <f>A289</f>
        <v>Orignal (Pro75-3G C)</v>
      </c>
      <c r="S318" s="748"/>
    </row>
    <row r="319" spans="1:25">
      <c r="A319" s="459" t="str">
        <v>p29-1G 57F59</v>
      </c>
      <c r="C319" s="747" t="str">
        <f>A36</f>
        <v>H2O 1.5L 600g 6bar</v>
      </c>
      <c r="D319" s="748"/>
      <c r="F319" s="747" t="str">
        <f>A77</f>
        <v>µ-propu C6-3</v>
      </c>
      <c r="G319" s="748"/>
      <c r="H319" s="558"/>
      <c r="I319" s="745" t="str">
        <f>A158</f>
        <v>p29-1G 57F59</v>
      </c>
      <c r="J319" s="746"/>
      <c r="K319" s="558"/>
      <c r="L319" s="745" t="str">
        <f>A158</f>
        <v>p29-1G 57F59</v>
      </c>
      <c r="M319" s="746"/>
      <c r="O319" s="747" t="str">
        <f>A118</f>
        <v>p24-1G 26E31</v>
      </c>
      <c r="P319" s="748"/>
      <c r="R319" s="747" t="s">
        <v>186</v>
      </c>
      <c r="S319" s="748"/>
    </row>
    <row r="320" spans="1:25">
      <c r="A320" s="459" t="str">
        <v>p29-2G 116G126</v>
      </c>
      <c r="C320" s="747" t="str">
        <f>A41</f>
        <v>H2O 1.5L 750g 6bar</v>
      </c>
      <c r="D320" s="748"/>
      <c r="F320" s="747" t="str">
        <f>A82</f>
        <v>µ-propu C6-3 x2</v>
      </c>
      <c r="G320" s="748"/>
      <c r="H320" s="558"/>
      <c r="I320" s="745" t="str">
        <f>A183</f>
        <v>p24-3G 74F85</v>
      </c>
      <c r="J320" s="746"/>
      <c r="K320" s="558"/>
      <c r="L320" s="745" t="str">
        <f>A228</f>
        <v>p29-2G 116G126</v>
      </c>
      <c r="M320" s="746"/>
      <c r="O320" s="747" t="str">
        <f>A123</f>
        <v>p24-2G 50E51</v>
      </c>
      <c r="P320" s="748"/>
      <c r="R320" s="747" t="s">
        <v>186</v>
      </c>
      <c r="S320" s="748"/>
    </row>
    <row r="321" spans="1:19">
      <c r="A321" s="459" t="str">
        <v xml:space="preserve"> </v>
      </c>
      <c r="C321" s="747" t="str">
        <f>A46</f>
        <v>H2O 2.0L 400g 6bar</v>
      </c>
      <c r="D321" s="748"/>
      <c r="F321" s="747" t="str">
        <f>A87</f>
        <v>µ-propu C6-3 x3</v>
      </c>
      <c r="G321" s="748"/>
      <c r="H321" s="558"/>
      <c r="I321" s="745" t="str">
        <f>A188</f>
        <v>p24-3G 75F51</v>
      </c>
      <c r="J321" s="746"/>
      <c r="K321" s="558"/>
      <c r="L321" s="745" t="s">
        <v>186</v>
      </c>
      <c r="M321" s="746"/>
      <c r="O321" s="747" t="str">
        <f>A128</f>
        <v>p24-1G 53E70</v>
      </c>
      <c r="P321" s="748"/>
      <c r="R321" s="747" t="s">
        <v>186</v>
      </c>
      <c r="S321" s="748"/>
    </row>
    <row r="322" spans="1:19">
      <c r="A322" s="459" t="str">
        <v>Pandora (Pro24-6G BS)</v>
      </c>
      <c r="C322" s="747" t="str">
        <f>A51</f>
        <v>H2O 2.0L 600g 6bar</v>
      </c>
      <c r="D322" s="748"/>
      <c r="F322" s="747" t="s">
        <v>186</v>
      </c>
      <c r="G322" s="748"/>
      <c r="H322" s="558"/>
      <c r="I322" s="745" t="s">
        <v>186</v>
      </c>
      <c r="J322" s="746"/>
      <c r="K322" s="558"/>
      <c r="L322" s="747" t="str">
        <f>A198</f>
        <v>Pandora (Pro24-6G BS)</v>
      </c>
      <c r="M322" s="748"/>
      <c r="O322" s="747" t="str">
        <f>A133</f>
        <v>p29-1G 41F36</v>
      </c>
      <c r="P322" s="748"/>
      <c r="R322" s="747" t="s">
        <v>186</v>
      </c>
      <c r="S322" s="748"/>
    </row>
    <row r="323" spans="1:19">
      <c r="A323" s="459" t="str">
        <v xml:space="preserve"> </v>
      </c>
      <c r="C323" s="747" t="str">
        <f>A56</f>
        <v>H2O 2.0L 800g 6bar</v>
      </c>
      <c r="D323" s="748"/>
      <c r="F323" s="747" t="s">
        <v>186</v>
      </c>
      <c r="G323" s="748"/>
      <c r="H323" s="558"/>
      <c r="I323" s="745" t="s">
        <v>186</v>
      </c>
      <c r="J323" s="746"/>
      <c r="K323" s="558"/>
      <c r="L323" s="747" t="s">
        <v>186</v>
      </c>
      <c r="M323" s="748"/>
      <c r="O323" s="747" t="str">
        <f>A138</f>
        <v>p29-1G 51F36</v>
      </c>
      <c r="P323" s="748"/>
      <c r="R323" s="747" t="s">
        <v>186</v>
      </c>
      <c r="S323" s="748"/>
    </row>
    <row r="324" spans="1:19">
      <c r="A324" s="459" t="str">
        <v>Klima D9-7</v>
      </c>
      <c r="C324" s="747" t="str">
        <f>A61</f>
        <v>H2O 2.0L 1000g 6bar</v>
      </c>
      <c r="D324" s="748"/>
      <c r="F324" s="747" t="s">
        <v>186</v>
      </c>
      <c r="G324" s="748"/>
      <c r="H324" s="558"/>
      <c r="I324" s="745" t="s">
        <v>186</v>
      </c>
      <c r="J324" s="746"/>
      <c r="K324" s="558"/>
      <c r="L324" s="747" t="str">
        <f>A92</f>
        <v>Klima D9-7</v>
      </c>
      <c r="M324" s="748"/>
      <c r="O324" s="747" t="str">
        <f>A143</f>
        <v>p29-1G 55F29</v>
      </c>
      <c r="P324" s="748"/>
      <c r="R324" s="747" t="s">
        <v>186</v>
      </c>
      <c r="S324" s="748"/>
    </row>
    <row r="325" spans="1:19">
      <c r="A325" s="459" t="str">
        <v>Klima D9-7 x2</v>
      </c>
      <c r="C325" s="747" t="s">
        <v>186</v>
      </c>
      <c r="D325" s="748"/>
      <c r="F325" s="747" t="s">
        <v>186</v>
      </c>
      <c r="G325" s="748"/>
      <c r="H325" s="558"/>
      <c r="I325" s="745" t="s">
        <v>186</v>
      </c>
      <c r="J325" s="746"/>
      <c r="K325" s="558"/>
      <c r="L325" s="747" t="str">
        <f>A97</f>
        <v>Klima D9-7 x2</v>
      </c>
      <c r="M325" s="748"/>
      <c r="O325" s="747" t="str">
        <f>A153</f>
        <v>p29-1G 56F120</v>
      </c>
      <c r="P325" s="748"/>
      <c r="R325" s="747" t="s">
        <v>186</v>
      </c>
      <c r="S325" s="748"/>
    </row>
    <row r="326" spans="1:19">
      <c r="A326" s="459" t="str">
        <v>Klima D9-7 x3</v>
      </c>
      <c r="C326" s="747" t="s">
        <v>186</v>
      </c>
      <c r="D326" s="748"/>
      <c r="F326" s="747" t="s">
        <v>186</v>
      </c>
      <c r="G326" s="748"/>
      <c r="H326" s="558"/>
      <c r="I326" s="745" t="s">
        <v>186</v>
      </c>
      <c r="J326" s="746"/>
      <c r="K326" s="558"/>
      <c r="L326" s="747" t="str">
        <f>A102</f>
        <v>Klima D9-7 x3</v>
      </c>
      <c r="M326" s="748"/>
      <c r="O326" s="747" t="str">
        <f>A158</f>
        <v>p29-1G 57F59</v>
      </c>
      <c r="P326" s="748"/>
      <c r="R326" s="747" t="s">
        <v>186</v>
      </c>
      <c r="S326" s="748"/>
    </row>
    <row r="327" spans="1:19">
      <c r="A327" s="459" t="str">
        <v xml:space="preserve"> </v>
      </c>
      <c r="C327" s="747" t="s">
        <v>186</v>
      </c>
      <c r="D327" s="748"/>
      <c r="F327" s="747" t="s">
        <v>186</v>
      </c>
      <c r="G327" s="748"/>
      <c r="H327" s="558"/>
      <c r="I327" s="745" t="s">
        <v>186</v>
      </c>
      <c r="J327" s="746"/>
      <c r="K327" s="558"/>
      <c r="L327" s="747" t="s">
        <v>186</v>
      </c>
      <c r="M327" s="748"/>
      <c r="O327" s="747" t="str">
        <f>A163</f>
        <v>p24-3G 60F50</v>
      </c>
      <c r="P327" s="748"/>
      <c r="R327" s="747" t="s">
        <v>186</v>
      </c>
      <c r="S327" s="748"/>
    </row>
    <row r="328" spans="1:19">
      <c r="A328" s="459" t="str">
        <v xml:space="preserve"> </v>
      </c>
      <c r="C328" s="747" t="s">
        <v>186</v>
      </c>
      <c r="D328" s="748"/>
      <c r="F328" s="747" t="s">
        <v>186</v>
      </c>
      <c r="G328" s="748"/>
      <c r="H328" s="558"/>
      <c r="I328" s="745" t="s">
        <v>186</v>
      </c>
      <c r="J328" s="746"/>
      <c r="K328" s="558"/>
      <c r="L328" s="747" t="s">
        <v>186</v>
      </c>
      <c r="M328" s="748"/>
      <c r="O328" s="747" t="str">
        <f>A168</f>
        <v>p24-3G 68F79</v>
      </c>
      <c r="P328" s="748"/>
      <c r="R328" s="747" t="s">
        <v>186</v>
      </c>
      <c r="S328" s="748"/>
    </row>
    <row r="329" spans="1:19">
      <c r="A329" s="459" t="str">
        <v xml:space="preserve"> </v>
      </c>
      <c r="C329" s="747" t="s">
        <v>186</v>
      </c>
      <c r="D329" s="748"/>
      <c r="F329" s="747" t="s">
        <v>186</v>
      </c>
      <c r="G329" s="748"/>
      <c r="H329" s="558"/>
      <c r="I329" s="745" t="s">
        <v>186</v>
      </c>
      <c r="J329" s="746"/>
      <c r="K329" s="558"/>
      <c r="L329" s="747" t="s">
        <v>186</v>
      </c>
      <c r="M329" s="748"/>
      <c r="O329" s="747" t="str">
        <f>A173</f>
        <v>p24-3G 68F240</v>
      </c>
      <c r="P329" s="748"/>
      <c r="R329" s="747" t="s">
        <v>186</v>
      </c>
      <c r="S329" s="748"/>
    </row>
    <row r="330" spans="1:19">
      <c r="A330" s="459" t="str">
        <v xml:space="preserve"> </v>
      </c>
      <c r="C330" s="747" t="s">
        <v>186</v>
      </c>
      <c r="D330" s="748"/>
      <c r="F330" s="747" t="s">
        <v>186</v>
      </c>
      <c r="G330" s="748"/>
      <c r="H330" s="558"/>
      <c r="I330" s="745" t="s">
        <v>186</v>
      </c>
      <c r="J330" s="746"/>
      <c r="K330" s="558"/>
      <c r="L330" s="747" t="s">
        <v>186</v>
      </c>
      <c r="M330" s="748"/>
      <c r="O330" s="747" t="str">
        <f>A178</f>
        <v>p24-3G 73F30</v>
      </c>
      <c r="P330" s="748"/>
      <c r="R330" s="747" t="s">
        <v>186</v>
      </c>
      <c r="S330" s="748"/>
    </row>
    <row r="331" spans="1:19">
      <c r="A331" s="459" t="str">
        <v xml:space="preserve"> </v>
      </c>
      <c r="C331" s="747" t="s">
        <v>186</v>
      </c>
      <c r="D331" s="748"/>
      <c r="F331" s="747" t="s">
        <v>186</v>
      </c>
      <c r="G331" s="748"/>
      <c r="H331" s="558"/>
      <c r="I331" s="757" t="s">
        <v>186</v>
      </c>
      <c r="J331" s="758"/>
      <c r="K331" s="558"/>
      <c r="L331" s="747" t="s">
        <v>186</v>
      </c>
      <c r="M331" s="748"/>
      <c r="O331" s="747" t="str">
        <f>A183</f>
        <v>p24-3G 74F85</v>
      </c>
      <c r="P331" s="748"/>
      <c r="R331" s="747" t="s">
        <v>186</v>
      </c>
      <c r="S331" s="748"/>
    </row>
    <row r="332" spans="1:19">
      <c r="A332" s="545" t="str">
        <v xml:space="preserve"> </v>
      </c>
      <c r="C332" s="750" t="s">
        <v>186</v>
      </c>
      <c r="D332" s="751"/>
      <c r="F332" s="750" t="s">
        <v>186</v>
      </c>
      <c r="G332" s="751"/>
      <c r="H332" s="558"/>
      <c r="I332" s="750" t="s">
        <v>186</v>
      </c>
      <c r="J332" s="751"/>
      <c r="K332" s="558"/>
      <c r="L332" s="750" t="s">
        <v>186</v>
      </c>
      <c r="M332" s="751"/>
      <c r="O332" s="747" t="str">
        <f>A188</f>
        <v>p24-3G 75F51</v>
      </c>
      <c r="P332" s="748"/>
      <c r="R332" s="750" t="s">
        <v>186</v>
      </c>
      <c r="S332" s="751"/>
    </row>
    <row r="333" spans="1:19">
      <c r="A333" s="459" t="str">
        <v xml:space="preserve"> </v>
      </c>
      <c r="C333" s="759" t="s">
        <v>186</v>
      </c>
      <c r="D333" s="759"/>
      <c r="F333" s="759" t="s">
        <v>186</v>
      </c>
      <c r="G333" s="759"/>
      <c r="I333" s="753" t="s">
        <v>186</v>
      </c>
      <c r="J333" s="753"/>
      <c r="L333" s="753" t="s">
        <v>186</v>
      </c>
      <c r="M333" s="753"/>
      <c r="O333" s="747" t="str">
        <f>A213</f>
        <v>p29-2G 84G88</v>
      </c>
      <c r="P333" s="748"/>
      <c r="R333" s="752" t="s">
        <v>186</v>
      </c>
      <c r="S333" s="752"/>
    </row>
    <row r="334" spans="1:19">
      <c r="A334" s="546" t="str">
        <v xml:space="preserve"> </v>
      </c>
      <c r="C334" s="739" t="s">
        <v>186</v>
      </c>
      <c r="D334" s="739"/>
      <c r="F334" s="739" t="s">
        <v>186</v>
      </c>
      <c r="G334" s="739"/>
      <c r="I334" s="753" t="s">
        <v>186</v>
      </c>
      <c r="J334" s="753"/>
      <c r="L334" s="753" t="s">
        <v>186</v>
      </c>
      <c r="M334" s="753"/>
      <c r="O334" s="747" t="str">
        <f>A218</f>
        <v>p29-2G 93G80</v>
      </c>
      <c r="P334" s="748"/>
      <c r="R334" s="749" t="str">
        <f>A269</f>
        <v>Isard</v>
      </c>
      <c r="S334" s="749"/>
    </row>
    <row r="335" spans="1:19">
      <c r="A335" s="546" t="str">
        <v xml:space="preserve"> </v>
      </c>
      <c r="C335" s="739" t="s">
        <v>186</v>
      </c>
      <c r="D335" s="739"/>
      <c r="F335" s="739" t="s">
        <v>186</v>
      </c>
      <c r="G335" s="739"/>
      <c r="I335" s="753" t="s">
        <v>186</v>
      </c>
      <c r="J335" s="753"/>
      <c r="L335" s="753" t="s">
        <v>186</v>
      </c>
      <c r="M335" s="753"/>
      <c r="O335" s="747" t="str">
        <f>A223</f>
        <v>p29-2G 110G250</v>
      </c>
      <c r="P335" s="748"/>
      <c r="R335" s="749" t="str">
        <f>A274</f>
        <v>Chamois</v>
      </c>
      <c r="S335" s="749"/>
    </row>
    <row r="336" spans="1:19">
      <c r="A336" s="546" t="str">
        <v xml:space="preserve"> </v>
      </c>
      <c r="C336" s="739" t="s">
        <v>186</v>
      </c>
      <c r="D336" s="739"/>
      <c r="F336" s="739" t="s">
        <v>186</v>
      </c>
      <c r="G336" s="739"/>
      <c r="I336" s="753" t="s">
        <v>186</v>
      </c>
      <c r="J336" s="753"/>
      <c r="L336" s="753" t="s">
        <v>186</v>
      </c>
      <c r="M336" s="753"/>
      <c r="O336" s="747" t="str">
        <f>A228</f>
        <v>p29-2G 116G126</v>
      </c>
      <c r="P336" s="748"/>
      <c r="R336" s="749" t="str">
        <f>A284</f>
        <v>Pro75-2G</v>
      </c>
      <c r="S336" s="749"/>
    </row>
    <row r="337" spans="1:19">
      <c r="A337" s="546" t="str">
        <v xml:space="preserve"> </v>
      </c>
      <c r="C337" s="739" t="s">
        <v>186</v>
      </c>
      <c r="D337" s="739"/>
      <c r="F337" s="739" t="s">
        <v>186</v>
      </c>
      <c r="G337" s="739"/>
      <c r="I337" s="753" t="s">
        <v>186</v>
      </c>
      <c r="J337" s="753"/>
      <c r="L337" s="753" t="s">
        <v>186</v>
      </c>
      <c r="M337" s="753"/>
      <c r="O337" s="747" t="str">
        <f>A233</f>
        <v>p29-3G 125G131</v>
      </c>
      <c r="P337" s="748"/>
      <c r="R337" s="749" t="str">
        <f>A294</f>
        <v>Pro98-2G WT</v>
      </c>
      <c r="S337" s="749"/>
    </row>
    <row r="338" spans="1:19">
      <c r="A338" s="546" t="str">
        <v xml:space="preserve"> </v>
      </c>
      <c r="C338" s="739" t="s">
        <v>186</v>
      </c>
      <c r="D338" s="739"/>
      <c r="F338" s="739" t="s">
        <v>186</v>
      </c>
      <c r="G338" s="739"/>
      <c r="I338" s="753" t="s">
        <v>186</v>
      </c>
      <c r="J338" s="753"/>
      <c r="L338" s="753" t="s">
        <v>186</v>
      </c>
      <c r="M338" s="753"/>
      <c r="O338" s="747" t="str">
        <f>A248</f>
        <v>p38-1G 128G185</v>
      </c>
      <c r="P338" s="748"/>
      <c r="R338" s="749" t="str">
        <f>A299</f>
        <v>Pro98-3G WT</v>
      </c>
      <c r="S338" s="749"/>
    </row>
    <row r="339" spans="1:19">
      <c r="A339" s="546" t="str">
        <v xml:space="preserve"> </v>
      </c>
      <c r="C339" s="739" t="s">
        <v>186</v>
      </c>
      <c r="D339" s="739"/>
      <c r="F339" s="739" t="s">
        <v>186</v>
      </c>
      <c r="G339" s="739"/>
      <c r="I339" s="753" t="s">
        <v>186</v>
      </c>
      <c r="J339" s="753"/>
      <c r="L339" s="753" t="s">
        <v>186</v>
      </c>
      <c r="M339" s="753"/>
      <c r="O339" s="747" t="str">
        <f>A243</f>
        <v>p38-1G 137G58</v>
      </c>
      <c r="P339" s="748"/>
      <c r="R339" s="749" t="str">
        <f>A309</f>
        <v>Aucun (2e ét. inerte)</v>
      </c>
      <c r="S339" s="749"/>
    </row>
    <row r="340" spans="1:19">
      <c r="A340" s="546" t="str">
        <v xml:space="preserve"> </v>
      </c>
      <c r="C340" s="739" t="s">
        <v>186</v>
      </c>
      <c r="D340" s="739"/>
      <c r="F340" s="739" t="s">
        <v>186</v>
      </c>
      <c r="G340" s="739"/>
      <c r="I340" s="753" t="s">
        <v>186</v>
      </c>
      <c r="J340" s="753"/>
      <c r="L340" s="753" t="s">
        <v>186</v>
      </c>
      <c r="M340" s="753"/>
      <c r="O340" s="747" t="str">
        <f>A253</f>
        <v>p38-1G 141G78</v>
      </c>
      <c r="P340" s="748"/>
      <c r="R340" s="744" t="s">
        <v>186</v>
      </c>
      <c r="S340" s="744"/>
    </row>
    <row r="341" spans="1:19">
      <c r="A341" s="546" t="str">
        <v xml:space="preserve"> </v>
      </c>
      <c r="C341" s="739" t="s">
        <v>186</v>
      </c>
      <c r="D341" s="739"/>
      <c r="F341" s="739" t="s">
        <v>186</v>
      </c>
      <c r="G341" s="739"/>
      <c r="I341" s="742" t="s">
        <v>186</v>
      </c>
      <c r="J341" s="742"/>
      <c r="L341" s="753" t="s">
        <v>186</v>
      </c>
      <c r="M341" s="753"/>
      <c r="O341" s="747" t="str">
        <f>A193</f>
        <v>p24-6G 140G145 PK</v>
      </c>
      <c r="P341" s="748"/>
      <c r="R341" s="739" t="s">
        <v>186</v>
      </c>
      <c r="S341" s="739"/>
    </row>
    <row r="342" spans="1:19">
      <c r="A342" s="546" t="str">
        <v xml:space="preserve"> </v>
      </c>
      <c r="C342" s="739" t="s">
        <v>186</v>
      </c>
      <c r="D342" s="739"/>
      <c r="F342" s="739" t="s">
        <v>186</v>
      </c>
      <c r="G342" s="739"/>
      <c r="I342" s="742" t="s">
        <v>186</v>
      </c>
      <c r="J342" s="742"/>
      <c r="L342" s="753" t="s">
        <v>186</v>
      </c>
      <c r="M342" s="753"/>
      <c r="O342" s="747" t="str">
        <f>A198</f>
        <v>Pandora (Pro24-6G BS)</v>
      </c>
      <c r="P342" s="748"/>
      <c r="R342" s="739" t="s">
        <v>186</v>
      </c>
      <c r="S342" s="739"/>
    </row>
    <row r="343" spans="1:19">
      <c r="A343" s="546" t="str">
        <v xml:space="preserve"> </v>
      </c>
      <c r="C343" s="739" t="s">
        <v>186</v>
      </c>
      <c r="D343" s="739"/>
      <c r="F343" s="739" t="s">
        <v>186</v>
      </c>
      <c r="G343" s="739"/>
      <c r="I343" s="742" t="s">
        <v>186</v>
      </c>
      <c r="J343" s="742"/>
      <c r="L343" s="742" t="s">
        <v>186</v>
      </c>
      <c r="M343" s="742"/>
      <c r="O343" s="745" t="str">
        <f>A203</f>
        <v>p24-6G 142G117 WT</v>
      </c>
      <c r="P343" s="746"/>
      <c r="R343" s="739" t="s">
        <v>186</v>
      </c>
      <c r="S343" s="739"/>
    </row>
    <row r="344" spans="1:19">
      <c r="A344" s="546" t="str">
        <v xml:space="preserve"> </v>
      </c>
      <c r="C344" s="739" t="s">
        <v>186</v>
      </c>
      <c r="D344" s="739"/>
      <c r="F344" s="739" t="s">
        <v>186</v>
      </c>
      <c r="G344" s="739"/>
      <c r="I344" s="743" t="s">
        <v>186</v>
      </c>
      <c r="J344" s="743"/>
      <c r="L344" s="742" t="s">
        <v>186</v>
      </c>
      <c r="M344" s="742"/>
      <c r="O344" s="745" t="str">
        <f>A208</f>
        <v>p24-6G 139G107 DT</v>
      </c>
      <c r="P344" s="746"/>
      <c r="R344" s="739" t="s">
        <v>186</v>
      </c>
      <c r="S344" s="739"/>
    </row>
    <row r="345" spans="1:19">
      <c r="A345" s="546" t="str">
        <v xml:space="preserve"> </v>
      </c>
      <c r="C345" s="739" t="s">
        <v>186</v>
      </c>
      <c r="D345" s="739"/>
      <c r="F345" s="739" t="s">
        <v>186</v>
      </c>
      <c r="G345" s="739"/>
      <c r="I345" s="739" t="s">
        <v>186</v>
      </c>
      <c r="J345" s="739"/>
      <c r="L345" s="742" t="s">
        <v>186</v>
      </c>
      <c r="M345" s="742"/>
      <c r="O345" s="745" t="str">
        <f>A263</f>
        <v>Cariacou</v>
      </c>
      <c r="P345" s="746"/>
      <c r="R345" s="739" t="s">
        <v>186</v>
      </c>
      <c r="S345" s="739"/>
    </row>
    <row r="346" spans="1:19">
      <c r="A346" s="559" t="str">
        <v xml:space="preserve"> </v>
      </c>
      <c r="C346" s="739" t="s">
        <v>186</v>
      </c>
      <c r="D346" s="739"/>
      <c r="F346" s="739" t="s">
        <v>186</v>
      </c>
      <c r="G346" s="739"/>
      <c r="I346" s="739" t="s">
        <v>186</v>
      </c>
      <c r="J346" s="739"/>
      <c r="L346" s="743" t="s">
        <v>186</v>
      </c>
      <c r="M346" s="743"/>
      <c r="O346" s="740" t="str">
        <f>A258</f>
        <v>Wapiti</v>
      </c>
      <c r="P346" s="741"/>
      <c r="R346" s="739" t="s">
        <v>186</v>
      </c>
      <c r="S346" s="739"/>
    </row>
  </sheetData>
  <sheetProtection password="C6AC" sheet="1" objects="1" scenarios="1"/>
  <dataConsolidate/>
  <mergeCells count="186">
    <mergeCell ref="C345:D345"/>
    <mergeCell ref="C346:D346"/>
    <mergeCell ref="C335:D335"/>
    <mergeCell ref="C336:D336"/>
    <mergeCell ref="C337:D337"/>
    <mergeCell ref="C338:D338"/>
    <mergeCell ref="C339:D339"/>
    <mergeCell ref="C340:D340"/>
    <mergeCell ref="L323:M323"/>
    <mergeCell ref="L324:M324"/>
    <mergeCell ref="L325:M325"/>
    <mergeCell ref="C333:D333"/>
    <mergeCell ref="L343:M343"/>
    <mergeCell ref="L344:M344"/>
    <mergeCell ref="F338:G338"/>
    <mergeCell ref="C341:D341"/>
    <mergeCell ref="C342:D342"/>
    <mergeCell ref="C343:D343"/>
    <mergeCell ref="I342:J342"/>
    <mergeCell ref="I343:J343"/>
    <mergeCell ref="L341:M341"/>
    <mergeCell ref="L342:M342"/>
    <mergeCell ref="C344:D344"/>
    <mergeCell ref="C329:D329"/>
    <mergeCell ref="O338:P338"/>
    <mergeCell ref="O336:P336"/>
    <mergeCell ref="I328:J328"/>
    <mergeCell ref="I329:J329"/>
    <mergeCell ref="I330:J330"/>
    <mergeCell ref="I331:J331"/>
    <mergeCell ref="C334:D334"/>
    <mergeCell ref="L338:M338"/>
    <mergeCell ref="F333:G333"/>
    <mergeCell ref="L335:M335"/>
    <mergeCell ref="L336:M336"/>
    <mergeCell ref="I332:J332"/>
    <mergeCell ref="I333:J333"/>
    <mergeCell ref="I334:J334"/>
    <mergeCell ref="I335:J335"/>
    <mergeCell ref="L337:M337"/>
    <mergeCell ref="C330:D330"/>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16:M316"/>
    <mergeCell ref="C327:D327"/>
    <mergeCell ref="C326:D326"/>
    <mergeCell ref="C325:D325"/>
    <mergeCell ref="C324:D324"/>
    <mergeCell ref="C323:D323"/>
    <mergeCell ref="C322:D322"/>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C331:D331"/>
    <mergeCell ref="C316:D316"/>
    <mergeCell ref="C317:D317"/>
    <mergeCell ref="C318:D318"/>
    <mergeCell ref="C319:D319"/>
    <mergeCell ref="C320:D320"/>
    <mergeCell ref="F316:G316"/>
    <mergeCell ref="L320:M320"/>
    <mergeCell ref="I316:J316"/>
    <mergeCell ref="I317:J317"/>
    <mergeCell ref="I318:J318"/>
    <mergeCell ref="I319:J319"/>
    <mergeCell ref="L317:M317"/>
    <mergeCell ref="O316:P316"/>
    <mergeCell ref="F329:G329"/>
    <mergeCell ref="F330:G330"/>
    <mergeCell ref="F331:G331"/>
    <mergeCell ref="F324:G324"/>
    <mergeCell ref="F321:G321"/>
    <mergeCell ref="F320:G320"/>
    <mergeCell ref="O323:P323"/>
    <mergeCell ref="O320:P320"/>
    <mergeCell ref="O319:P319"/>
    <mergeCell ref="O324:P324"/>
    <mergeCell ref="F319:G319"/>
    <mergeCell ref="F318:G318"/>
    <mergeCell ref="F317:G317"/>
    <mergeCell ref="O322:P322"/>
    <mergeCell ref="O318:P318"/>
    <mergeCell ref="O317:P317"/>
    <mergeCell ref="I320:J320"/>
    <mergeCell ref="L318:M318"/>
    <mergeCell ref="L319:M319"/>
    <mergeCell ref="L326:M326"/>
    <mergeCell ref="L327:M327"/>
    <mergeCell ref="L321:M321"/>
    <mergeCell ref="L322:M322"/>
    <mergeCell ref="F325:G325"/>
    <mergeCell ref="F326:G326"/>
    <mergeCell ref="F327:G327"/>
    <mergeCell ref="O337:P337"/>
    <mergeCell ref="F339:G339"/>
    <mergeCell ref="F340:G340"/>
    <mergeCell ref="O325:P325"/>
    <mergeCell ref="O330:P330"/>
    <mergeCell ref="L339:M339"/>
    <mergeCell ref="L340:M340"/>
    <mergeCell ref="I340:J340"/>
    <mergeCell ref="I339:J339"/>
    <mergeCell ref="O341:P341"/>
    <mergeCell ref="L334:M334"/>
    <mergeCell ref="F334:G334"/>
    <mergeCell ref="F335:G335"/>
    <mergeCell ref="F336:G336"/>
    <mergeCell ref="F337:G337"/>
    <mergeCell ref="O327:P327"/>
    <mergeCell ref="O333:P333"/>
    <mergeCell ref="L328:M328"/>
    <mergeCell ref="I336:J336"/>
    <mergeCell ref="O332:P332"/>
    <mergeCell ref="L333:M333"/>
    <mergeCell ref="I341:J341"/>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R317:S318 C317:D324 F317:G321 O322:P339 O342:P342 R334:S339 O340:O341 O317:P319 O320:P321 P341 M324" unlockedFormula="1"/>
  </ignoredErrors>
  <drawing r:id="rId2"/>
</worksheet>
</file>

<file path=xl/worksheets/sheet5.xml><?xml version="1.0" encoding="utf-8"?>
<worksheet xmlns="http://schemas.openxmlformats.org/spreadsheetml/2006/main" xmlns:r="http://schemas.openxmlformats.org/officeDocument/2006/relationships">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B219" sqref="B219"/>
    </sheetView>
  </sheetViews>
  <sheetFormatPr baseColWidth="10" defaultColWidth="11.6328125" defaultRowHeight="12.5"/>
  <cols>
    <col min="1" max="1" width="4.6328125" style="11" bestFit="1" customWidth="1"/>
    <col min="2" max="2" width="6" style="11" bestFit="1" customWidth="1"/>
    <col min="3" max="3" width="1.36328125" style="12" customWidth="1"/>
    <col min="4" max="4" width="7.1796875" style="13" customWidth="1"/>
    <col min="5" max="6" width="7.36328125" style="13" customWidth="1"/>
    <col min="7" max="7" width="7.1796875" style="13" customWidth="1"/>
    <col min="8" max="8" width="7.36328125" style="13" customWidth="1"/>
    <col min="9" max="9" width="7.1796875" style="13" customWidth="1"/>
    <col min="10" max="12" width="7.6328125" style="13" bestFit="1" customWidth="1"/>
    <col min="13" max="13" width="5.7265625" style="13" customWidth="1"/>
    <col min="14" max="14" width="6.36328125" style="13" customWidth="1"/>
    <col min="15" max="15" width="1.36328125" style="12" customWidth="1"/>
    <col min="16" max="16" width="4" style="13" customWidth="1"/>
    <col min="17" max="17" width="8.6328125" style="13" customWidth="1"/>
    <col min="18" max="18" width="5.7265625" style="13" customWidth="1"/>
    <col min="19" max="19" width="5.26953125" style="13" customWidth="1"/>
    <col min="20" max="20" width="6" style="13" customWidth="1"/>
    <col min="21" max="21" width="8.7265625" style="13" customWidth="1"/>
    <col min="22" max="22" width="6.7265625" style="13" customWidth="1"/>
    <col min="23" max="23" width="7.1796875" style="13" customWidth="1"/>
    <col min="24" max="24" width="1.36328125" style="12" customWidth="1"/>
    <col min="25" max="25" width="15.7265625" style="13" customWidth="1"/>
    <col min="26" max="26" width="5.7265625" style="13" customWidth="1"/>
    <col min="27" max="27" width="7.7265625" style="13" customWidth="1"/>
    <col min="28" max="28" width="1.6328125" style="13" customWidth="1"/>
    <col min="29" max="29" width="7.26953125" style="13" bestFit="1" customWidth="1"/>
    <col min="30" max="31" width="6.7265625" style="13" bestFit="1" customWidth="1"/>
    <col min="32" max="32" width="1.81640625" style="13" customWidth="1"/>
    <col min="33" max="238" width="11.36328125" style="13" customWidth="1"/>
    <col min="239" max="239" width="11" style="13" customWidth="1"/>
  </cols>
  <sheetData>
    <row r="1" spans="1:248" ht="13" thickBot="1">
      <c r="D1" s="760" t="s">
        <v>268</v>
      </c>
      <c r="E1" s="761"/>
      <c r="F1" s="761"/>
      <c r="G1" s="761"/>
      <c r="H1" s="761"/>
      <c r="I1" s="761"/>
      <c r="J1" s="761"/>
      <c r="K1" s="761"/>
      <c r="L1" s="761"/>
      <c r="M1" s="761"/>
      <c r="N1" s="762"/>
      <c r="P1" s="760" t="s">
        <v>17</v>
      </c>
      <c r="Q1" s="761"/>
      <c r="R1" s="761"/>
      <c r="S1" s="761"/>
      <c r="T1" s="761"/>
      <c r="U1" s="761"/>
      <c r="V1" s="761"/>
      <c r="W1" s="762"/>
      <c r="Y1" s="14"/>
      <c r="Z1" s="14"/>
      <c r="AA1" s="14"/>
      <c r="AC1" s="767" t="s">
        <v>188</v>
      </c>
      <c r="AD1" s="768"/>
      <c r="AE1" s="768"/>
      <c r="AG1" s="763" t="s">
        <v>18</v>
      </c>
      <c r="AH1" s="763"/>
    </row>
    <row r="2" spans="1:248" s="17" customFormat="1">
      <c r="A2" s="383" t="s">
        <v>19</v>
      </c>
      <c r="B2" s="384" t="s">
        <v>2</v>
      </c>
      <c r="C2" s="15"/>
      <c r="D2" s="387" t="s">
        <v>195</v>
      </c>
      <c r="E2" s="388" t="s">
        <v>196</v>
      </c>
      <c r="F2" s="384" t="s">
        <v>197</v>
      </c>
      <c r="G2" s="387" t="s">
        <v>192</v>
      </c>
      <c r="H2" s="388" t="s">
        <v>193</v>
      </c>
      <c r="I2" s="384" t="s">
        <v>194</v>
      </c>
      <c r="J2" s="387" t="s">
        <v>189</v>
      </c>
      <c r="K2" s="388" t="s">
        <v>190</v>
      </c>
      <c r="L2" s="384" t="s">
        <v>191</v>
      </c>
      <c r="M2" s="389" t="s">
        <v>20</v>
      </c>
      <c r="N2" s="384" t="s">
        <v>21</v>
      </c>
      <c r="O2" s="15"/>
      <c r="P2" s="389" t="s">
        <v>26</v>
      </c>
      <c r="Q2" s="384" t="s">
        <v>25</v>
      </c>
      <c r="R2" s="389" t="s">
        <v>22</v>
      </c>
      <c r="S2" s="392" t="s">
        <v>39</v>
      </c>
      <c r="T2" s="384" t="s">
        <v>27</v>
      </c>
      <c r="U2" s="393" t="s">
        <v>28</v>
      </c>
      <c r="V2" s="389" t="s">
        <v>24</v>
      </c>
      <c r="W2" s="384" t="s">
        <v>23</v>
      </c>
      <c r="X2" s="16"/>
      <c r="Y2" s="764" t="s">
        <v>187</v>
      </c>
      <c r="Z2" s="765"/>
      <c r="AA2" s="766"/>
      <c r="AC2" s="389" t="s">
        <v>11</v>
      </c>
      <c r="AD2" s="388" t="s">
        <v>3</v>
      </c>
      <c r="AE2" s="384" t="s">
        <v>29</v>
      </c>
      <c r="AG2" s="400" t="s">
        <v>31</v>
      </c>
      <c r="AH2" s="401" t="s">
        <v>30</v>
      </c>
      <c r="IF2"/>
      <c r="IG2"/>
      <c r="IH2"/>
      <c r="II2"/>
      <c r="IJ2"/>
      <c r="IK2"/>
      <c r="IL2"/>
      <c r="IM2"/>
      <c r="IN2"/>
    </row>
    <row r="3" spans="1:248" s="17" customFormat="1">
      <c r="A3" s="385" t="s">
        <v>154</v>
      </c>
      <c r="B3" s="386" t="s">
        <v>154</v>
      </c>
      <c r="C3" s="15"/>
      <c r="D3" s="390" t="s">
        <v>7</v>
      </c>
      <c r="E3" s="391" t="s">
        <v>7</v>
      </c>
      <c r="F3" s="386" t="s">
        <v>7</v>
      </c>
      <c r="G3" s="390" t="s">
        <v>155</v>
      </c>
      <c r="H3" s="391" t="s">
        <v>155</v>
      </c>
      <c r="I3" s="386" t="s">
        <v>155</v>
      </c>
      <c r="J3" s="390" t="s">
        <v>39</v>
      </c>
      <c r="K3" s="391" t="s">
        <v>39</v>
      </c>
      <c r="L3" s="386" t="s">
        <v>39</v>
      </c>
      <c r="M3" s="385" t="s">
        <v>246</v>
      </c>
      <c r="N3" s="386" t="s">
        <v>156</v>
      </c>
      <c r="O3" s="15"/>
      <c r="P3" s="390" t="s">
        <v>14</v>
      </c>
      <c r="Q3" s="394" t="s">
        <v>229</v>
      </c>
      <c r="R3" s="390" t="s">
        <v>247</v>
      </c>
      <c r="S3" s="395" t="s">
        <v>230</v>
      </c>
      <c r="T3" s="394" t="s">
        <v>229</v>
      </c>
      <c r="U3" s="396" t="s">
        <v>229</v>
      </c>
      <c r="V3" s="390" t="s">
        <v>8</v>
      </c>
      <c r="W3" s="394" t="s">
        <v>229</v>
      </c>
      <c r="X3" s="16"/>
      <c r="Y3" s="397"/>
      <c r="Z3" s="398"/>
      <c r="AA3" s="399"/>
      <c r="AC3" s="390" t="s">
        <v>154</v>
      </c>
      <c r="AD3" s="395" t="s">
        <v>39</v>
      </c>
      <c r="AE3" s="394" t="s">
        <v>39</v>
      </c>
      <c r="AG3" s="397" t="s">
        <v>7</v>
      </c>
      <c r="AH3" s="394" t="s">
        <v>7</v>
      </c>
      <c r="IF3"/>
      <c r="IG3"/>
      <c r="IH3"/>
      <c r="II3"/>
      <c r="IJ3"/>
      <c r="IK3"/>
      <c r="IL3"/>
      <c r="IM3"/>
      <c r="IN3"/>
    </row>
    <row r="4" spans="1:248">
      <c r="A4" s="345" t="s">
        <v>14</v>
      </c>
      <c r="B4" s="404">
        <f>T_ini</f>
        <v>0</v>
      </c>
      <c r="C4" s="342"/>
      <c r="D4" s="345" t="s">
        <v>14</v>
      </c>
      <c r="E4" s="346" t="s">
        <v>14</v>
      </c>
      <c r="F4" s="347" t="s">
        <v>14</v>
      </c>
      <c r="G4" s="345">
        <f>vit_xz*COS(Beta)</f>
        <v>0</v>
      </c>
      <c r="H4" s="346">
        <f>vit_xz*SIN(Beta)</f>
        <v>0</v>
      </c>
      <c r="I4" s="404">
        <f>V_ini</f>
        <v>0</v>
      </c>
      <c r="J4" s="405">
        <f>X_ini</f>
        <v>0</v>
      </c>
      <c r="K4" s="406">
        <f>Z_ini</f>
        <v>0</v>
      </c>
      <c r="L4" s="380">
        <f t="shared" ref="L4:L67" si="0">SQRT(pos_x^2+pos_z^2)</f>
        <v>0</v>
      </c>
      <c r="M4" s="345">
        <f>RADIANS(N4)</f>
        <v>1.3962634015954636</v>
      </c>
      <c r="N4" s="404">
        <f>Beta_rampe</f>
        <v>80</v>
      </c>
      <c r="O4" s="343"/>
      <c r="P4" s="345" t="s">
        <v>14</v>
      </c>
      <c r="Q4" s="347" t="s">
        <v>14</v>
      </c>
      <c r="R4" s="345" t="s">
        <v>14</v>
      </c>
      <c r="S4" s="406">
        <f ca="1">m_tot</f>
        <v>0.46099999999999997</v>
      </c>
      <c r="T4" s="380">
        <f t="shared" ref="T4:T67" ca="1" si="1">m*g</f>
        <v>4.5224099999999998</v>
      </c>
      <c r="U4" s="381">
        <f t="shared" ref="U4:U67" ca="1" si="2">IF(pos_xz&lt;L_rampe,Poids*COS(Beta),0)</f>
        <v>0.78530825516270275</v>
      </c>
      <c r="V4" s="382">
        <f t="shared" ref="V4:V67" si="3">Rho_moyen*(20000-Alt_rampe-pos_z)/(20000+Alt_rampe+pos_z)</f>
        <v>1.2250000000000001</v>
      </c>
      <c r="W4" s="380">
        <f t="shared" ref="W4:W67" si="4">1/2*Rho*Sref*Cx*vit_xz^2</f>
        <v>0</v>
      </c>
      <c r="X4" s="343"/>
      <c r="Y4" s="348" t="s">
        <v>14</v>
      </c>
      <c r="Z4" s="349" t="s">
        <v>14</v>
      </c>
      <c r="AA4" s="350" t="s">
        <v>14</v>
      </c>
      <c r="AB4" s="344"/>
      <c r="AC4" s="373">
        <f>IF(ABS(t-ROUND(t,0))&lt;0.001,t,-1)</f>
        <v>0</v>
      </c>
      <c r="AD4" s="374">
        <f>IF(ABS(t-ROUND(t,0))&lt;0.001,pos_x,-1)</f>
        <v>0</v>
      </c>
      <c r="AE4" s="375">
        <f t="shared" ref="AE4:AE67" si="5">IF(t&lt;T_para, pos_z, NA())</f>
        <v>0</v>
      </c>
      <c r="AF4" s="344"/>
      <c r="AG4" s="345" t="s">
        <v>14</v>
      </c>
      <c r="AH4" s="347" t="s">
        <v>14</v>
      </c>
    </row>
    <row r="5" spans="1:248">
      <c r="A5" s="402">
        <f t="shared" ref="A5:A68" ca="1" si="6">IF(B4+0.01&lt;=T_ini+ROUNDUP(Temps_fin_propu,0), 0.01, IF(K4&gt;0, 0.1, 0.0001))</f>
        <v>0.01</v>
      </c>
      <c r="B5" s="357">
        <f t="shared" ref="B5:B68" ca="1" si="7">B4+pas</f>
        <v>0.01</v>
      </c>
      <c r="C5" s="342"/>
      <c r="D5" s="359">
        <f t="shared" ref="D5:D68" ca="1" si="8">IF(AND(L4&lt;L_rampe,Poussee&lt;Poids*SIN(M4)),0,(-W4+Poussee)/m*COS(M4)-U4/m*SIN(M4))</f>
        <v>3.7832855981272075</v>
      </c>
      <c r="E5" s="360">
        <f t="shared" ref="E5:E68" ca="1" si="9">IF(AND(L4&lt;L_rampe,Poussee&lt;Poids*SIN(M4)),0,(-W4+Poussee)/m*SIN(M4)+U4/m*COS(M4)-Poids/m)</f>
        <v>21.457854835254238</v>
      </c>
      <c r="F5" s="357">
        <f t="shared" ref="F5:F68" ca="1" si="10">SQRT(acc_x^2+acc_z^2)</f>
        <v>21.788822456659755</v>
      </c>
      <c r="G5" s="359">
        <f t="shared" ref="G5:G68" ca="1" si="11">G4+acc_x*pas</f>
        <v>3.7832855981272076E-2</v>
      </c>
      <c r="H5" s="360">
        <f t="shared" ref="H5:H68" ca="1" si="12">H4+acc_z*pas</f>
        <v>0.21457854835254239</v>
      </c>
      <c r="I5" s="357">
        <f t="shared" ref="I5:I68" ca="1" si="13">SQRT(vit_x^2+vit_z^2)</f>
        <v>0.21788822456659754</v>
      </c>
      <c r="J5" s="359">
        <f t="shared" ref="J5:J68" ca="1" si="14">J4+0.5*(vit_x+G4)*pas*(K4&gt;=0)</f>
        <v>1.8916427990636037E-4</v>
      </c>
      <c r="K5" s="360">
        <f t="shared" ref="K5:K68" ca="1" si="15">K4+0.5*(vit_z+H4)*pas</f>
        <v>1.072892741762712E-3</v>
      </c>
      <c r="L5" s="357">
        <f t="shared" ca="1" si="0"/>
        <v>1.0894411228329877E-3</v>
      </c>
      <c r="M5" s="359">
        <f t="shared" ref="M5:M68" ca="1" si="16">IF(AND(L4&gt;L_rampe,G5&gt;0),ATAN2(G5,H5),$M$4)</f>
        <v>1.3962634015954636</v>
      </c>
      <c r="N5" s="357">
        <f t="shared" ref="N5:N68" ca="1" si="17">DEGREES(Beta)</f>
        <v>80</v>
      </c>
      <c r="O5" s="343"/>
      <c r="P5" s="363">
        <f t="shared" ref="P5:P68" ca="1" si="18">MATCH(t-pas/2-T_ini,CdP_t)</f>
        <v>2</v>
      </c>
      <c r="Q5" s="357">
        <f t="shared" ref="Q5:Q68" ca="1" si="19">(INDEX(CdP,2,i_P+1)-INDEX(CdP,2,i_P+0))/(INDEX(CdP,1,i_P+1)-INDEX(CdP,1,i_P+0))*(t-pas/2-T_ini-INDEX(CdP,1,i_P+0))+INDEX(CdP,2,i_P+0)</f>
        <v>14.495727272727274</v>
      </c>
      <c r="R5" s="359">
        <f t="shared" ref="R5:R68" ca="1" si="20">Poussee/(g*ISP)</f>
        <v>8.3444416568381769E-3</v>
      </c>
      <c r="S5" s="360">
        <f t="shared" ref="S5:S68" ca="1" si="21">S4-Débit*pas</f>
        <v>0.46091655558343159</v>
      </c>
      <c r="T5" s="357">
        <f t="shared" ca="1" si="1"/>
        <v>4.521591410273464</v>
      </c>
      <c r="U5" s="364">
        <f t="shared" ca="1" si="2"/>
        <v>0.78516610854843294</v>
      </c>
      <c r="V5" s="359">
        <f t="shared" ca="1" si="3"/>
        <v>1.2249998685706465</v>
      </c>
      <c r="W5" s="357">
        <f t="shared" ca="1" si="4"/>
        <v>5.1265158903078925E-5</v>
      </c>
      <c r="X5" s="343"/>
      <c r="Y5" s="367" t="str">
        <f t="shared" ref="Y5:Y68" ca="1" si="22">IF(AND(pos_z&lt;=0,K4&gt;0),"Impact balistique","") &amp; IF(AND(H6&lt;0,vit_z&gt;=0),"Apogée","") &amp; IF(AND(Poussee=0,Q4&gt;0),"Fin de propulsion","") &amp; IF(AND(L6&gt;L_rampe,pos_xz&lt;=L_rampe),"Sortie de rampe","")</f>
        <v/>
      </c>
      <c r="Z5" s="368" t="str">
        <f t="shared" ref="Z5:Z68" ca="1" si="23">IF(ABS(t-T_para)&lt;pas/2,"Para","")</f>
        <v/>
      </c>
      <c r="AA5" s="369" t="str">
        <f t="shared" ref="AA5:AA68" ca="1" si="24">IF(ABS(t-T_satellite)&lt;pas/2,"Satellite","")</f>
        <v/>
      </c>
      <c r="AB5" s="344"/>
      <c r="AC5" s="363" t="e">
        <f t="shared" ref="AC5:AC68" ca="1" si="25">IF(ABS(t-ROUND(t,0))&lt;0.001,t,NA())</f>
        <v>#N/A</v>
      </c>
      <c r="AD5" s="376" t="e">
        <f t="shared" ref="AD5:AD68" ca="1" si="26">IF(ABS(t-ROUND(t,0))&lt;0.001,pos_x,NA())</f>
        <v>#N/A</v>
      </c>
      <c r="AE5" s="377">
        <f t="shared" ca="1" si="5"/>
        <v>1.072892741762712E-3</v>
      </c>
      <c r="AF5" s="344"/>
      <c r="AG5" s="359">
        <f t="shared" ref="AG5:AG68" ca="1" si="27">IF(AND(L4&lt;L_rampe,Poussee&lt;Poids*SIN(M4)),0,(-W4+Poussee)/m-Poids*SIN(M4)/m)</f>
        <v>21.788822454477202</v>
      </c>
      <c r="AH5" s="357">
        <f t="shared" ref="AH5:AH68" ca="1" si="28">IF(AND(L4&lt;L_rampe,Poussee&lt;Poids*SIN(M4)), g*SIN(M4), (-W4+Poussee)/m)</f>
        <v>31.449786511526963</v>
      </c>
    </row>
    <row r="6" spans="1:248">
      <c r="A6" s="402">
        <f t="shared" ca="1" si="6"/>
        <v>0.01</v>
      </c>
      <c r="B6" s="357">
        <f t="shared" ca="1" si="7"/>
        <v>0.02</v>
      </c>
      <c r="C6" s="342"/>
      <c r="D6" s="359">
        <f t="shared" ca="1" si="8"/>
        <v>14.16348927608062</v>
      </c>
      <c r="E6" s="360">
        <f t="shared" ca="1" si="9"/>
        <v>80.330291117078858</v>
      </c>
      <c r="F6" s="357">
        <f t="shared" ca="1" si="10"/>
        <v>81.569357600929337</v>
      </c>
      <c r="G6" s="359">
        <f t="shared" ca="1" si="11"/>
        <v>0.17946774874207827</v>
      </c>
      <c r="H6" s="360">
        <f t="shared" ca="1" si="12"/>
        <v>1.017881459523331</v>
      </c>
      <c r="I6" s="357">
        <f t="shared" ca="1" si="13"/>
        <v>1.0335818005750179</v>
      </c>
      <c r="J6" s="359">
        <f t="shared" ca="1" si="14"/>
        <v>1.2756673035231121E-3</v>
      </c>
      <c r="K6" s="360">
        <f t="shared" ca="1" si="15"/>
        <v>7.2351927811420786E-3</v>
      </c>
      <c r="L6" s="357">
        <f t="shared" ca="1" si="0"/>
        <v>7.3467912485362186E-3</v>
      </c>
      <c r="M6" s="359">
        <f t="shared" ca="1" si="16"/>
        <v>1.3962634015954636</v>
      </c>
      <c r="N6" s="357">
        <f t="shared" ca="1" si="17"/>
        <v>80</v>
      </c>
      <c r="O6" s="343"/>
      <c r="P6" s="363">
        <f t="shared" ca="1" si="18"/>
        <v>2</v>
      </c>
      <c r="Q6" s="357">
        <f t="shared" ca="1" si="19"/>
        <v>42.027545454545454</v>
      </c>
      <c r="R6" s="359">
        <f t="shared" ca="1" si="20"/>
        <v>2.4193087689044792E-2</v>
      </c>
      <c r="S6" s="360">
        <f t="shared" ca="1" si="21"/>
        <v>0.46067462470654114</v>
      </c>
      <c r="T6" s="357">
        <f t="shared" ca="1" si="1"/>
        <v>4.5192180683711687</v>
      </c>
      <c r="U6" s="364">
        <f t="shared" ca="1" si="2"/>
        <v>0.78475398205211877</v>
      </c>
      <c r="V6" s="359">
        <f t="shared" ca="1" si="3"/>
        <v>1.2249991136892051</v>
      </c>
      <c r="W6" s="357">
        <f t="shared" ca="1" si="4"/>
        <v>1.1535707280426787E-3</v>
      </c>
      <c r="X6" s="343"/>
      <c r="Y6" s="367" t="str">
        <f t="shared" ca="1" si="22"/>
        <v/>
      </c>
      <c r="Z6" s="368" t="str">
        <f t="shared" ca="1" si="23"/>
        <v/>
      </c>
      <c r="AA6" s="369" t="str">
        <f t="shared" ca="1" si="24"/>
        <v/>
      </c>
      <c r="AB6" s="344"/>
      <c r="AC6" s="363" t="e">
        <f t="shared" ca="1" si="25"/>
        <v>#N/A</v>
      </c>
      <c r="AD6" s="376" t="e">
        <f t="shared" ca="1" si="26"/>
        <v>#N/A</v>
      </c>
      <c r="AE6" s="377">
        <f t="shared" ca="1" si="5"/>
        <v>7.2351927811420786E-3</v>
      </c>
      <c r="AF6" s="344"/>
      <c r="AG6" s="359">
        <f t="shared" ca="1" si="27"/>
        <v>81.56935759602348</v>
      </c>
      <c r="AH6" s="357">
        <f t="shared" ca="1" si="28"/>
        <v>91.230321653073247</v>
      </c>
    </row>
    <row r="7" spans="1:248">
      <c r="A7" s="402">
        <f t="shared" ca="1" si="6"/>
        <v>0.01</v>
      </c>
      <c r="B7" s="357">
        <f t="shared" ca="1" si="7"/>
        <v>0.03</v>
      </c>
      <c r="C7" s="342"/>
      <c r="D7" s="359">
        <f t="shared" ca="1" si="8"/>
        <v>21.569704056868346</v>
      </c>
      <c r="E7" s="360">
        <f t="shared" ca="1" si="9"/>
        <v>122.33543115636215</v>
      </c>
      <c r="F7" s="357">
        <f t="shared" ca="1" si="10"/>
        <v>124.22242088010483</v>
      </c>
      <c r="G7" s="359">
        <f t="shared" ca="1" si="11"/>
        <v>0.39516478931076171</v>
      </c>
      <c r="H7" s="360">
        <f t="shared" ca="1" si="12"/>
        <v>2.2412357710869522</v>
      </c>
      <c r="I7" s="357">
        <f t="shared" ca="1" si="13"/>
        <v>2.2758060093757426</v>
      </c>
      <c r="J7" s="359">
        <f t="shared" ca="1" si="14"/>
        <v>4.1488299937873117E-3</v>
      </c>
      <c r="K7" s="360">
        <f t="shared" ca="1" si="15"/>
        <v>2.3530778934193496E-2</v>
      </c>
      <c r="L7" s="357">
        <f t="shared" ca="1" si="0"/>
        <v>2.3893730298286068E-2</v>
      </c>
      <c r="M7" s="359">
        <f t="shared" ca="1" si="16"/>
        <v>1.3962634015954636</v>
      </c>
      <c r="N7" s="357">
        <f t="shared" ca="1" si="17"/>
        <v>80</v>
      </c>
      <c r="O7" s="343"/>
      <c r="P7" s="363">
        <f t="shared" ca="1" si="18"/>
        <v>3</v>
      </c>
      <c r="Q7" s="357">
        <f t="shared" ca="1" si="19"/>
        <v>61.630333333333333</v>
      </c>
      <c r="R7" s="359">
        <f t="shared" ca="1" si="20"/>
        <v>3.5477400417090806E-2</v>
      </c>
      <c r="S7" s="360">
        <f t="shared" ca="1" si="21"/>
        <v>0.46031985070237025</v>
      </c>
      <c r="T7" s="357">
        <f t="shared" ca="1" si="1"/>
        <v>4.5157377353902524</v>
      </c>
      <c r="U7" s="364">
        <f t="shared" ca="1" si="2"/>
        <v>0.78414962857230852</v>
      </c>
      <c r="V7" s="359">
        <f t="shared" ca="1" si="3"/>
        <v>1.2249971174829721</v>
      </c>
      <c r="W7" s="357">
        <f t="shared" ca="1" si="4"/>
        <v>5.5927356485948555E-3</v>
      </c>
      <c r="X7" s="343"/>
      <c r="Y7" s="367" t="str">
        <f t="shared" ca="1" si="22"/>
        <v/>
      </c>
      <c r="Z7" s="368" t="str">
        <f t="shared" ca="1" si="23"/>
        <v/>
      </c>
      <c r="AA7" s="369" t="str">
        <f t="shared" ca="1" si="24"/>
        <v/>
      </c>
      <c r="AB7" s="344"/>
      <c r="AC7" s="363" t="e">
        <f t="shared" ca="1" si="25"/>
        <v>#N/A</v>
      </c>
      <c r="AD7" s="376" t="e">
        <f t="shared" ca="1" si="26"/>
        <v>#N/A</v>
      </c>
      <c r="AE7" s="377">
        <f t="shared" ca="1" si="5"/>
        <v>2.3530778934193496E-2</v>
      </c>
      <c r="AF7" s="344"/>
      <c r="AG7" s="359">
        <f t="shared" ca="1" si="27"/>
        <v>124.22242087316687</v>
      </c>
      <c r="AH7" s="357">
        <f t="shared" ca="1" si="28"/>
        <v>133.88338493021664</v>
      </c>
    </row>
    <row r="8" spans="1:248">
      <c r="A8" s="402">
        <f t="shared" ca="1" si="6"/>
        <v>0.01</v>
      </c>
      <c r="B8" s="357">
        <f t="shared" ca="1" si="7"/>
        <v>0.04</v>
      </c>
      <c r="C8" s="342"/>
      <c r="D8" s="359">
        <f t="shared" ca="1" si="8"/>
        <v>17.010297686211242</v>
      </c>
      <c r="E8" s="360">
        <f t="shared" ca="1" si="9"/>
        <v>96.47627042300887</v>
      </c>
      <c r="F8" s="357">
        <f t="shared" ca="1" si="10"/>
        <v>97.964386294750284</v>
      </c>
      <c r="G8" s="359">
        <f t="shared" ca="1" si="11"/>
        <v>0.56526776617287411</v>
      </c>
      <c r="H8" s="360">
        <f t="shared" ca="1" si="12"/>
        <v>3.205998475317041</v>
      </c>
      <c r="I8" s="357">
        <f t="shared" ca="1" si="13"/>
        <v>3.255449872323219</v>
      </c>
      <c r="J8" s="359">
        <f t="shared" ca="1" si="14"/>
        <v>8.9509927712054897E-3</v>
      </c>
      <c r="K8" s="360">
        <f t="shared" ca="1" si="15"/>
        <v>5.0766950166213465E-2</v>
      </c>
      <c r="L8" s="357">
        <f t="shared" ca="1" si="0"/>
        <v>5.1550009706778664E-2</v>
      </c>
      <c r="M8" s="359">
        <f t="shared" ca="1" si="16"/>
        <v>1.3962634015954636</v>
      </c>
      <c r="N8" s="357">
        <f t="shared" ca="1" si="17"/>
        <v>80</v>
      </c>
      <c r="O8" s="343"/>
      <c r="P8" s="363">
        <f t="shared" ca="1" si="18"/>
        <v>3</v>
      </c>
      <c r="Q8" s="357">
        <f t="shared" ca="1" si="19"/>
        <v>49.516999999999996</v>
      </c>
      <c r="R8" s="359">
        <f t="shared" ca="1" si="20"/>
        <v>2.8504379928494385E-2</v>
      </c>
      <c r="S8" s="360">
        <f t="shared" ca="1" si="21"/>
        <v>0.46003480690308529</v>
      </c>
      <c r="T8" s="357">
        <f t="shared" ca="1" si="1"/>
        <v>4.5129414557192673</v>
      </c>
      <c r="U8" s="364">
        <f t="shared" ca="1" si="2"/>
        <v>0.78366405970319486</v>
      </c>
      <c r="V8" s="359">
        <f t="shared" ca="1" si="3"/>
        <v>1.2249937810643905</v>
      </c>
      <c r="W8" s="357">
        <f t="shared" ca="1" si="4"/>
        <v>1.1443915814932735E-2</v>
      </c>
      <c r="X8" s="343"/>
      <c r="Y8" s="367" t="str">
        <f t="shared" ca="1" si="22"/>
        <v/>
      </c>
      <c r="Z8" s="368" t="str">
        <f t="shared" ca="1" si="23"/>
        <v/>
      </c>
      <c r="AA8" s="369" t="str">
        <f t="shared" ca="1" si="24"/>
        <v/>
      </c>
      <c r="AB8" s="344"/>
      <c r="AC8" s="363" t="e">
        <f t="shared" ca="1" si="25"/>
        <v>#N/A</v>
      </c>
      <c r="AD8" s="376" t="e">
        <f t="shared" ca="1" si="26"/>
        <v>#N/A</v>
      </c>
      <c r="AE8" s="377">
        <f t="shared" ca="1" si="5"/>
        <v>5.0766950166213465E-2</v>
      </c>
      <c r="AF8" s="344"/>
      <c r="AG8" s="359">
        <f t="shared" ca="1" si="27"/>
        <v>97.964386289064109</v>
      </c>
      <c r="AH8" s="357">
        <f t="shared" ca="1" si="28"/>
        <v>107.62535034611388</v>
      </c>
    </row>
    <row r="9" spans="1:248">
      <c r="A9" s="402">
        <f t="shared" ca="1" si="6"/>
        <v>0.01</v>
      </c>
      <c r="B9" s="357">
        <f t="shared" ca="1" si="7"/>
        <v>0.05</v>
      </c>
      <c r="C9" s="342"/>
      <c r="D9" s="359">
        <f t="shared" ca="1" si="8"/>
        <v>12.442562747133827</v>
      </c>
      <c r="E9" s="360">
        <f t="shared" ca="1" si="9"/>
        <v>70.569873496264805</v>
      </c>
      <c r="F9" s="357">
        <f t="shared" ca="1" si="10"/>
        <v>71.658386899198206</v>
      </c>
      <c r="G9" s="359">
        <f t="shared" ca="1" si="11"/>
        <v>0.68969339364421234</v>
      </c>
      <c r="H9" s="360">
        <f t="shared" ca="1" si="12"/>
        <v>3.911697210279689</v>
      </c>
      <c r="I9" s="357">
        <f t="shared" ca="1" si="13"/>
        <v>3.9720337413151934</v>
      </c>
      <c r="J9" s="359">
        <f t="shared" ca="1" si="14"/>
        <v>1.5225798570290921E-2</v>
      </c>
      <c r="K9" s="360">
        <f t="shared" ca="1" si="15"/>
        <v>8.635542859419712E-2</v>
      </c>
      <c r="L9" s="357">
        <f t="shared" ca="1" si="0"/>
        <v>8.7687427774969837E-2</v>
      </c>
      <c r="M9" s="359">
        <f t="shared" ca="1" si="16"/>
        <v>1.3962634015954636</v>
      </c>
      <c r="N9" s="357">
        <f t="shared" ca="1" si="17"/>
        <v>80</v>
      </c>
      <c r="O9" s="343"/>
      <c r="P9" s="363">
        <f t="shared" ca="1" si="18"/>
        <v>3</v>
      </c>
      <c r="Q9" s="357">
        <f t="shared" ca="1" si="19"/>
        <v>37.403666666666666</v>
      </c>
      <c r="R9" s="359">
        <f t="shared" ca="1" si="20"/>
        <v>2.1531359439897972E-2</v>
      </c>
      <c r="S9" s="360">
        <f t="shared" ca="1" si="21"/>
        <v>0.45981949330868632</v>
      </c>
      <c r="T9" s="357">
        <f t="shared" ca="1" si="1"/>
        <v>4.5108292293582126</v>
      </c>
      <c r="U9" s="364">
        <f t="shared" ca="1" si="2"/>
        <v>0.78329727544477767</v>
      </c>
      <c r="V9" s="359">
        <f t="shared" ca="1" si="3"/>
        <v>1.2249894215056729</v>
      </c>
      <c r="W9" s="357">
        <f t="shared" ca="1" si="4"/>
        <v>1.7036365228511031E-2</v>
      </c>
      <c r="X9" s="343"/>
      <c r="Y9" s="367" t="str">
        <f t="shared" ca="1" si="22"/>
        <v/>
      </c>
      <c r="Z9" s="368" t="str">
        <f t="shared" ca="1" si="23"/>
        <v/>
      </c>
      <c r="AA9" s="369" t="str">
        <f t="shared" ca="1" si="24"/>
        <v/>
      </c>
      <c r="AB9" s="344"/>
      <c r="AC9" s="363" t="e">
        <f t="shared" ca="1" si="25"/>
        <v>#N/A</v>
      </c>
      <c r="AD9" s="376" t="e">
        <f t="shared" ca="1" si="26"/>
        <v>#N/A</v>
      </c>
      <c r="AE9" s="377">
        <f t="shared" ca="1" si="5"/>
        <v>8.635542859419712E-2</v>
      </c>
      <c r="AF9" s="344"/>
      <c r="AG9" s="359">
        <f t="shared" ca="1" si="27"/>
        <v>71.658386894758564</v>
      </c>
      <c r="AH9" s="357">
        <f t="shared" ca="1" si="28"/>
        <v>81.319350951808318</v>
      </c>
    </row>
    <row r="10" spans="1:248">
      <c r="A10" s="402">
        <f t="shared" ca="1" si="6"/>
        <v>0.01</v>
      </c>
      <c r="B10" s="357">
        <f t="shared" ca="1" si="7"/>
        <v>6.0000000000000005E-2</v>
      </c>
      <c r="C10" s="342"/>
      <c r="D10" s="359">
        <f t="shared" ca="1" si="8"/>
        <v>9.5516184688667831</v>
      </c>
      <c r="E10" s="360">
        <f t="shared" ca="1" si="9"/>
        <v>54.173574257733492</v>
      </c>
      <c r="F10" s="357">
        <f t="shared" ca="1" si="10"/>
        <v>55.009177081946625</v>
      </c>
      <c r="G10" s="359">
        <f t="shared" ca="1" si="11"/>
        <v>0.78520957833288019</v>
      </c>
      <c r="H10" s="360">
        <f t="shared" ca="1" si="12"/>
        <v>4.4534329528570238</v>
      </c>
      <c r="I10" s="357">
        <f t="shared" ca="1" si="13"/>
        <v>4.5221255121345907</v>
      </c>
      <c r="J10" s="359">
        <f t="shared" ca="1" si="14"/>
        <v>2.2600313430176384E-2</v>
      </c>
      <c r="K10" s="360">
        <f t="shared" ca="1" si="15"/>
        <v>0.12818107940988069</v>
      </c>
      <c r="L10" s="357">
        <f t="shared" ca="1" si="0"/>
        <v>0.13015822404221852</v>
      </c>
      <c r="M10" s="359">
        <f t="shared" ca="1" si="16"/>
        <v>1.3962634015954636</v>
      </c>
      <c r="N10" s="357">
        <f t="shared" ca="1" si="17"/>
        <v>80</v>
      </c>
      <c r="O10" s="343"/>
      <c r="P10" s="363">
        <f t="shared" ca="1" si="18"/>
        <v>4</v>
      </c>
      <c r="Q10" s="357">
        <f t="shared" ca="1" si="19"/>
        <v>29.742555555555555</v>
      </c>
      <c r="R10" s="359">
        <f t="shared" ca="1" si="20"/>
        <v>1.7121253379645516E-2</v>
      </c>
      <c r="S10" s="360">
        <f t="shared" ca="1" si="21"/>
        <v>0.45964828077488989</v>
      </c>
      <c r="T10" s="357">
        <f t="shared" ca="1" si="1"/>
        <v>4.5091496344016697</v>
      </c>
      <c r="U10" s="364">
        <f t="shared" ca="1" si="2"/>
        <v>0.7830056168413555</v>
      </c>
      <c r="V10" s="359">
        <f t="shared" ca="1" si="3"/>
        <v>1.2249842979184078</v>
      </c>
      <c r="W10" s="357">
        <f t="shared" ca="1" si="4"/>
        <v>2.2081800991786072E-2</v>
      </c>
      <c r="X10" s="343"/>
      <c r="Y10" s="367" t="str">
        <f t="shared" ca="1" si="22"/>
        <v/>
      </c>
      <c r="Z10" s="368" t="str">
        <f t="shared" ca="1" si="23"/>
        <v/>
      </c>
      <c r="AA10" s="369" t="str">
        <f t="shared" ca="1" si="24"/>
        <v/>
      </c>
      <c r="AB10" s="344"/>
      <c r="AC10" s="363" t="e">
        <f t="shared" ca="1" si="25"/>
        <v>#N/A</v>
      </c>
      <c r="AD10" s="376" t="e">
        <f t="shared" ca="1" si="26"/>
        <v>#N/A</v>
      </c>
      <c r="AE10" s="377">
        <f t="shared" ca="1" si="5"/>
        <v>0.12818107940988069</v>
      </c>
      <c r="AF10" s="344"/>
      <c r="AG10" s="359">
        <f t="shared" ca="1" si="27"/>
        <v>55.009177078287031</v>
      </c>
      <c r="AH10" s="357">
        <f t="shared" ca="1" si="28"/>
        <v>64.670141135336792</v>
      </c>
    </row>
    <row r="11" spans="1:248">
      <c r="A11" s="402">
        <f t="shared" ca="1" si="6"/>
        <v>0.01</v>
      </c>
      <c r="B11" s="357">
        <f t="shared" ca="1" si="7"/>
        <v>7.0000000000000007E-2</v>
      </c>
      <c r="C11" s="342"/>
      <c r="D11" s="359">
        <f t="shared" ca="1" si="8"/>
        <v>9.2934669557541394</v>
      </c>
      <c r="E11" s="360">
        <f t="shared" ca="1" si="9"/>
        <v>52.709440938994149</v>
      </c>
      <c r="F11" s="357">
        <f t="shared" ca="1" si="10"/>
        <v>53.522459698326706</v>
      </c>
      <c r="G11" s="359">
        <f t="shared" ca="1" si="11"/>
        <v>0.87814424789042156</v>
      </c>
      <c r="H11" s="360">
        <f t="shared" ca="1" si="12"/>
        <v>4.9805273622469652</v>
      </c>
      <c r="I11" s="357">
        <f t="shared" ca="1" si="13"/>
        <v>5.0573501091177926</v>
      </c>
      <c r="J11" s="359">
        <f t="shared" ca="1" si="14"/>
        <v>3.0917082561292893E-2</v>
      </c>
      <c r="K11" s="360">
        <f t="shared" ca="1" si="15"/>
        <v>0.17535088098540064</v>
      </c>
      <c r="L11" s="357">
        <f t="shared" ca="1" si="0"/>
        <v>0.1780556021484804</v>
      </c>
      <c r="M11" s="359">
        <f t="shared" ca="1" si="16"/>
        <v>1.3962634015954636</v>
      </c>
      <c r="N11" s="357">
        <f t="shared" ca="1" si="17"/>
        <v>80</v>
      </c>
      <c r="O11" s="343"/>
      <c r="P11" s="363">
        <f t="shared" ca="1" si="18"/>
        <v>5</v>
      </c>
      <c r="Q11" s="357">
        <f t="shared" ca="1" si="19"/>
        <v>29.053666666666668</v>
      </c>
      <c r="R11" s="359">
        <f t="shared" ca="1" si="20"/>
        <v>1.6724695619332753E-2</v>
      </c>
      <c r="S11" s="360">
        <f t="shared" ca="1" si="21"/>
        <v>0.45948103381869659</v>
      </c>
      <c r="T11" s="357">
        <f t="shared" ca="1" si="1"/>
        <v>4.5075089417614143</v>
      </c>
      <c r="U11" s="364">
        <f t="shared" ca="1" si="2"/>
        <v>0.78272071355426354</v>
      </c>
      <c r="V11" s="359">
        <f t="shared" ca="1" si="3"/>
        <v>1.2249785197054088</v>
      </c>
      <c r="W11" s="357">
        <f t="shared" ca="1" si="4"/>
        <v>2.7618065717722996E-2</v>
      </c>
      <c r="X11" s="343"/>
      <c r="Y11" s="367" t="str">
        <f t="shared" ca="1" si="22"/>
        <v/>
      </c>
      <c r="Z11" s="368" t="str">
        <f t="shared" ca="1" si="23"/>
        <v/>
      </c>
      <c r="AA11" s="369" t="str">
        <f t="shared" ca="1" si="24"/>
        <v/>
      </c>
      <c r="AB11" s="344"/>
      <c r="AC11" s="363" t="e">
        <f t="shared" ca="1" si="25"/>
        <v>#N/A</v>
      </c>
      <c r="AD11" s="376" t="e">
        <f t="shared" ca="1" si="26"/>
        <v>#N/A</v>
      </c>
      <c r="AE11" s="377">
        <f t="shared" ca="1" si="5"/>
        <v>0.17535088098540064</v>
      </c>
      <c r="AF11" s="344"/>
      <c r="AG11" s="359">
        <f t="shared" ca="1" si="27"/>
        <v>53.522459694735069</v>
      </c>
      <c r="AH11" s="357">
        <f t="shared" ca="1" si="28"/>
        <v>63.183423751784829</v>
      </c>
    </row>
    <row r="12" spans="1:248">
      <c r="A12" s="402">
        <f t="shared" ca="1" si="6"/>
        <v>0.01</v>
      </c>
      <c r="B12" s="357">
        <f t="shared" ca="1" si="7"/>
        <v>0.08</v>
      </c>
      <c r="C12" s="342"/>
      <c r="D12" s="359">
        <f t="shared" ca="1" si="8"/>
        <v>9.6701883420363064</v>
      </c>
      <c r="E12" s="360">
        <f t="shared" ca="1" si="9"/>
        <v>54.846057287974787</v>
      </c>
      <c r="F12" s="357">
        <f t="shared" ca="1" si="10"/>
        <v>55.692033026333917</v>
      </c>
      <c r="G12" s="359">
        <f t="shared" ca="1" si="11"/>
        <v>0.97484613131078457</v>
      </c>
      <c r="H12" s="360">
        <f t="shared" ca="1" si="12"/>
        <v>5.5289879351267128</v>
      </c>
      <c r="I12" s="357">
        <f t="shared" ca="1" si="13"/>
        <v>5.6142704393810918</v>
      </c>
      <c r="J12" s="359">
        <f t="shared" ca="1" si="14"/>
        <v>4.0182034457298926E-2</v>
      </c>
      <c r="K12" s="360">
        <f t="shared" ca="1" si="15"/>
        <v>0.22789845747226903</v>
      </c>
      <c r="L12" s="357">
        <f t="shared" ca="1" si="0"/>
        <v>0.23141370489097482</v>
      </c>
      <c r="M12" s="359">
        <f t="shared" ca="1" si="16"/>
        <v>1.3962634015954636</v>
      </c>
      <c r="N12" s="357">
        <f t="shared" ca="1" si="17"/>
        <v>80</v>
      </c>
      <c r="O12" s="343"/>
      <c r="P12" s="363">
        <f t="shared" ca="1" si="18"/>
        <v>5</v>
      </c>
      <c r="Q12" s="357">
        <f t="shared" ca="1" si="19"/>
        <v>30.044777777777778</v>
      </c>
      <c r="R12" s="359">
        <f t="shared" ca="1" si="20"/>
        <v>1.7295227106750473E-2</v>
      </c>
      <c r="S12" s="360">
        <f t="shared" ca="1" si="21"/>
        <v>0.45930808154762909</v>
      </c>
      <c r="T12" s="357">
        <f t="shared" ca="1" si="1"/>
        <v>4.5058122799822415</v>
      </c>
      <c r="U12" s="364">
        <f t="shared" ca="1" si="2"/>
        <v>0.78242609132819307</v>
      </c>
      <c r="V12" s="359">
        <f t="shared" ca="1" si="3"/>
        <v>1.2249720827570745</v>
      </c>
      <c r="W12" s="357">
        <f t="shared" ca="1" si="4"/>
        <v>3.4035457623090182E-2</v>
      </c>
      <c r="X12" s="343"/>
      <c r="Y12" s="367" t="str">
        <f t="shared" ca="1" si="22"/>
        <v/>
      </c>
      <c r="Z12" s="368" t="str">
        <f t="shared" ca="1" si="23"/>
        <v/>
      </c>
      <c r="AA12" s="369" t="str">
        <f t="shared" ca="1" si="24"/>
        <v/>
      </c>
      <c r="AB12" s="344"/>
      <c r="AC12" s="363" t="e">
        <f t="shared" ca="1" si="25"/>
        <v>#N/A</v>
      </c>
      <c r="AD12" s="376" t="e">
        <f t="shared" ca="1" si="26"/>
        <v>#N/A</v>
      </c>
      <c r="AE12" s="377">
        <f t="shared" ca="1" si="5"/>
        <v>0.22789845747226903</v>
      </c>
      <c r="AF12" s="344"/>
      <c r="AG12" s="359">
        <f t="shared" ca="1" si="27"/>
        <v>55.692033022639883</v>
      </c>
      <c r="AH12" s="357">
        <f t="shared" ca="1" si="28"/>
        <v>65.352997079689644</v>
      </c>
    </row>
    <row r="13" spans="1:248">
      <c r="A13" s="402">
        <f t="shared" ca="1" si="6"/>
        <v>0.01</v>
      </c>
      <c r="B13" s="357">
        <f t="shared" ca="1" si="7"/>
        <v>0.09</v>
      </c>
      <c r="C13" s="342"/>
      <c r="D13" s="359">
        <f t="shared" ca="1" si="8"/>
        <v>10.047005987842031</v>
      </c>
      <c r="E13" s="360">
        <f t="shared" ca="1" si="9"/>
        <v>56.983219692092518</v>
      </c>
      <c r="F13" s="357">
        <f t="shared" ca="1" si="10"/>
        <v>57.862160828965024</v>
      </c>
      <c r="G13" s="359">
        <f t="shared" ca="1" si="11"/>
        <v>1.0753161911892049</v>
      </c>
      <c r="H13" s="360">
        <f t="shared" ca="1" si="12"/>
        <v>6.0988201320476385</v>
      </c>
      <c r="I13" s="357">
        <f t="shared" ca="1" si="13"/>
        <v>6.1928920476707194</v>
      </c>
      <c r="J13" s="359">
        <f t="shared" ca="1" si="14"/>
        <v>5.0432846069798878E-2</v>
      </c>
      <c r="K13" s="360">
        <f t="shared" ca="1" si="15"/>
        <v>0.28603749780814081</v>
      </c>
      <c r="L13" s="357">
        <f t="shared" ca="1" si="0"/>
        <v>0.29044951732623375</v>
      </c>
      <c r="M13" s="359">
        <f t="shared" ca="1" si="16"/>
        <v>1.3962634015954636</v>
      </c>
      <c r="N13" s="357">
        <f t="shared" ca="1" si="17"/>
        <v>80</v>
      </c>
      <c r="O13" s="343"/>
      <c r="P13" s="363">
        <f t="shared" ca="1" si="18"/>
        <v>5</v>
      </c>
      <c r="Q13" s="357">
        <f t="shared" ca="1" si="19"/>
        <v>31.035888888888888</v>
      </c>
      <c r="R13" s="359">
        <f t="shared" ca="1" si="20"/>
        <v>1.7865758594168193E-2</v>
      </c>
      <c r="S13" s="360">
        <f t="shared" ca="1" si="21"/>
        <v>0.45912942396168743</v>
      </c>
      <c r="T13" s="357">
        <f t="shared" ca="1" si="1"/>
        <v>4.5040596490641542</v>
      </c>
      <c r="U13" s="364">
        <f t="shared" ca="1" si="2"/>
        <v>0.78212175016314456</v>
      </c>
      <c r="V13" s="359">
        <f t="shared" ca="1" si="3"/>
        <v>1.2249649609076434</v>
      </c>
      <c r="W13" s="357">
        <f t="shared" ca="1" si="4"/>
        <v>4.1412307584111803E-2</v>
      </c>
      <c r="X13" s="343"/>
      <c r="Y13" s="367" t="str">
        <f t="shared" ca="1" si="22"/>
        <v/>
      </c>
      <c r="Z13" s="368" t="str">
        <f t="shared" ca="1" si="23"/>
        <v/>
      </c>
      <c r="AA13" s="369" t="str">
        <f t="shared" ca="1" si="24"/>
        <v/>
      </c>
      <c r="AB13" s="344"/>
      <c r="AC13" s="363" t="e">
        <f t="shared" ca="1" si="25"/>
        <v>#N/A</v>
      </c>
      <c r="AD13" s="376" t="e">
        <f t="shared" ca="1" si="26"/>
        <v>#N/A</v>
      </c>
      <c r="AE13" s="377">
        <f t="shared" ca="1" si="5"/>
        <v>0.28603749780814081</v>
      </c>
      <c r="AF13" s="344"/>
      <c r="AG13" s="359">
        <f t="shared" ca="1" si="27"/>
        <v>57.862160825168154</v>
      </c>
      <c r="AH13" s="357">
        <f t="shared" ca="1" si="28"/>
        <v>67.523124882217914</v>
      </c>
    </row>
    <row r="14" spans="1:248">
      <c r="A14" s="402">
        <f t="shared" ca="1" si="6"/>
        <v>0.01</v>
      </c>
      <c r="B14" s="357">
        <f t="shared" ca="1" si="7"/>
        <v>9.9999999999999992E-2</v>
      </c>
      <c r="C14" s="342"/>
      <c r="D14" s="359">
        <f t="shared" ca="1" si="8"/>
        <v>10.423904421098358</v>
      </c>
      <c r="E14" s="360">
        <f t="shared" ca="1" si="9"/>
        <v>59.120840409624975</v>
      </c>
      <c r="F14" s="357">
        <f t="shared" ca="1" si="10"/>
        <v>60.032754010794299</v>
      </c>
      <c r="G14" s="359">
        <f t="shared" ca="1" si="11"/>
        <v>1.1795552354001884</v>
      </c>
      <c r="H14" s="360">
        <f t="shared" ca="1" si="12"/>
        <v>6.6900285361438883</v>
      </c>
      <c r="I14" s="357">
        <f t="shared" ca="1" si="13"/>
        <v>6.7932195877786494</v>
      </c>
      <c r="J14" s="359">
        <f t="shared" ca="1" si="14"/>
        <v>6.1707203202745843E-2</v>
      </c>
      <c r="K14" s="360">
        <f t="shared" ca="1" si="15"/>
        <v>0.34998174114909841</v>
      </c>
      <c r="L14" s="357">
        <f t="shared" ca="1" si="0"/>
        <v>0.3553800755034805</v>
      </c>
      <c r="M14" s="359">
        <f t="shared" ca="1" si="16"/>
        <v>1.3962634015954636</v>
      </c>
      <c r="N14" s="357">
        <f t="shared" ca="1" si="17"/>
        <v>80</v>
      </c>
      <c r="O14" s="343"/>
      <c r="P14" s="363">
        <f t="shared" ca="1" si="18"/>
        <v>5</v>
      </c>
      <c r="Q14" s="357">
        <f t="shared" ca="1" si="19"/>
        <v>32.027000000000001</v>
      </c>
      <c r="R14" s="359">
        <f t="shared" ca="1" si="20"/>
        <v>1.8436290081585916E-2</v>
      </c>
      <c r="S14" s="360">
        <f t="shared" ca="1" si="21"/>
        <v>0.45894506106087157</v>
      </c>
      <c r="T14" s="357">
        <f t="shared" ca="1" si="1"/>
        <v>4.5022510490071506</v>
      </c>
      <c r="U14" s="364">
        <f t="shared" ca="1" si="2"/>
        <v>0.78180769005911754</v>
      </c>
      <c r="V14" s="359">
        <f t="shared" ca="1" si="3"/>
        <v>1.2249571279869302</v>
      </c>
      <c r="W14" s="357">
        <f t="shared" ca="1" si="4"/>
        <v>4.9830006190167205E-2</v>
      </c>
      <c r="X14" s="343"/>
      <c r="Y14" s="367" t="str">
        <f t="shared" ca="1" si="22"/>
        <v/>
      </c>
      <c r="Z14" s="368" t="str">
        <f t="shared" ca="1" si="23"/>
        <v/>
      </c>
      <c r="AA14" s="369" t="str">
        <f t="shared" ca="1" si="24"/>
        <v/>
      </c>
      <c r="AB14" s="344"/>
      <c r="AC14" s="363" t="e">
        <f t="shared" ca="1" si="25"/>
        <v>#N/A</v>
      </c>
      <c r="AD14" s="376" t="e">
        <f t="shared" ca="1" si="26"/>
        <v>#N/A</v>
      </c>
      <c r="AE14" s="377">
        <f t="shared" ca="1" si="5"/>
        <v>0.34998174114909841</v>
      </c>
      <c r="AF14" s="344"/>
      <c r="AG14" s="359">
        <f t="shared" ca="1" si="27"/>
        <v>60.032754006894116</v>
      </c>
      <c r="AH14" s="357">
        <f t="shared" ca="1" si="28"/>
        <v>69.693718063943876</v>
      </c>
    </row>
    <row r="15" spans="1:248">
      <c r="A15" s="402">
        <f t="shared" ca="1" si="6"/>
        <v>0.01</v>
      </c>
      <c r="B15" s="357">
        <f t="shared" ca="1" si="7"/>
        <v>0.10999999999999999</v>
      </c>
      <c r="C15" s="342"/>
      <c r="D15" s="359">
        <f t="shared" ca="1" si="8"/>
        <v>10.560276683752406</v>
      </c>
      <c r="E15" s="360">
        <f t="shared" ca="1" si="9"/>
        <v>59.89429133311306</v>
      </c>
      <c r="F15" s="357">
        <f t="shared" ca="1" si="10"/>
        <v>60.818135271752837</v>
      </c>
      <c r="G15" s="359">
        <f t="shared" ca="1" si="11"/>
        <v>1.2851580022377125</v>
      </c>
      <c r="H15" s="360">
        <f t="shared" ca="1" si="12"/>
        <v>7.2889714494750191</v>
      </c>
      <c r="I15" s="357">
        <f t="shared" ca="1" si="13"/>
        <v>7.4014009404961696</v>
      </c>
      <c r="J15" s="359">
        <f t="shared" ca="1" si="14"/>
        <v>7.403076939093535E-2</v>
      </c>
      <c r="K15" s="360">
        <f t="shared" ca="1" si="15"/>
        <v>0.41987674107719297</v>
      </c>
      <c r="L15" s="357">
        <f t="shared" ca="1" si="0"/>
        <v>0.42635317814485446</v>
      </c>
      <c r="M15" s="359">
        <f t="shared" ca="1" si="16"/>
        <v>1.3962634015954636</v>
      </c>
      <c r="N15" s="357">
        <f t="shared" ca="1" si="17"/>
        <v>80</v>
      </c>
      <c r="O15" s="343"/>
      <c r="P15" s="363">
        <f t="shared" ca="1" si="18"/>
        <v>6</v>
      </c>
      <c r="Q15" s="357">
        <f t="shared" ca="1" si="19"/>
        <v>32.382726495726494</v>
      </c>
      <c r="R15" s="359">
        <f t="shared" ca="1" si="20"/>
        <v>1.8641063456079927E-2</v>
      </c>
      <c r="S15" s="360">
        <f t="shared" ca="1" si="21"/>
        <v>0.45875865042631075</v>
      </c>
      <c r="T15" s="357">
        <f t="shared" ca="1" si="1"/>
        <v>4.5004223606821085</v>
      </c>
      <c r="U15" s="364">
        <f t="shared" ca="1" si="2"/>
        <v>0.78149014166395314</v>
      </c>
      <c r="V15" s="359">
        <f t="shared" ca="1" si="3"/>
        <v>1.2249485661790114</v>
      </c>
      <c r="W15" s="357">
        <f t="shared" ca="1" si="4"/>
        <v>5.9151322796792541E-2</v>
      </c>
      <c r="X15" s="343"/>
      <c r="Y15" s="367" t="str">
        <f t="shared" ca="1" si="22"/>
        <v/>
      </c>
      <c r="Z15" s="368" t="str">
        <f t="shared" ca="1" si="23"/>
        <v/>
      </c>
      <c r="AA15" s="369" t="str">
        <f t="shared" ca="1" si="24"/>
        <v/>
      </c>
      <c r="AB15" s="344"/>
      <c r="AC15" s="363" t="e">
        <f t="shared" ca="1" si="25"/>
        <v>#N/A</v>
      </c>
      <c r="AD15" s="376" t="e">
        <f t="shared" ca="1" si="26"/>
        <v>#N/A</v>
      </c>
      <c r="AE15" s="377">
        <f t="shared" ca="1" si="5"/>
        <v>0.41987674107719297</v>
      </c>
      <c r="AF15" s="344"/>
      <c r="AG15" s="359">
        <f t="shared" ca="1" si="27"/>
        <v>60.818135267813823</v>
      </c>
      <c r="AH15" s="357">
        <f t="shared" ca="1" si="28"/>
        <v>70.479099324863583</v>
      </c>
    </row>
    <row r="16" spans="1:248">
      <c r="A16" s="402">
        <f t="shared" ca="1" si="6"/>
        <v>0.01</v>
      </c>
      <c r="B16" s="357">
        <f t="shared" ca="1" si="7"/>
        <v>0.11999999999999998</v>
      </c>
      <c r="C16" s="342"/>
      <c r="D16" s="359">
        <f t="shared" ca="1" si="8"/>
        <v>10.696472899303293</v>
      </c>
      <c r="E16" s="360">
        <f t="shared" ca="1" si="9"/>
        <v>60.666743898770505</v>
      </c>
      <c r="F16" s="357">
        <f t="shared" ca="1" si="10"/>
        <v>61.602502771921031</v>
      </c>
      <c r="G16" s="359">
        <f t="shared" ca="1" si="11"/>
        <v>1.3921227312307454</v>
      </c>
      <c r="H16" s="360">
        <f t="shared" ca="1" si="12"/>
        <v>7.8956388884627238</v>
      </c>
      <c r="I16" s="357">
        <f t="shared" ca="1" si="13"/>
        <v>8.0174259682153739</v>
      </c>
      <c r="J16" s="359">
        <f t="shared" ca="1" si="14"/>
        <v>8.7417173058277647E-2</v>
      </c>
      <c r="K16" s="360">
        <f t="shared" ca="1" si="15"/>
        <v>0.49579979276688169</v>
      </c>
      <c r="L16" s="357">
        <f t="shared" ca="1" si="0"/>
        <v>0.50344731268841203</v>
      </c>
      <c r="M16" s="359">
        <f t="shared" ca="1" si="16"/>
        <v>1.3962634015954636</v>
      </c>
      <c r="N16" s="357">
        <f t="shared" ca="1" si="17"/>
        <v>80</v>
      </c>
      <c r="O16" s="343"/>
      <c r="P16" s="363">
        <f t="shared" ca="1" si="18"/>
        <v>6</v>
      </c>
      <c r="Q16" s="357">
        <f t="shared" ca="1" si="19"/>
        <v>32.738452991452995</v>
      </c>
      <c r="R16" s="359">
        <f t="shared" ca="1" si="20"/>
        <v>1.8845836830573941E-2</v>
      </c>
      <c r="S16" s="360">
        <f t="shared" ca="1" si="21"/>
        <v>0.45857019205800503</v>
      </c>
      <c r="T16" s="357">
        <f t="shared" ca="1" si="1"/>
        <v>4.49857358408903</v>
      </c>
      <c r="U16" s="364">
        <f t="shared" ca="1" si="2"/>
        <v>0.7811691049776518</v>
      </c>
      <c r="V16" s="359">
        <f t="shared" ca="1" si="3"/>
        <v>1.2249392660309806</v>
      </c>
      <c r="W16" s="357">
        <f t="shared" ca="1" si="4"/>
        <v>6.9406991303585561E-2</v>
      </c>
      <c r="X16" s="343"/>
      <c r="Y16" s="367" t="str">
        <f t="shared" ca="1" si="22"/>
        <v/>
      </c>
      <c r="Z16" s="368" t="str">
        <f t="shared" ca="1" si="23"/>
        <v/>
      </c>
      <c r="AA16" s="369" t="str">
        <f t="shared" ca="1" si="24"/>
        <v/>
      </c>
      <c r="AB16" s="344"/>
      <c r="AC16" s="363" t="e">
        <f t="shared" ca="1" si="25"/>
        <v>#N/A</v>
      </c>
      <c r="AD16" s="376" t="e">
        <f t="shared" ca="1" si="26"/>
        <v>#N/A</v>
      </c>
      <c r="AE16" s="377">
        <f t="shared" ca="1" si="5"/>
        <v>0.49579979276688169</v>
      </c>
      <c r="AF16" s="344"/>
      <c r="AG16" s="359">
        <f t="shared" ca="1" si="27"/>
        <v>61.602502767943001</v>
      </c>
      <c r="AH16" s="357">
        <f t="shared" ca="1" si="28"/>
        <v>71.263466824992761</v>
      </c>
    </row>
    <row r="17" spans="1:34">
      <c r="A17" s="402">
        <f t="shared" ca="1" si="6"/>
        <v>0.01</v>
      </c>
      <c r="B17" s="357">
        <f t="shared" ca="1" si="7"/>
        <v>0.12999999999999998</v>
      </c>
      <c r="C17" s="342"/>
      <c r="D17" s="359">
        <f t="shared" ca="1" si="8"/>
        <v>10.832483032974851</v>
      </c>
      <c r="E17" s="360">
        <f t="shared" ca="1" si="9"/>
        <v>61.438141197230451</v>
      </c>
      <c r="F17" s="357">
        <f t="shared" ca="1" si="10"/>
        <v>62.385798723992579</v>
      </c>
      <c r="G17" s="359">
        <f t="shared" ca="1" si="11"/>
        <v>1.500447561560494</v>
      </c>
      <c r="H17" s="360">
        <f t="shared" ca="1" si="12"/>
        <v>8.5100203004350288</v>
      </c>
      <c r="I17" s="357">
        <f t="shared" ca="1" si="13"/>
        <v>8.6412839554552967</v>
      </c>
      <c r="J17" s="359">
        <f t="shared" ca="1" si="14"/>
        <v>0.10188002452223384</v>
      </c>
      <c r="K17" s="360">
        <f t="shared" ca="1" si="15"/>
        <v>0.57782808871137048</v>
      </c>
      <c r="L17" s="357">
        <f t="shared" ca="1" si="0"/>
        <v>0.58674086230676525</v>
      </c>
      <c r="M17" s="359">
        <f t="shared" ca="1" si="16"/>
        <v>1.3962634015954636</v>
      </c>
      <c r="N17" s="357">
        <f t="shared" ca="1" si="17"/>
        <v>80</v>
      </c>
      <c r="O17" s="343"/>
      <c r="P17" s="363">
        <f t="shared" ca="1" si="18"/>
        <v>6</v>
      </c>
      <c r="Q17" s="357">
        <f t="shared" ca="1" si="19"/>
        <v>33.094179487179488</v>
      </c>
      <c r="R17" s="359">
        <f t="shared" ca="1" si="20"/>
        <v>1.9050610205067951E-2</v>
      </c>
      <c r="S17" s="360">
        <f t="shared" ca="1" si="21"/>
        <v>0.45837968595595435</v>
      </c>
      <c r="T17" s="357">
        <f t="shared" ca="1" si="1"/>
        <v>4.4967047192279122</v>
      </c>
      <c r="U17" s="364">
        <f t="shared" ca="1" si="2"/>
        <v>0.78084458000021295</v>
      </c>
      <c r="V17" s="359">
        <f t="shared" ca="1" si="3"/>
        <v>1.2249292181041216</v>
      </c>
      <c r="W17" s="357">
        <f t="shared" ca="1" si="4"/>
        <v>8.0628075230206847E-2</v>
      </c>
      <c r="X17" s="343"/>
      <c r="Y17" s="367" t="str">
        <f t="shared" ca="1" si="22"/>
        <v/>
      </c>
      <c r="Z17" s="368" t="str">
        <f t="shared" ca="1" si="23"/>
        <v/>
      </c>
      <c r="AA17" s="369" t="str">
        <f t="shared" ca="1" si="24"/>
        <v/>
      </c>
      <c r="AB17" s="344"/>
      <c r="AC17" s="363" t="e">
        <f t="shared" ca="1" si="25"/>
        <v>#N/A</v>
      </c>
      <c r="AD17" s="376" t="e">
        <f t="shared" ca="1" si="26"/>
        <v>#N/A</v>
      </c>
      <c r="AE17" s="377">
        <f t="shared" ca="1" si="5"/>
        <v>0.57782808871137048</v>
      </c>
      <c r="AF17" s="344"/>
      <c r="AG17" s="359">
        <f t="shared" ca="1" si="27"/>
        <v>62.38579871997532</v>
      </c>
      <c r="AH17" s="357">
        <f t="shared" ca="1" si="28"/>
        <v>72.04676277702508</v>
      </c>
    </row>
    <row r="18" spans="1:34">
      <c r="A18" s="402">
        <f t="shared" ca="1" si="6"/>
        <v>0.01</v>
      </c>
      <c r="B18" s="357">
        <f t="shared" ca="1" si="7"/>
        <v>0.13999999999999999</v>
      </c>
      <c r="C18" s="342"/>
      <c r="D18" s="359">
        <f t="shared" ca="1" si="8"/>
        <v>10.968296903479061</v>
      </c>
      <c r="E18" s="360">
        <f t="shared" ca="1" si="9"/>
        <v>62.208425488218623</v>
      </c>
      <c r="F18" s="357">
        <f t="shared" ca="1" si="10"/>
        <v>63.167964496935603</v>
      </c>
      <c r="G18" s="359">
        <f t="shared" ca="1" si="11"/>
        <v>1.6101305305952847</v>
      </c>
      <c r="H18" s="360">
        <f t="shared" ca="1" si="12"/>
        <v>9.1321045553172144</v>
      </c>
      <c r="I18" s="357">
        <f t="shared" ca="1" si="13"/>
        <v>9.2729636004246494</v>
      </c>
      <c r="J18" s="359">
        <f t="shared" ca="1" si="14"/>
        <v>0.11743291498301273</v>
      </c>
      <c r="K18" s="360">
        <f t="shared" ca="1" si="15"/>
        <v>0.66603871299013173</v>
      </c>
      <c r="L18" s="357">
        <f t="shared" ca="1" si="0"/>
        <v>0.67631210008616482</v>
      </c>
      <c r="M18" s="359">
        <f t="shared" ca="1" si="16"/>
        <v>1.3962634015954636</v>
      </c>
      <c r="N18" s="357">
        <f t="shared" ca="1" si="17"/>
        <v>80</v>
      </c>
      <c r="O18" s="343"/>
      <c r="P18" s="363">
        <f t="shared" ca="1" si="18"/>
        <v>6</v>
      </c>
      <c r="Q18" s="357">
        <f t="shared" ca="1" si="19"/>
        <v>33.449905982905982</v>
      </c>
      <c r="R18" s="359">
        <f t="shared" ca="1" si="20"/>
        <v>1.9255383579561962E-2</v>
      </c>
      <c r="S18" s="360">
        <f t="shared" ca="1" si="21"/>
        <v>0.45818713212015871</v>
      </c>
      <c r="T18" s="357">
        <f t="shared" ca="1" si="1"/>
        <v>4.4948157660987569</v>
      </c>
      <c r="U18" s="364">
        <f t="shared" ca="1" si="2"/>
        <v>0.78051656673163683</v>
      </c>
      <c r="V18" s="359">
        <f t="shared" ca="1" si="3"/>
        <v>1.2249184129746649</v>
      </c>
      <c r="W18" s="357">
        <f t="shared" ca="1" si="4"/>
        <v>9.2845961615986225E-2</v>
      </c>
      <c r="X18" s="343"/>
      <c r="Y18" s="367" t="str">
        <f t="shared" ca="1" si="22"/>
        <v/>
      </c>
      <c r="Z18" s="368" t="str">
        <f t="shared" ca="1" si="23"/>
        <v/>
      </c>
      <c r="AA18" s="369" t="str">
        <f t="shared" ca="1" si="24"/>
        <v/>
      </c>
      <c r="AB18" s="344"/>
      <c r="AC18" s="363" t="e">
        <f t="shared" ca="1" si="25"/>
        <v>#N/A</v>
      </c>
      <c r="AD18" s="376" t="e">
        <f t="shared" ca="1" si="26"/>
        <v>#N/A</v>
      </c>
      <c r="AE18" s="377">
        <f t="shared" ca="1" si="5"/>
        <v>0.66603871299013173</v>
      </c>
      <c r="AF18" s="344"/>
      <c r="AG18" s="359">
        <f t="shared" ca="1" si="27"/>
        <v>63.16796449287893</v>
      </c>
      <c r="AH18" s="357">
        <f t="shared" ca="1" si="28"/>
        <v>72.82892854992869</v>
      </c>
    </row>
    <row r="19" spans="1:34">
      <c r="A19" s="402">
        <f t="shared" ca="1" si="6"/>
        <v>0.01</v>
      </c>
      <c r="B19" s="357">
        <f t="shared" ca="1" si="7"/>
        <v>0.15</v>
      </c>
      <c r="C19" s="342"/>
      <c r="D19" s="359">
        <f t="shared" ca="1" si="8"/>
        <v>11.103904184569078</v>
      </c>
      <c r="E19" s="360">
        <f t="shared" ca="1" si="9"/>
        <v>62.977538209361043</v>
      </c>
      <c r="F19" s="357">
        <f t="shared" ca="1" si="10"/>
        <v>63.948940624936242</v>
      </c>
      <c r="G19" s="359">
        <f t="shared" ca="1" si="11"/>
        <v>1.7211695724409755</v>
      </c>
      <c r="H19" s="360">
        <f t="shared" ca="1" si="12"/>
        <v>9.7618799374108249</v>
      </c>
      <c r="I19" s="357">
        <f t="shared" ca="1" si="13"/>
        <v>9.91245300667401</v>
      </c>
      <c r="J19" s="359">
        <f t="shared" ca="1" si="14"/>
        <v>0.13408941549819403</v>
      </c>
      <c r="K19" s="360">
        <f t="shared" ca="1" si="15"/>
        <v>0.7605086354537719</v>
      </c>
      <c r="L19" s="357">
        <f t="shared" ca="1" si="0"/>
        <v>0.77223918312165785</v>
      </c>
      <c r="M19" s="359">
        <f t="shared" ca="1" si="16"/>
        <v>1.3962634015954636</v>
      </c>
      <c r="N19" s="357">
        <f t="shared" ca="1" si="17"/>
        <v>80</v>
      </c>
      <c r="O19" s="343"/>
      <c r="P19" s="363">
        <f t="shared" ca="1" si="18"/>
        <v>6</v>
      </c>
      <c r="Q19" s="357">
        <f t="shared" ca="1" si="19"/>
        <v>33.805632478632482</v>
      </c>
      <c r="R19" s="359">
        <f t="shared" ca="1" si="20"/>
        <v>1.9460156954055976E-2</v>
      </c>
      <c r="S19" s="360">
        <f t="shared" ca="1" si="21"/>
        <v>0.45799253055061817</v>
      </c>
      <c r="T19" s="357">
        <f t="shared" ca="1" si="1"/>
        <v>4.4929067247015642</v>
      </c>
      <c r="U19" s="364">
        <f t="shared" ca="1" si="2"/>
        <v>0.78018506517192365</v>
      </c>
      <c r="V19" s="359">
        <f t="shared" ca="1" si="3"/>
        <v>1.2249068412345594</v>
      </c>
      <c r="W19" s="357">
        <f t="shared" ca="1" si="4"/>
        <v>0.10609235470020457</v>
      </c>
      <c r="X19" s="343"/>
      <c r="Y19" s="367" t="str">
        <f t="shared" ca="1" si="22"/>
        <v/>
      </c>
      <c r="Z19" s="368" t="str">
        <f t="shared" ca="1" si="23"/>
        <v/>
      </c>
      <c r="AA19" s="369" t="str">
        <f t="shared" ca="1" si="24"/>
        <v/>
      </c>
      <c r="AB19" s="344"/>
      <c r="AC19" s="363" t="e">
        <f t="shared" ca="1" si="25"/>
        <v>#N/A</v>
      </c>
      <c r="AD19" s="376" t="e">
        <f t="shared" ca="1" si="26"/>
        <v>#N/A</v>
      </c>
      <c r="AE19" s="377">
        <f t="shared" ca="1" si="5"/>
        <v>0.7605086354537719</v>
      </c>
      <c r="AF19" s="344"/>
      <c r="AG19" s="359">
        <f t="shared" ca="1" si="27"/>
        <v>63.948940620839956</v>
      </c>
      <c r="AH19" s="357">
        <f t="shared" ca="1" si="28"/>
        <v>73.609904677889716</v>
      </c>
    </row>
    <row r="20" spans="1:34">
      <c r="A20" s="402">
        <f t="shared" ca="1" si="6"/>
        <v>0.01</v>
      </c>
      <c r="B20" s="357">
        <f t="shared" ca="1" si="7"/>
        <v>0.16</v>
      </c>
      <c r="C20" s="342"/>
      <c r="D20" s="359">
        <f t="shared" ca="1" si="8"/>
        <v>11.239294406669643</v>
      </c>
      <c r="E20" s="360">
        <f t="shared" ca="1" si="9"/>
        <v>63.745419985430615</v>
      </c>
      <c r="F20" s="357">
        <f t="shared" ca="1" si="10"/>
        <v>64.72866681678785</v>
      </c>
      <c r="G20" s="359">
        <f t="shared" ca="1" si="11"/>
        <v>1.8335625165076719</v>
      </c>
      <c r="H20" s="360">
        <f t="shared" ca="1" si="12"/>
        <v>10.39933413726513</v>
      </c>
      <c r="I20" s="357">
        <f t="shared" ca="1" si="13"/>
        <v>10.559739674841888</v>
      </c>
      <c r="J20" s="359">
        <f t="shared" ca="1" si="14"/>
        <v>0.15186307594293727</v>
      </c>
      <c r="K20" s="360">
        <f t="shared" ca="1" si="15"/>
        <v>0.86131470582715164</v>
      </c>
      <c r="L20" s="357">
        <f t="shared" ca="1" si="0"/>
        <v>0.87460014652923712</v>
      </c>
      <c r="M20" s="359">
        <f t="shared" ca="1" si="16"/>
        <v>1.3962634015954636</v>
      </c>
      <c r="N20" s="357">
        <f t="shared" ca="1" si="17"/>
        <v>80</v>
      </c>
      <c r="O20" s="343"/>
      <c r="P20" s="363">
        <f t="shared" ca="1" si="18"/>
        <v>6</v>
      </c>
      <c r="Q20" s="357">
        <f t="shared" ca="1" si="19"/>
        <v>34.161358974358976</v>
      </c>
      <c r="R20" s="359">
        <f t="shared" ca="1" si="20"/>
        <v>1.9664930328549986E-2</v>
      </c>
      <c r="S20" s="360">
        <f t="shared" ca="1" si="21"/>
        <v>0.45779588124733267</v>
      </c>
      <c r="T20" s="357">
        <f t="shared" ca="1" si="1"/>
        <v>4.490977595036334</v>
      </c>
      <c r="U20" s="364">
        <f t="shared" ca="1" si="2"/>
        <v>0.7798500753210732</v>
      </c>
      <c r="V20" s="359">
        <f t="shared" ca="1" si="3"/>
        <v>1.2248944934922514</v>
      </c>
      <c r="W20" s="357">
        <f t="shared" ca="1" si="4"/>
        <v>0.12039926938156652</v>
      </c>
      <c r="X20" s="343"/>
      <c r="Y20" s="367" t="str">
        <f t="shared" ca="1" si="22"/>
        <v/>
      </c>
      <c r="Z20" s="368" t="str">
        <f t="shared" ca="1" si="23"/>
        <v/>
      </c>
      <c r="AA20" s="369" t="str">
        <f t="shared" ca="1" si="24"/>
        <v/>
      </c>
      <c r="AB20" s="344"/>
      <c r="AC20" s="363" t="e">
        <f t="shared" ca="1" si="25"/>
        <v>#N/A</v>
      </c>
      <c r="AD20" s="376" t="e">
        <f t="shared" ca="1" si="26"/>
        <v>#N/A</v>
      </c>
      <c r="AE20" s="377">
        <f t="shared" ca="1" si="5"/>
        <v>0.86131470582715164</v>
      </c>
      <c r="AF20" s="344"/>
      <c r="AG20" s="359">
        <f t="shared" ca="1" si="27"/>
        <v>64.728666812651724</v>
      </c>
      <c r="AH20" s="357">
        <f t="shared" ca="1" si="28"/>
        <v>74.389630869701492</v>
      </c>
    </row>
    <row r="21" spans="1:34">
      <c r="A21" s="402">
        <f t="shared" ca="1" si="6"/>
        <v>0.01</v>
      </c>
      <c r="B21" s="357">
        <f t="shared" ca="1" si="7"/>
        <v>0.17</v>
      </c>
      <c r="C21" s="342"/>
      <c r="D21" s="359">
        <f t="shared" ca="1" si="8"/>
        <v>11.374456958585794</v>
      </c>
      <c r="E21" s="360">
        <f t="shared" ca="1" si="9"/>
        <v>64.512010638037637</v>
      </c>
      <c r="F21" s="357">
        <f t="shared" ca="1" si="10"/>
        <v>65.507081965731018</v>
      </c>
      <c r="G21" s="359">
        <f t="shared" ca="1" si="11"/>
        <v>1.9473070860935298</v>
      </c>
      <c r="H21" s="360">
        <f t="shared" ca="1" si="12"/>
        <v>11.044454243645507</v>
      </c>
      <c r="I21" s="357">
        <f t="shared" ca="1" si="13"/>
        <v>11.214810494499197</v>
      </c>
      <c r="J21" s="359">
        <f t="shared" ca="1" si="14"/>
        <v>0.17076742395594327</v>
      </c>
      <c r="K21" s="360">
        <f t="shared" ca="1" si="15"/>
        <v>0.96853364773170481</v>
      </c>
      <c r="L21" s="357">
        <f t="shared" ca="1" si="0"/>
        <v>0.98347289737594235</v>
      </c>
      <c r="M21" s="359">
        <f t="shared" ca="1" si="16"/>
        <v>1.3962634015954636</v>
      </c>
      <c r="N21" s="357">
        <f t="shared" ca="1" si="17"/>
        <v>80</v>
      </c>
      <c r="O21" s="343"/>
      <c r="P21" s="363">
        <f t="shared" ca="1" si="18"/>
        <v>6</v>
      </c>
      <c r="Q21" s="357">
        <f t="shared" ca="1" si="19"/>
        <v>34.517085470085469</v>
      </c>
      <c r="R21" s="359">
        <f t="shared" ca="1" si="20"/>
        <v>1.9869703703043997E-2</v>
      </c>
      <c r="S21" s="360">
        <f t="shared" ca="1" si="21"/>
        <v>0.45759718421030221</v>
      </c>
      <c r="T21" s="357">
        <f t="shared" ca="1" si="1"/>
        <v>4.4890283771030646</v>
      </c>
      <c r="U21" s="364">
        <f t="shared" ca="1" si="2"/>
        <v>0.77951159717908525</v>
      </c>
      <c r="V21" s="359">
        <f t="shared" ca="1" si="3"/>
        <v>1.2248813603734767</v>
      </c>
      <c r="W21" s="357">
        <f t="shared" ca="1" si="4"/>
        <v>0.1357990244555215</v>
      </c>
      <c r="X21" s="343"/>
      <c r="Y21" s="367" t="str">
        <f t="shared" ca="1" si="22"/>
        <v/>
      </c>
      <c r="Z21" s="368" t="str">
        <f t="shared" ca="1" si="23"/>
        <v/>
      </c>
      <c r="AA21" s="369" t="str">
        <f t="shared" ca="1" si="24"/>
        <v/>
      </c>
      <c r="AB21" s="344"/>
      <c r="AC21" s="363" t="e">
        <f t="shared" ca="1" si="25"/>
        <v>#N/A</v>
      </c>
      <c r="AD21" s="376" t="e">
        <f t="shared" ca="1" si="26"/>
        <v>#N/A</v>
      </c>
      <c r="AE21" s="377">
        <f t="shared" ca="1" si="5"/>
        <v>0.96853364773170481</v>
      </c>
      <c r="AF21" s="344"/>
      <c r="AG21" s="359">
        <f t="shared" ca="1" si="27"/>
        <v>65.507081961554888</v>
      </c>
      <c r="AH21" s="357">
        <f t="shared" ca="1" si="28"/>
        <v>75.168046018604642</v>
      </c>
    </row>
    <row r="22" spans="1:34">
      <c r="A22" s="402">
        <f t="shared" ca="1" si="6"/>
        <v>0.01</v>
      </c>
      <c r="B22" s="357">
        <f t="shared" ca="1" si="7"/>
        <v>0.18000000000000002</v>
      </c>
      <c r="C22" s="342"/>
      <c r="D22" s="359">
        <f t="shared" ca="1" si="8"/>
        <v>11.509381089290796</v>
      </c>
      <c r="E22" s="360">
        <f t="shared" ca="1" si="9"/>
        <v>65.277249195769869</v>
      </c>
      <c r="F22" s="357">
        <f t="shared" ca="1" si="10"/>
        <v>66.284124159750064</v>
      </c>
      <c r="G22" s="359">
        <f t="shared" ca="1" si="11"/>
        <v>2.0624008969864378</v>
      </c>
      <c r="H22" s="360">
        <f t="shared" ca="1" si="12"/>
        <v>11.697226735603206</v>
      </c>
      <c r="I22" s="357">
        <f t="shared" ca="1" si="13"/>
        <v>11.877651736096698</v>
      </c>
      <c r="J22" s="359">
        <f t="shared" ca="1" si="14"/>
        <v>0.19081596387134311</v>
      </c>
      <c r="K22" s="360">
        <f t="shared" ca="1" si="15"/>
        <v>1.0822420526279484</v>
      </c>
      <c r="L22" s="357">
        <f t="shared" ca="1" si="0"/>
        <v>1.0989352085289217</v>
      </c>
      <c r="M22" s="359">
        <f t="shared" ca="1" si="16"/>
        <v>1.3962634015954636</v>
      </c>
      <c r="N22" s="357">
        <f t="shared" ca="1" si="17"/>
        <v>80</v>
      </c>
      <c r="O22" s="343"/>
      <c r="P22" s="363">
        <f t="shared" ca="1" si="18"/>
        <v>6</v>
      </c>
      <c r="Q22" s="357">
        <f t="shared" ca="1" si="19"/>
        <v>34.87281196581197</v>
      </c>
      <c r="R22" s="359">
        <f t="shared" ca="1" si="20"/>
        <v>2.0074477077538011E-2</v>
      </c>
      <c r="S22" s="360">
        <f t="shared" ca="1" si="21"/>
        <v>0.45739643943952685</v>
      </c>
      <c r="T22" s="357">
        <f t="shared" ca="1" si="1"/>
        <v>4.4870590709017586</v>
      </c>
      <c r="U22" s="364">
        <f t="shared" ca="1" si="2"/>
        <v>0.77916963074596024</v>
      </c>
      <c r="V22" s="359">
        <f t="shared" ca="1" si="3"/>
        <v>1.2248674325220581</v>
      </c>
      <c r="W22" s="357">
        <f t="shared" ca="1" si="4"/>
        <v>0.15232423562823513</v>
      </c>
      <c r="X22" s="343"/>
      <c r="Y22" s="367" t="str">
        <f t="shared" ca="1" si="22"/>
        <v/>
      </c>
      <c r="Z22" s="368" t="str">
        <f t="shared" ca="1" si="23"/>
        <v/>
      </c>
      <c r="AA22" s="369" t="str">
        <f t="shared" ca="1" si="24"/>
        <v/>
      </c>
      <c r="AB22" s="344"/>
      <c r="AC22" s="363" t="e">
        <f t="shared" ca="1" si="25"/>
        <v>#N/A</v>
      </c>
      <c r="AD22" s="376" t="e">
        <f t="shared" ca="1" si="26"/>
        <v>#N/A</v>
      </c>
      <c r="AE22" s="377">
        <f t="shared" ca="1" si="5"/>
        <v>1.0822420526279484</v>
      </c>
      <c r="AF22" s="344"/>
      <c r="AG22" s="359">
        <f t="shared" ca="1" si="27"/>
        <v>66.284124155533675</v>
      </c>
      <c r="AH22" s="357">
        <f t="shared" ca="1" si="28"/>
        <v>75.945088212583443</v>
      </c>
    </row>
    <row r="23" spans="1:34">
      <c r="A23" s="402">
        <f t="shared" ca="1" si="6"/>
        <v>0.01</v>
      </c>
      <c r="B23" s="357">
        <f t="shared" ca="1" si="7"/>
        <v>0.19000000000000003</v>
      </c>
      <c r="C23" s="342"/>
      <c r="D23" s="359">
        <f t="shared" ca="1" si="8"/>
        <v>11.644055909794123</v>
      </c>
      <c r="E23" s="360">
        <f t="shared" ca="1" si="9"/>
        <v>66.041073904786288</v>
      </c>
      <c r="F23" s="357">
        <f t="shared" ca="1" si="10"/>
        <v>67.05973069233022</v>
      </c>
      <c r="G23" s="359">
        <f t="shared" ca="1" si="11"/>
        <v>2.178841456084379</v>
      </c>
      <c r="H23" s="360">
        <f t="shared" ca="1" si="12"/>
        <v>12.357637474651069</v>
      </c>
      <c r="I23" s="357">
        <f t="shared" ca="1" si="13"/>
        <v>12.54824904302</v>
      </c>
      <c r="J23" s="359">
        <f t="shared" ca="1" si="14"/>
        <v>0.2120221756366972</v>
      </c>
      <c r="K23" s="360">
        <f t="shared" ca="1" si="15"/>
        <v>1.2025163736792197</v>
      </c>
      <c r="L23" s="357">
        <f t="shared" ca="1" si="0"/>
        <v>1.2210647124245051</v>
      </c>
      <c r="M23" s="359">
        <f t="shared" ca="1" si="16"/>
        <v>1.3962634015954636</v>
      </c>
      <c r="N23" s="357">
        <f t="shared" ca="1" si="17"/>
        <v>80</v>
      </c>
      <c r="O23" s="343"/>
      <c r="P23" s="363">
        <f t="shared" ca="1" si="18"/>
        <v>6</v>
      </c>
      <c r="Q23" s="357">
        <f t="shared" ca="1" si="19"/>
        <v>35.228538461538463</v>
      </c>
      <c r="R23" s="359">
        <f t="shared" ca="1" si="20"/>
        <v>2.0279250452032022E-2</v>
      </c>
      <c r="S23" s="360">
        <f t="shared" ca="1" si="21"/>
        <v>0.45719364693500653</v>
      </c>
      <c r="T23" s="357">
        <f t="shared" ca="1" si="1"/>
        <v>4.4850696764324143</v>
      </c>
      <c r="U23" s="364">
        <f t="shared" ca="1" si="2"/>
        <v>0.77882417602169796</v>
      </c>
      <c r="V23" s="359">
        <f t="shared" ca="1" si="3"/>
        <v>1.2248527006007213</v>
      </c>
      <c r="W23" s="357">
        <f t="shared" ca="1" si="4"/>
        <v>0.17000780830616302</v>
      </c>
      <c r="X23" s="343"/>
      <c r="Y23" s="367" t="str">
        <f t="shared" ca="1" si="22"/>
        <v/>
      </c>
      <c r="Z23" s="368" t="str">
        <f t="shared" ca="1" si="23"/>
        <v/>
      </c>
      <c r="AA23" s="369" t="str">
        <f t="shared" ca="1" si="24"/>
        <v/>
      </c>
      <c r="AB23" s="344"/>
      <c r="AC23" s="363" t="e">
        <f t="shared" ca="1" si="25"/>
        <v>#N/A</v>
      </c>
      <c r="AD23" s="376" t="e">
        <f t="shared" ca="1" si="26"/>
        <v>#N/A</v>
      </c>
      <c r="AE23" s="377">
        <f t="shared" ca="1" si="5"/>
        <v>1.2025163736792197</v>
      </c>
      <c r="AF23" s="344"/>
      <c r="AG23" s="359">
        <f t="shared" ca="1" si="27"/>
        <v>67.059730688073344</v>
      </c>
      <c r="AH23" s="357">
        <f t="shared" ca="1" si="28"/>
        <v>76.720694745123112</v>
      </c>
    </row>
    <row r="24" spans="1:34">
      <c r="A24" s="402">
        <f t="shared" ca="1" si="6"/>
        <v>0.01</v>
      </c>
      <c r="B24" s="357">
        <f t="shared" ca="1" si="7"/>
        <v>0.20000000000000004</v>
      </c>
      <c r="C24" s="342"/>
      <c r="D24" s="359">
        <f t="shared" ca="1" si="8"/>
        <v>11.778470395090373</v>
      </c>
      <c r="E24" s="360">
        <f t="shared" ca="1" si="9"/>
        <v>66.80342223986996</v>
      </c>
      <c r="F24" s="357">
        <f t="shared" ca="1" si="10"/>
        <v>67.833838073680994</v>
      </c>
      <c r="G24" s="359">
        <f t="shared" ca="1" si="11"/>
        <v>2.2966261600352826</v>
      </c>
      <c r="H24" s="360">
        <f t="shared" ca="1" si="12"/>
        <v>13.025671697049768</v>
      </c>
      <c r="I24" s="357">
        <f t="shared" ca="1" si="13"/>
        <v>13.22658742375681</v>
      </c>
      <c r="J24" s="359">
        <f t="shared" ca="1" si="14"/>
        <v>0.2343995137172955</v>
      </c>
      <c r="K24" s="360">
        <f t="shared" ca="1" si="15"/>
        <v>1.3294329195377239</v>
      </c>
      <c r="L24" s="357">
        <f t="shared" ca="1" si="0"/>
        <v>1.349938894758389</v>
      </c>
      <c r="M24" s="359">
        <f t="shared" ca="1" si="16"/>
        <v>1.3962634015954636</v>
      </c>
      <c r="N24" s="357">
        <f t="shared" ca="1" si="17"/>
        <v>80</v>
      </c>
      <c r="O24" s="343"/>
      <c r="P24" s="363">
        <f t="shared" ca="1" si="18"/>
        <v>6</v>
      </c>
      <c r="Q24" s="357">
        <f t="shared" ca="1" si="19"/>
        <v>35.584264957264956</v>
      </c>
      <c r="R24" s="359">
        <f t="shared" ca="1" si="20"/>
        <v>2.0484023826526032E-2</v>
      </c>
      <c r="S24" s="360">
        <f t="shared" ca="1" si="21"/>
        <v>0.45698880669674125</v>
      </c>
      <c r="T24" s="357">
        <f t="shared" ca="1" si="1"/>
        <v>4.4830601936950316</v>
      </c>
      <c r="U24" s="364">
        <f t="shared" ca="1" si="2"/>
        <v>0.77847523300629828</v>
      </c>
      <c r="V24" s="359">
        <f t="shared" ca="1" si="3"/>
        <v>1.2248371552919126</v>
      </c>
      <c r="W24" s="357">
        <f t="shared" ca="1" si="4"/>
        <v>0.18888293016033278</v>
      </c>
      <c r="X24" s="343"/>
      <c r="Y24" s="367" t="str">
        <f t="shared" ca="1" si="22"/>
        <v/>
      </c>
      <c r="Z24" s="368" t="str">
        <f t="shared" ca="1" si="23"/>
        <v/>
      </c>
      <c r="AA24" s="369" t="str">
        <f t="shared" ca="1" si="24"/>
        <v/>
      </c>
      <c r="AB24" s="344"/>
      <c r="AC24" s="363" t="e">
        <f t="shared" ca="1" si="25"/>
        <v>#N/A</v>
      </c>
      <c r="AD24" s="376" t="e">
        <f t="shared" ca="1" si="26"/>
        <v>#N/A</v>
      </c>
      <c r="AE24" s="377">
        <f t="shared" ca="1" si="5"/>
        <v>1.3294329195377239</v>
      </c>
      <c r="AF24" s="344"/>
      <c r="AG24" s="359">
        <f t="shared" ca="1" si="27"/>
        <v>67.833838069383432</v>
      </c>
      <c r="AH24" s="357">
        <f t="shared" ca="1" si="28"/>
        <v>77.4948021264332</v>
      </c>
    </row>
    <row r="25" spans="1:34">
      <c r="A25" s="402">
        <f t="shared" ca="1" si="6"/>
        <v>0.01</v>
      </c>
      <c r="B25" s="357">
        <f t="shared" ca="1" si="7"/>
        <v>0.21000000000000005</v>
      </c>
      <c r="C25" s="342"/>
      <c r="D25" s="359">
        <f t="shared" ca="1" si="8"/>
        <v>11.912613386189818</v>
      </c>
      <c r="E25" s="360">
        <f t="shared" ca="1" si="9"/>
        <v>67.56423091594398</v>
      </c>
      <c r="F25" s="357">
        <f t="shared" ca="1" si="10"/>
        <v>68.606382042429757</v>
      </c>
      <c r="G25" s="359">
        <f t="shared" ca="1" si="11"/>
        <v>2.4157522938971807</v>
      </c>
      <c r="H25" s="360">
        <f t="shared" ca="1" si="12"/>
        <v>13.701314006209207</v>
      </c>
      <c r="I25" s="357">
        <f t="shared" ca="1" si="13"/>
        <v>13.912651244181106</v>
      </c>
      <c r="J25" s="359">
        <f t="shared" ca="1" si="14"/>
        <v>0.25796140598695783</v>
      </c>
      <c r="K25" s="360">
        <f t="shared" ca="1" si="15"/>
        <v>1.4630678480540187</v>
      </c>
      <c r="L25" s="357">
        <f t="shared" ca="1" si="0"/>
        <v>1.4856350880980784</v>
      </c>
      <c r="M25" s="359">
        <f t="shared" ca="1" si="16"/>
        <v>1.3962634015954636</v>
      </c>
      <c r="N25" s="357">
        <f t="shared" ca="1" si="17"/>
        <v>80</v>
      </c>
      <c r="O25" s="343"/>
      <c r="P25" s="363">
        <f t="shared" ca="1" si="18"/>
        <v>6</v>
      </c>
      <c r="Q25" s="357">
        <f t="shared" ca="1" si="19"/>
        <v>35.939991452991457</v>
      </c>
      <c r="R25" s="359">
        <f t="shared" ca="1" si="20"/>
        <v>2.0688797201020046E-2</v>
      </c>
      <c r="S25" s="360">
        <f t="shared" ca="1" si="21"/>
        <v>0.45678191872473106</v>
      </c>
      <c r="T25" s="357">
        <f t="shared" ca="1" si="1"/>
        <v>4.4810306226896124</v>
      </c>
      <c r="U25" s="364">
        <f t="shared" ca="1" si="2"/>
        <v>0.77812280169976167</v>
      </c>
      <c r="V25" s="359">
        <f t="shared" ca="1" si="3"/>
        <v>1.2248207872986308</v>
      </c>
      <c r="W25" s="357">
        <f t="shared" ca="1" si="4"/>
        <v>0.20898306346460016</v>
      </c>
      <c r="X25" s="343"/>
      <c r="Y25" s="367" t="str">
        <f t="shared" ca="1" si="22"/>
        <v/>
      </c>
      <c r="Z25" s="368" t="str">
        <f t="shared" ca="1" si="23"/>
        <v/>
      </c>
      <c r="AA25" s="369" t="str">
        <f t="shared" ca="1" si="24"/>
        <v/>
      </c>
      <c r="AB25" s="344"/>
      <c r="AC25" s="363" t="e">
        <f t="shared" ca="1" si="25"/>
        <v>#N/A</v>
      </c>
      <c r="AD25" s="376" t="e">
        <f t="shared" ca="1" si="26"/>
        <v>#N/A</v>
      </c>
      <c r="AE25" s="377">
        <f t="shared" ca="1" si="5"/>
        <v>1.4630678480540187</v>
      </c>
      <c r="AF25" s="344"/>
      <c r="AG25" s="359">
        <f t="shared" ca="1" si="27"/>
        <v>68.606382038091297</v>
      </c>
      <c r="AH25" s="357">
        <f t="shared" ca="1" si="28"/>
        <v>78.267346095141065</v>
      </c>
    </row>
    <row r="26" spans="1:34">
      <c r="A26" s="402">
        <f t="shared" ca="1" si="6"/>
        <v>0.01</v>
      </c>
      <c r="B26" s="357">
        <f t="shared" ca="1" si="7"/>
        <v>0.22000000000000006</v>
      </c>
      <c r="C26" s="342"/>
      <c r="D26" s="359">
        <f t="shared" ca="1" si="8"/>
        <v>12.017629760243496</v>
      </c>
      <c r="E26" s="360">
        <f t="shared" ca="1" si="9"/>
        <v>68.159845019414135</v>
      </c>
      <c r="F26" s="357">
        <f t="shared" ca="1" si="10"/>
        <v>69.211183331343534</v>
      </c>
      <c r="G26" s="359">
        <f t="shared" ca="1" si="11"/>
        <v>2.5359285914996157</v>
      </c>
      <c r="H26" s="360">
        <f t="shared" ca="1" si="12"/>
        <v>14.382912456403348</v>
      </c>
      <c r="I26" s="357">
        <f t="shared" ca="1" si="13"/>
        <v>14.604763077494541</v>
      </c>
      <c r="J26" s="359">
        <f t="shared" ca="1" si="14"/>
        <v>0.28271981041394179</v>
      </c>
      <c r="K26" s="360">
        <f t="shared" ca="1" si="15"/>
        <v>1.6034889803670815</v>
      </c>
      <c r="L26" s="357">
        <f t="shared" ca="1" si="0"/>
        <v>1.6282221597064566</v>
      </c>
      <c r="M26" s="359">
        <f t="shared" ca="1" si="16"/>
        <v>1.3962634015954636</v>
      </c>
      <c r="N26" s="357">
        <f t="shared" ca="1" si="17"/>
        <v>80</v>
      </c>
      <c r="O26" s="343"/>
      <c r="P26" s="363">
        <f t="shared" ca="1" si="18"/>
        <v>7</v>
      </c>
      <c r="Q26" s="357">
        <f t="shared" ca="1" si="19"/>
        <v>36.219909090909091</v>
      </c>
      <c r="R26" s="359">
        <f t="shared" ca="1" si="20"/>
        <v>2.0849931330710676E-2</v>
      </c>
      <c r="S26" s="360">
        <f t="shared" ca="1" si="21"/>
        <v>0.45657341941142393</v>
      </c>
      <c r="T26" s="357">
        <f t="shared" ca="1" si="1"/>
        <v>4.4789852444260694</v>
      </c>
      <c r="U26" s="364">
        <f t="shared" ca="1" si="2"/>
        <v>0.7777676254916579</v>
      </c>
      <c r="V26" s="359">
        <f t="shared" ca="1" si="3"/>
        <v>1.2248035883471011</v>
      </c>
      <c r="W26" s="357">
        <f t="shared" ca="1" si="4"/>
        <v>0.23028954825377559</v>
      </c>
      <c r="X26" s="343"/>
      <c r="Y26" s="367" t="str">
        <f t="shared" ca="1" si="22"/>
        <v/>
      </c>
      <c r="Z26" s="368" t="str">
        <f t="shared" ca="1" si="23"/>
        <v/>
      </c>
      <c r="AA26" s="369" t="str">
        <f t="shared" ca="1" si="24"/>
        <v/>
      </c>
      <c r="AB26" s="344"/>
      <c r="AC26" s="363" t="e">
        <f t="shared" ca="1" si="25"/>
        <v>#N/A</v>
      </c>
      <c r="AD26" s="376" t="e">
        <f t="shared" ca="1" si="26"/>
        <v>#N/A</v>
      </c>
      <c r="AE26" s="377">
        <f t="shared" ca="1" si="5"/>
        <v>1.6034889803670815</v>
      </c>
      <c r="AF26" s="344"/>
      <c r="AG26" s="359">
        <f t="shared" ca="1" si="27"/>
        <v>69.211183326971735</v>
      </c>
      <c r="AH26" s="357">
        <f t="shared" ca="1" si="28"/>
        <v>78.872147384021503</v>
      </c>
    </row>
    <row r="27" spans="1:34">
      <c r="A27" s="402">
        <f t="shared" ca="1" si="6"/>
        <v>0.01</v>
      </c>
      <c r="B27" s="357">
        <f t="shared" ca="1" si="7"/>
        <v>0.23000000000000007</v>
      </c>
      <c r="C27" s="342"/>
      <c r="D27" s="359">
        <f t="shared" ca="1" si="8"/>
        <v>12.054998516957131</v>
      </c>
      <c r="E27" s="360">
        <f t="shared" ca="1" si="9"/>
        <v>68.371788571617415</v>
      </c>
      <c r="F27" s="357">
        <f t="shared" ca="1" si="10"/>
        <v>69.426396001274554</v>
      </c>
      <c r="G27" s="359">
        <f t="shared" ca="1" si="11"/>
        <v>2.656478576669187</v>
      </c>
      <c r="H27" s="360">
        <f t="shared" ca="1" si="12"/>
        <v>15.066630342119522</v>
      </c>
      <c r="I27" s="357">
        <f t="shared" ca="1" si="13"/>
        <v>15.299027037507287</v>
      </c>
      <c r="J27" s="359">
        <f t="shared" ca="1" si="14"/>
        <v>0.30868184625478579</v>
      </c>
      <c r="K27" s="360">
        <f t="shared" ca="1" si="15"/>
        <v>1.7507366943596958</v>
      </c>
      <c r="L27" s="357">
        <f t="shared" ca="1" si="0"/>
        <v>1.7777411102814655</v>
      </c>
      <c r="M27" s="359">
        <f t="shared" ca="1" si="16"/>
        <v>1.3962634015954636</v>
      </c>
      <c r="N27" s="357">
        <f t="shared" ca="1" si="17"/>
        <v>80</v>
      </c>
      <c r="O27" s="343"/>
      <c r="P27" s="363">
        <f t="shared" ca="1" si="18"/>
        <v>7</v>
      </c>
      <c r="Q27" s="357">
        <f t="shared" ca="1" si="19"/>
        <v>36.322939393939393</v>
      </c>
      <c r="R27" s="359">
        <f t="shared" ca="1" si="20"/>
        <v>2.0909240555860093E-2</v>
      </c>
      <c r="S27" s="360">
        <f t="shared" ca="1" si="21"/>
        <v>0.45636432700586532</v>
      </c>
      <c r="T27" s="357">
        <f t="shared" ca="1" si="1"/>
        <v>4.4769340479275392</v>
      </c>
      <c r="U27" s="364">
        <f t="shared" ca="1" si="2"/>
        <v>0.7774114389576513</v>
      </c>
      <c r="V27" s="359">
        <f t="shared" ca="1" si="3"/>
        <v>1.2247855535269063</v>
      </c>
      <c r="W27" s="357">
        <f t="shared" ca="1" si="4"/>
        <v>0.25270068840002885</v>
      </c>
      <c r="X27" s="343"/>
      <c r="Y27" s="367" t="str">
        <f t="shared" ca="1" si="22"/>
        <v/>
      </c>
      <c r="Z27" s="368" t="str">
        <f t="shared" ca="1" si="23"/>
        <v/>
      </c>
      <c r="AA27" s="369" t="str">
        <f t="shared" ca="1" si="24"/>
        <v/>
      </c>
      <c r="AB27" s="344"/>
      <c r="AC27" s="363" t="e">
        <f t="shared" ca="1" si="25"/>
        <v>#N/A</v>
      </c>
      <c r="AD27" s="376" t="e">
        <f t="shared" ca="1" si="26"/>
        <v>#N/A</v>
      </c>
      <c r="AE27" s="377">
        <f t="shared" ca="1" si="5"/>
        <v>1.7507366943596958</v>
      </c>
      <c r="AF27" s="344"/>
      <c r="AG27" s="359">
        <f t="shared" ca="1" si="27"/>
        <v>69.426395996887464</v>
      </c>
      <c r="AH27" s="357">
        <f t="shared" ca="1" si="28"/>
        <v>79.087360053937232</v>
      </c>
    </row>
    <row r="28" spans="1:34">
      <c r="A28" s="402">
        <f t="shared" ca="1" si="6"/>
        <v>0.01</v>
      </c>
      <c r="B28" s="357">
        <f t="shared" ca="1" si="7"/>
        <v>0.24000000000000007</v>
      </c>
      <c r="C28" s="342"/>
      <c r="D28" s="359">
        <f t="shared" ca="1" si="8"/>
        <v>12.091998917280552</v>
      </c>
      <c r="E28" s="360">
        <f t="shared" ca="1" si="9"/>
        <v>68.581643090354461</v>
      </c>
      <c r="F28" s="357">
        <f t="shared" ca="1" si="10"/>
        <v>69.639487410436018</v>
      </c>
      <c r="G28" s="359">
        <f t="shared" ca="1" si="11"/>
        <v>2.7773985658419926</v>
      </c>
      <c r="H28" s="360">
        <f t="shared" ca="1" si="12"/>
        <v>15.752446773023067</v>
      </c>
      <c r="I28" s="357">
        <f t="shared" ca="1" si="13"/>
        <v>15.995421911611647</v>
      </c>
      <c r="J28" s="359">
        <f t="shared" ca="1" si="14"/>
        <v>0.33585123196734168</v>
      </c>
      <c r="K28" s="360">
        <f t="shared" ca="1" si="15"/>
        <v>1.9048320799354088</v>
      </c>
      <c r="L28" s="357">
        <f t="shared" ca="1" si="0"/>
        <v>1.9342133550270604</v>
      </c>
      <c r="M28" s="359">
        <f t="shared" ca="1" si="16"/>
        <v>1.3962634015954636</v>
      </c>
      <c r="N28" s="357">
        <f t="shared" ca="1" si="17"/>
        <v>80</v>
      </c>
      <c r="O28" s="343"/>
      <c r="P28" s="363">
        <f t="shared" ca="1" si="18"/>
        <v>7</v>
      </c>
      <c r="Q28" s="357">
        <f t="shared" ca="1" si="19"/>
        <v>36.425969696969695</v>
      </c>
      <c r="R28" s="359">
        <f t="shared" ca="1" si="20"/>
        <v>2.0968549781009507E-2</v>
      </c>
      <c r="S28" s="360">
        <f t="shared" ca="1" si="21"/>
        <v>0.45615464150805524</v>
      </c>
      <c r="T28" s="357">
        <f t="shared" ca="1" si="1"/>
        <v>4.474877033194022</v>
      </c>
      <c r="U28" s="364">
        <f t="shared" ca="1" si="2"/>
        <v>0.77705424209774199</v>
      </c>
      <c r="V28" s="359">
        <f t="shared" ca="1" si="3"/>
        <v>1.2247666802919515</v>
      </c>
      <c r="W28" s="357">
        <f t="shared" ca="1" si="4"/>
        <v>0.27622533463661464</v>
      </c>
      <c r="X28" s="343"/>
      <c r="Y28" s="367" t="str">
        <f t="shared" ca="1" si="22"/>
        <v/>
      </c>
      <c r="Z28" s="368" t="str">
        <f t="shared" ca="1" si="23"/>
        <v/>
      </c>
      <c r="AA28" s="369" t="str">
        <f t="shared" ca="1" si="24"/>
        <v/>
      </c>
      <c r="AB28" s="344"/>
      <c r="AC28" s="363" t="e">
        <f t="shared" ca="1" si="25"/>
        <v>#N/A</v>
      </c>
      <c r="AD28" s="376" t="e">
        <f t="shared" ca="1" si="26"/>
        <v>#N/A</v>
      </c>
      <c r="AE28" s="377">
        <f t="shared" ca="1" si="5"/>
        <v>1.9048320799354088</v>
      </c>
      <c r="AF28" s="344"/>
      <c r="AG28" s="359">
        <f t="shared" ca="1" si="27"/>
        <v>69.639487406033467</v>
      </c>
      <c r="AH28" s="357">
        <f t="shared" ca="1" si="28"/>
        <v>79.300451463083235</v>
      </c>
    </row>
    <row r="29" spans="1:34">
      <c r="A29" s="402">
        <f t="shared" ca="1" si="6"/>
        <v>0.01</v>
      </c>
      <c r="B29" s="357">
        <f t="shared" ca="1" si="7"/>
        <v>0.25000000000000006</v>
      </c>
      <c r="C29" s="342"/>
      <c r="D29" s="359">
        <f t="shared" ca="1" si="8"/>
        <v>12.128627226554741</v>
      </c>
      <c r="E29" s="360">
        <f t="shared" ca="1" si="9"/>
        <v>68.78938739540618</v>
      </c>
      <c r="F29" s="357">
        <f t="shared" ca="1" si="10"/>
        <v>69.85043605186722</v>
      </c>
      <c r="G29" s="359">
        <f t="shared" ca="1" si="11"/>
        <v>2.8986848381075401</v>
      </c>
      <c r="H29" s="360">
        <f t="shared" ca="1" si="12"/>
        <v>16.440340646977127</v>
      </c>
      <c r="I29" s="357">
        <f t="shared" ca="1" si="13"/>
        <v>16.693926272130316</v>
      </c>
      <c r="J29" s="359">
        <f t="shared" ca="1" si="14"/>
        <v>0.36423164898708932</v>
      </c>
      <c r="K29" s="360">
        <f t="shared" ca="1" si="15"/>
        <v>2.0657960170354097</v>
      </c>
      <c r="L29" s="357">
        <f t="shared" ca="1" si="0"/>
        <v>2.0976600959457699</v>
      </c>
      <c r="M29" s="359">
        <f t="shared" ca="1" si="16"/>
        <v>1.3962634015954636</v>
      </c>
      <c r="N29" s="357">
        <f t="shared" ca="1" si="17"/>
        <v>80</v>
      </c>
      <c r="O29" s="343"/>
      <c r="P29" s="363">
        <f t="shared" ca="1" si="18"/>
        <v>7</v>
      </c>
      <c r="Q29" s="357">
        <f t="shared" ca="1" si="19"/>
        <v>36.529000000000003</v>
      </c>
      <c r="R29" s="359">
        <f t="shared" ca="1" si="20"/>
        <v>2.1027859006158927E-2</v>
      </c>
      <c r="S29" s="360">
        <f t="shared" ca="1" si="21"/>
        <v>0.45594436291799367</v>
      </c>
      <c r="T29" s="357">
        <f t="shared" ca="1" si="1"/>
        <v>4.4728142002255185</v>
      </c>
      <c r="U29" s="364">
        <f t="shared" ca="1" si="2"/>
        <v>0.77669603491193007</v>
      </c>
      <c r="V29" s="359">
        <f t="shared" ca="1" si="3"/>
        <v>1.224746966123732</v>
      </c>
      <c r="W29" s="357">
        <f t="shared" ca="1" si="4"/>
        <v>0.30087222666728719</v>
      </c>
      <c r="X29" s="343"/>
      <c r="Y29" s="367" t="str">
        <f t="shared" ca="1" si="22"/>
        <v/>
      </c>
      <c r="Z29" s="368" t="str">
        <f t="shared" ca="1" si="23"/>
        <v/>
      </c>
      <c r="AA29" s="369" t="str">
        <f t="shared" ca="1" si="24"/>
        <v/>
      </c>
      <c r="AB29" s="344"/>
      <c r="AC29" s="363" t="e">
        <f t="shared" ca="1" si="25"/>
        <v>#N/A</v>
      </c>
      <c r="AD29" s="376" t="e">
        <f t="shared" ca="1" si="26"/>
        <v>#N/A</v>
      </c>
      <c r="AE29" s="377">
        <f t="shared" ca="1" si="5"/>
        <v>2.0657960170354097</v>
      </c>
      <c r="AF29" s="344"/>
      <c r="AG29" s="359">
        <f t="shared" ca="1" si="27"/>
        <v>69.850436047449023</v>
      </c>
      <c r="AH29" s="357">
        <f t="shared" ca="1" si="28"/>
        <v>79.511400104498776</v>
      </c>
    </row>
    <row r="30" spans="1:34">
      <c r="A30" s="402">
        <f t="shared" ca="1" si="6"/>
        <v>0.01</v>
      </c>
      <c r="B30" s="357">
        <f t="shared" ca="1" si="7"/>
        <v>0.26000000000000006</v>
      </c>
      <c r="C30" s="342"/>
      <c r="D30" s="359">
        <f t="shared" ca="1" si="8"/>
        <v>12.164879742637751</v>
      </c>
      <c r="E30" s="360">
        <f t="shared" ca="1" si="9"/>
        <v>68.995000490967158</v>
      </c>
      <c r="F30" s="357">
        <f t="shared" ca="1" si="10"/>
        <v>70.059220605865988</v>
      </c>
      <c r="G30" s="359">
        <f t="shared" ca="1" si="11"/>
        <v>3.0203336355339174</v>
      </c>
      <c r="H30" s="360">
        <f t="shared" ca="1" si="12"/>
        <v>17.130290651886799</v>
      </c>
      <c r="I30" s="357">
        <f t="shared" ca="1" si="13"/>
        <v>17.394518478188978</v>
      </c>
      <c r="J30" s="359">
        <f t="shared" ca="1" si="14"/>
        <v>0.39382674135529661</v>
      </c>
      <c r="K30" s="360">
        <f t="shared" ca="1" si="15"/>
        <v>2.2336491735297295</v>
      </c>
      <c r="L30" s="357">
        <f t="shared" ca="1" si="0"/>
        <v>2.2681023196973666</v>
      </c>
      <c r="M30" s="359">
        <f t="shared" ca="1" si="16"/>
        <v>1.3962634015954636</v>
      </c>
      <c r="N30" s="357">
        <f t="shared" ca="1" si="17"/>
        <v>80</v>
      </c>
      <c r="O30" s="343"/>
      <c r="P30" s="363">
        <f t="shared" ca="1" si="18"/>
        <v>7</v>
      </c>
      <c r="Q30" s="357">
        <f t="shared" ca="1" si="19"/>
        <v>36.632030303030305</v>
      </c>
      <c r="R30" s="359">
        <f t="shared" ca="1" si="20"/>
        <v>2.1087168231308344E-2</v>
      </c>
      <c r="S30" s="360">
        <f t="shared" ca="1" si="21"/>
        <v>0.45573349123568058</v>
      </c>
      <c r="T30" s="357">
        <f t="shared" ca="1" si="1"/>
        <v>4.4707455490220269</v>
      </c>
      <c r="U30" s="364">
        <f t="shared" ca="1" si="2"/>
        <v>0.77633681740021532</v>
      </c>
      <c r="V30" s="359">
        <f t="shared" ca="1" si="3"/>
        <v>1.2247264085316105</v>
      </c>
      <c r="W30" s="357">
        <f t="shared" ca="1" si="4"/>
        <v>0.3266499905660718</v>
      </c>
      <c r="X30" s="343"/>
      <c r="Y30" s="367" t="str">
        <f t="shared" ca="1" si="22"/>
        <v/>
      </c>
      <c r="Z30" s="368" t="str">
        <f t="shared" ca="1" si="23"/>
        <v/>
      </c>
      <c r="AA30" s="369" t="str">
        <f t="shared" ca="1" si="24"/>
        <v/>
      </c>
      <c r="AB30" s="344"/>
      <c r="AC30" s="363" t="e">
        <f t="shared" ca="1" si="25"/>
        <v>#N/A</v>
      </c>
      <c r="AD30" s="376" t="e">
        <f t="shared" ca="1" si="26"/>
        <v>#N/A</v>
      </c>
      <c r="AE30" s="377">
        <f t="shared" ca="1" si="5"/>
        <v>2.2336491735297295</v>
      </c>
      <c r="AF30" s="344"/>
      <c r="AG30" s="359">
        <f t="shared" ca="1" si="27"/>
        <v>70.05922060143196</v>
      </c>
      <c r="AH30" s="357">
        <f t="shared" ca="1" si="28"/>
        <v>79.720184658481728</v>
      </c>
    </row>
    <row r="31" spans="1:34">
      <c r="A31" s="402">
        <f t="shared" ca="1" si="6"/>
        <v>0.01</v>
      </c>
      <c r="B31" s="357">
        <f t="shared" ca="1" si="7"/>
        <v>0.27000000000000007</v>
      </c>
      <c r="C31" s="342"/>
      <c r="D31" s="359">
        <f t="shared" ca="1" si="8"/>
        <v>12.200752796922782</v>
      </c>
      <c r="E31" s="360">
        <f t="shared" ca="1" si="9"/>
        <v>69.198461571419642</v>
      </c>
      <c r="F31" s="357">
        <f t="shared" ca="1" si="10"/>
        <v>70.26581994585176</v>
      </c>
      <c r="G31" s="359">
        <f t="shared" ca="1" si="11"/>
        <v>3.1423411635031453</v>
      </c>
      <c r="H31" s="360">
        <f t="shared" ca="1" si="12"/>
        <v>17.822275267600997</v>
      </c>
      <c r="I31" s="357">
        <f t="shared" ca="1" si="13"/>
        <v>18.097176677647496</v>
      </c>
      <c r="J31" s="359">
        <f t="shared" ca="1" si="14"/>
        <v>0.42464011535048191</v>
      </c>
      <c r="K31" s="360">
        <f t="shared" ca="1" si="15"/>
        <v>2.4084120031271685</v>
      </c>
      <c r="L31" s="357">
        <f t="shared" ca="1" si="0"/>
        <v>2.445560795476549</v>
      </c>
      <c r="M31" s="359">
        <f t="shared" ca="1" si="16"/>
        <v>1.3962634015954636</v>
      </c>
      <c r="N31" s="357">
        <f t="shared" ca="1" si="17"/>
        <v>80</v>
      </c>
      <c r="O31" s="343"/>
      <c r="P31" s="363">
        <f t="shared" ca="1" si="18"/>
        <v>7</v>
      </c>
      <c r="Q31" s="357">
        <f t="shared" ca="1" si="19"/>
        <v>36.735060606060607</v>
      </c>
      <c r="R31" s="359">
        <f t="shared" ca="1" si="20"/>
        <v>2.1146477456457761E-2</v>
      </c>
      <c r="S31" s="360">
        <f t="shared" ca="1" si="21"/>
        <v>0.455522026461116</v>
      </c>
      <c r="T31" s="357">
        <f t="shared" ca="1" si="1"/>
        <v>4.4686710795835483</v>
      </c>
      <c r="U31" s="364">
        <f t="shared" ca="1" si="2"/>
        <v>0.77597658956259774</v>
      </c>
      <c r="V31" s="359">
        <f t="shared" ca="1" si="3"/>
        <v>1.2247050050530857</v>
      </c>
      <c r="W31" s="357">
        <f t="shared" ca="1" si="4"/>
        <v>0.35356713619310071</v>
      </c>
      <c r="X31" s="343"/>
      <c r="Y31" s="367" t="str">
        <f t="shared" ca="1" si="22"/>
        <v>Sortie de rampe</v>
      </c>
      <c r="Z31" s="368" t="str">
        <f t="shared" ca="1" si="23"/>
        <v/>
      </c>
      <c r="AA31" s="369" t="str">
        <f t="shared" ca="1" si="24"/>
        <v/>
      </c>
      <c r="AB31" s="344"/>
      <c r="AC31" s="363" t="e">
        <f t="shared" ca="1" si="25"/>
        <v>#N/A</v>
      </c>
      <c r="AD31" s="376" t="e">
        <f t="shared" ca="1" si="26"/>
        <v>#N/A</v>
      </c>
      <c r="AE31" s="377">
        <f t="shared" ca="1" si="5"/>
        <v>2.4084120031271685</v>
      </c>
      <c r="AF31" s="344"/>
      <c r="AG31" s="359">
        <f t="shared" ca="1" si="27"/>
        <v>70.265819941401759</v>
      </c>
      <c r="AH31" s="357">
        <f t="shared" ca="1" si="28"/>
        <v>79.926783998451512</v>
      </c>
    </row>
    <row r="32" spans="1:34">
      <c r="A32" s="402">
        <f t="shared" ca="1" si="6"/>
        <v>0.01</v>
      </c>
      <c r="B32" s="357">
        <f t="shared" ca="1" si="7"/>
        <v>0.28000000000000008</v>
      </c>
      <c r="C32" s="342"/>
      <c r="D32" s="359">
        <f t="shared" ca="1" si="8"/>
        <v>12.23624275535362</v>
      </c>
      <c r="E32" s="360">
        <f t="shared" ca="1" si="9"/>
        <v>69.399750027092253</v>
      </c>
      <c r="F32" s="357">
        <f t="shared" ca="1" si="10"/>
        <v>70.470213144213176</v>
      </c>
      <c r="G32" s="359">
        <f t="shared" ca="1" si="11"/>
        <v>3.2647035910566817</v>
      </c>
      <c r="H32" s="360">
        <f t="shared" ca="1" si="12"/>
        <v>18.516272767871918</v>
      </c>
      <c r="I32" s="357">
        <f t="shared" ca="1" si="13"/>
        <v>18.801878809089626</v>
      </c>
      <c r="J32" s="359">
        <f t="shared" ca="1" si="14"/>
        <v>0.45667533912328107</v>
      </c>
      <c r="K32" s="360">
        <f t="shared" ca="1" si="15"/>
        <v>2.5901047433045332</v>
      </c>
      <c r="L32" s="357">
        <f t="shared" ca="1" si="0"/>
        <v>2.6300560729102349</v>
      </c>
      <c r="M32" s="359">
        <f t="shared" ca="1" si="16"/>
        <v>1.3962634015954636</v>
      </c>
      <c r="N32" s="357">
        <f t="shared" ca="1" si="17"/>
        <v>80</v>
      </c>
      <c r="O32" s="343"/>
      <c r="P32" s="363">
        <f t="shared" ca="1" si="18"/>
        <v>7</v>
      </c>
      <c r="Q32" s="357">
        <f t="shared" ca="1" si="19"/>
        <v>36.838090909090909</v>
      </c>
      <c r="R32" s="359">
        <f t="shared" ca="1" si="20"/>
        <v>2.1205786681607174E-2</v>
      </c>
      <c r="S32" s="360">
        <f t="shared" ca="1" si="21"/>
        <v>0.45530996859429995</v>
      </c>
      <c r="T32" s="357">
        <f t="shared" ca="1" si="1"/>
        <v>4.4665907919100825</v>
      </c>
      <c r="U32" s="364">
        <f t="shared" ca="1" si="2"/>
        <v>0</v>
      </c>
      <c r="V32" s="359">
        <f t="shared" ca="1" si="3"/>
        <v>1.2246827532540605</v>
      </c>
      <c r="W32" s="357">
        <f t="shared" ca="1" si="4"/>
        <v>0.3816320546277146</v>
      </c>
      <c r="X32" s="343"/>
      <c r="Y32" s="367" t="str">
        <f t="shared" ca="1" si="22"/>
        <v/>
      </c>
      <c r="Z32" s="368" t="str">
        <f t="shared" ca="1" si="23"/>
        <v/>
      </c>
      <c r="AA32" s="369" t="str">
        <f t="shared" ca="1" si="24"/>
        <v/>
      </c>
      <c r="AB32" s="344"/>
      <c r="AC32" s="363" t="e">
        <f t="shared" ca="1" si="25"/>
        <v>#N/A</v>
      </c>
      <c r="AD32" s="376" t="e">
        <f t="shared" ca="1" si="26"/>
        <v>#N/A</v>
      </c>
      <c r="AE32" s="377">
        <f t="shared" ca="1" si="5"/>
        <v>2.5901047433045332</v>
      </c>
      <c r="AF32" s="344"/>
      <c r="AG32" s="359">
        <f t="shared" ca="1" si="27"/>
        <v>70.470213139746988</v>
      </c>
      <c r="AH32" s="357">
        <f t="shared" ca="1" si="28"/>
        <v>80.131177196796742</v>
      </c>
    </row>
    <row r="33" spans="1:34">
      <c r="A33" s="402">
        <f t="shared" ca="1" si="6"/>
        <v>0.01</v>
      </c>
      <c r="B33" s="357">
        <f t="shared" ca="1" si="7"/>
        <v>0.29000000000000009</v>
      </c>
      <c r="C33" s="342"/>
      <c r="D33" s="359">
        <f t="shared" ca="1" si="8"/>
        <v>13.949738709998419</v>
      </c>
      <c r="E33" s="360">
        <f t="shared" ca="1" si="9"/>
        <v>69.30289953443139</v>
      </c>
      <c r="F33" s="357">
        <f t="shared" ca="1" si="10"/>
        <v>70.692906956474204</v>
      </c>
      <c r="G33" s="359">
        <f t="shared" ca="1" si="11"/>
        <v>3.4042009781566658</v>
      </c>
      <c r="H33" s="360">
        <f t="shared" ca="1" si="12"/>
        <v>19.209301763216232</v>
      </c>
      <c r="I33" s="357">
        <f t="shared" ca="1" si="13"/>
        <v>19.508609856419422</v>
      </c>
      <c r="J33" s="359">
        <f t="shared" ca="1" si="14"/>
        <v>0.49001986196934783</v>
      </c>
      <c r="K33" s="360">
        <f t="shared" ca="1" si="15"/>
        <v>2.7787326159599739</v>
      </c>
      <c r="L33" s="357">
        <f t="shared" ca="1" si="0"/>
        <v>2.8216084803041364</v>
      </c>
      <c r="M33" s="359">
        <f t="shared" ca="1" si="16"/>
        <v>1.3954010504144878</v>
      </c>
      <c r="N33" s="357">
        <f t="shared" ca="1" si="17"/>
        <v>79.95059091687196</v>
      </c>
      <c r="O33" s="343"/>
      <c r="P33" s="363">
        <f t="shared" ca="1" si="18"/>
        <v>7</v>
      </c>
      <c r="Q33" s="357">
        <f t="shared" ca="1" si="19"/>
        <v>36.94112121212121</v>
      </c>
      <c r="R33" s="359">
        <f t="shared" ca="1" si="20"/>
        <v>2.1265095906756591E-2</v>
      </c>
      <c r="S33" s="360">
        <f t="shared" ca="1" si="21"/>
        <v>0.45509731763523237</v>
      </c>
      <c r="T33" s="357">
        <f t="shared" ca="1" si="1"/>
        <v>4.4645046860016295</v>
      </c>
      <c r="U33" s="364">
        <f t="shared" ca="1" si="2"/>
        <v>0</v>
      </c>
      <c r="V33" s="359">
        <f t="shared" ca="1" si="3"/>
        <v>1.2246596525412743</v>
      </c>
      <c r="W33" s="357">
        <f t="shared" ca="1" si="4"/>
        <v>0.41085332170674943</v>
      </c>
      <c r="X33" s="343"/>
      <c r="Y33" s="367" t="str">
        <f t="shared" ca="1" si="22"/>
        <v/>
      </c>
      <c r="Z33" s="368" t="str">
        <f t="shared" ca="1" si="23"/>
        <v/>
      </c>
      <c r="AA33" s="369" t="str">
        <f t="shared" ca="1" si="24"/>
        <v/>
      </c>
      <c r="AB33" s="344"/>
      <c r="AC33" s="363" t="e">
        <f t="shared" ca="1" si="25"/>
        <v>#N/A</v>
      </c>
      <c r="AD33" s="376" t="e">
        <f t="shared" ca="1" si="26"/>
        <v>#N/A</v>
      </c>
      <c r="AE33" s="377">
        <f t="shared" ca="1" si="5"/>
        <v>2.7787326159599739</v>
      </c>
      <c r="AF33" s="344"/>
      <c r="AG33" s="359">
        <f t="shared" ca="1" si="27"/>
        <v>70.672379473655241</v>
      </c>
      <c r="AH33" s="357">
        <f t="shared" ca="1" si="28"/>
        <v>80.333343530705008</v>
      </c>
    </row>
    <row r="34" spans="1:34">
      <c r="A34" s="402">
        <f t="shared" ca="1" si="6"/>
        <v>0.01</v>
      </c>
      <c r="B34" s="357">
        <f t="shared" ca="1" si="7"/>
        <v>0.3000000000000001</v>
      </c>
      <c r="C34" s="342"/>
      <c r="D34" s="359">
        <f t="shared" ca="1" si="8"/>
        <v>14.052841830492675</v>
      </c>
      <c r="E34" s="360">
        <f t="shared" ca="1" si="9"/>
        <v>69.487691612454029</v>
      </c>
      <c r="F34" s="357">
        <f t="shared" ca="1" si="10"/>
        <v>70.894440184970492</v>
      </c>
      <c r="G34" s="359">
        <f t="shared" ca="1" si="11"/>
        <v>3.5447293964615927</v>
      </c>
      <c r="H34" s="360">
        <f t="shared" ca="1" si="12"/>
        <v>19.90417867934077</v>
      </c>
      <c r="I34" s="357">
        <f t="shared" ca="1" si="13"/>
        <v>20.217354807028109</v>
      </c>
      <c r="J34" s="359">
        <f t="shared" ca="1" si="14"/>
        <v>0.52476451384243916</v>
      </c>
      <c r="K34" s="360">
        <f t="shared" ca="1" si="15"/>
        <v>2.9743000181727588</v>
      </c>
      <c r="L34" s="357">
        <f t="shared" ca="1" si="0"/>
        <v>3.0202381351626504</v>
      </c>
      <c r="M34" s="359">
        <f t="shared" ca="1" si="16"/>
        <v>1.3945543425473501</v>
      </c>
      <c r="N34" s="357">
        <f t="shared" ca="1" si="17"/>
        <v>79.902078129604448</v>
      </c>
      <c r="O34" s="343"/>
      <c r="P34" s="363">
        <f t="shared" ca="1" si="18"/>
        <v>7</v>
      </c>
      <c r="Q34" s="357">
        <f t="shared" ca="1" si="19"/>
        <v>37.044151515151519</v>
      </c>
      <c r="R34" s="359">
        <f t="shared" ca="1" si="20"/>
        <v>2.1324405131906012E-2</v>
      </c>
      <c r="S34" s="360">
        <f t="shared" ca="1" si="21"/>
        <v>0.45488407358391331</v>
      </c>
      <c r="T34" s="357">
        <f t="shared" ca="1" si="1"/>
        <v>4.4624127618581895</v>
      </c>
      <c r="U34" s="364">
        <f t="shared" ca="1" si="2"/>
        <v>0</v>
      </c>
      <c r="V34" s="359">
        <f t="shared" ca="1" si="3"/>
        <v>1.2246357024242882</v>
      </c>
      <c r="W34" s="357">
        <f t="shared" ca="1" si="4"/>
        <v>0.44123944308781632</v>
      </c>
      <c r="X34" s="343"/>
      <c r="Y34" s="367" t="str">
        <f t="shared" ca="1" si="22"/>
        <v/>
      </c>
      <c r="Z34" s="368" t="str">
        <f t="shared" ca="1" si="23"/>
        <v/>
      </c>
      <c r="AA34" s="369" t="str">
        <f t="shared" ca="1" si="24"/>
        <v/>
      </c>
      <c r="AB34" s="344"/>
      <c r="AC34" s="363" t="e">
        <f t="shared" ca="1" si="25"/>
        <v>#N/A</v>
      </c>
      <c r="AD34" s="376" t="e">
        <f t="shared" ca="1" si="26"/>
        <v>#N/A</v>
      </c>
      <c r="AE34" s="377">
        <f t="shared" ca="1" si="5"/>
        <v>2.9743000181727588</v>
      </c>
      <c r="AF34" s="344"/>
      <c r="AG34" s="359">
        <f t="shared" ca="1" si="27"/>
        <v>70.87377035546254</v>
      </c>
      <c r="AH34" s="357">
        <f t="shared" ca="1" si="28"/>
        <v>80.533261815083009</v>
      </c>
    </row>
    <row r="35" spans="1:34">
      <c r="A35" s="402">
        <f t="shared" ca="1" si="6"/>
        <v>0.01</v>
      </c>
      <c r="B35" s="357">
        <f t="shared" ca="1" si="7"/>
        <v>0.31000000000000011</v>
      </c>
      <c r="C35" s="342"/>
      <c r="D35" s="359">
        <f t="shared" ca="1" si="8"/>
        <v>14.154632790552343</v>
      </c>
      <c r="E35" s="360">
        <f t="shared" ca="1" si="9"/>
        <v>69.6703520079258</v>
      </c>
      <c r="F35" s="357">
        <f t="shared" ca="1" si="10"/>
        <v>71.09368170480181</v>
      </c>
      <c r="G35" s="359">
        <f t="shared" ca="1" si="11"/>
        <v>3.6862757243671163</v>
      </c>
      <c r="H35" s="360">
        <f t="shared" ca="1" si="12"/>
        <v>20.600882199420028</v>
      </c>
      <c r="I35" s="357">
        <f t="shared" ca="1" si="13"/>
        <v>20.928090598772723</v>
      </c>
      <c r="J35" s="359">
        <f t="shared" ca="1" si="14"/>
        <v>0.56091953944658268</v>
      </c>
      <c r="K35" s="360">
        <f t="shared" ca="1" si="15"/>
        <v>3.1768253225665628</v>
      </c>
      <c r="L35" s="357">
        <f t="shared" ca="1" si="0"/>
        <v>3.2259649501867056</v>
      </c>
      <c r="M35" s="359">
        <f t="shared" ca="1" si="16"/>
        <v>1.3937324818665691</v>
      </c>
      <c r="N35" s="357">
        <f t="shared" ca="1" si="17"/>
        <v>79.854988981247942</v>
      </c>
      <c r="O35" s="343"/>
      <c r="P35" s="363">
        <f t="shared" ca="1" si="18"/>
        <v>7</v>
      </c>
      <c r="Q35" s="357">
        <f t="shared" ca="1" si="19"/>
        <v>37.147181818181821</v>
      </c>
      <c r="R35" s="359">
        <f t="shared" ca="1" si="20"/>
        <v>2.1383714357055428E-2</v>
      </c>
      <c r="S35" s="360">
        <f t="shared" ca="1" si="21"/>
        <v>0.45467023644034277</v>
      </c>
      <c r="T35" s="357">
        <f t="shared" ca="1" si="1"/>
        <v>4.4603150194797632</v>
      </c>
      <c r="U35" s="364">
        <f t="shared" ca="1" si="2"/>
        <v>0</v>
      </c>
      <c r="V35" s="359">
        <f t="shared" ca="1" si="3"/>
        <v>1.2246109007030106</v>
      </c>
      <c r="W35" s="357">
        <f t="shared" ca="1" si="4"/>
        <v>0.47279848901392552</v>
      </c>
      <c r="X35" s="343"/>
      <c r="Y35" s="367" t="str">
        <f t="shared" ca="1" si="22"/>
        <v/>
      </c>
      <c r="Z35" s="368" t="str">
        <f t="shared" ca="1" si="23"/>
        <v/>
      </c>
      <c r="AA35" s="369" t="str">
        <f t="shared" ca="1" si="24"/>
        <v/>
      </c>
      <c r="AB35" s="344"/>
      <c r="AC35" s="363" t="e">
        <f t="shared" ca="1" si="25"/>
        <v>#N/A</v>
      </c>
      <c r="AD35" s="376" t="e">
        <f t="shared" ca="1" si="26"/>
        <v>#N/A</v>
      </c>
      <c r="AE35" s="377">
        <f t="shared" ca="1" si="5"/>
        <v>3.1768253225665628</v>
      </c>
      <c r="AF35" s="344"/>
      <c r="AG35" s="359">
        <f t="shared" ca="1" si="27"/>
        <v>71.07287237535175</v>
      </c>
      <c r="AH35" s="357">
        <f t="shared" ca="1" si="28"/>
        <v>80.730910961905877</v>
      </c>
    </row>
    <row r="36" spans="1:34">
      <c r="A36" s="402">
        <f t="shared" ca="1" si="6"/>
        <v>0.01</v>
      </c>
      <c r="B36" s="357">
        <f t="shared" ca="1" si="7"/>
        <v>0.32000000000000012</v>
      </c>
      <c r="C36" s="342"/>
      <c r="D36" s="359">
        <f t="shared" ca="1" si="8"/>
        <v>14.254360475271751</v>
      </c>
      <c r="E36" s="360">
        <f t="shared" ca="1" si="9"/>
        <v>69.85099742296363</v>
      </c>
      <c r="F36" s="357">
        <f t="shared" ca="1" si="10"/>
        <v>71.290592882524564</v>
      </c>
      <c r="G36" s="359">
        <f t="shared" ca="1" si="11"/>
        <v>3.8288193291198338</v>
      </c>
      <c r="H36" s="360">
        <f t="shared" ca="1" si="12"/>
        <v>21.299392173649665</v>
      </c>
      <c r="I36" s="357">
        <f t="shared" ca="1" si="13"/>
        <v>21.640793987790055</v>
      </c>
      <c r="J36" s="359">
        <f t="shared" ca="1" si="14"/>
        <v>0.59849501471401745</v>
      </c>
      <c r="K36" s="360">
        <f t="shared" ca="1" si="15"/>
        <v>3.3863266944319115</v>
      </c>
      <c r="L36" s="357">
        <f t="shared" ca="1" si="0"/>
        <v>3.4388086256812387</v>
      </c>
      <c r="M36" s="359">
        <f t="shared" ca="1" si="16"/>
        <v>1.3929340201973581</v>
      </c>
      <c r="N36" s="357">
        <f t="shared" ca="1" si="17"/>
        <v>79.809240497499189</v>
      </c>
      <c r="O36" s="343"/>
      <c r="P36" s="363">
        <f t="shared" ca="1" si="18"/>
        <v>7</v>
      </c>
      <c r="Q36" s="357">
        <f t="shared" ca="1" si="19"/>
        <v>37.250212121212122</v>
      </c>
      <c r="R36" s="359">
        <f t="shared" ca="1" si="20"/>
        <v>2.1443023582204842E-2</v>
      </c>
      <c r="S36" s="360">
        <f t="shared" ca="1" si="21"/>
        <v>0.4544558062045207</v>
      </c>
      <c r="T36" s="357">
        <f t="shared" ca="1" si="1"/>
        <v>4.458211458866348</v>
      </c>
      <c r="U36" s="364">
        <f t="shared" ca="1" si="2"/>
        <v>0</v>
      </c>
      <c r="V36" s="359">
        <f t="shared" ca="1" si="3"/>
        <v>1.2245852452046939</v>
      </c>
      <c r="W36" s="357">
        <f t="shared" ca="1" si="4"/>
        <v>0.50553839979434312</v>
      </c>
      <c r="X36" s="343"/>
      <c r="Y36" s="367" t="str">
        <f t="shared" ca="1" si="22"/>
        <v/>
      </c>
      <c r="Z36" s="368" t="str">
        <f t="shared" ca="1" si="23"/>
        <v/>
      </c>
      <c r="AA36" s="369" t="str">
        <f t="shared" ca="1" si="24"/>
        <v/>
      </c>
      <c r="AB36" s="344"/>
      <c r="AC36" s="363" t="e">
        <f t="shared" ca="1" si="25"/>
        <v>#N/A</v>
      </c>
      <c r="AD36" s="376" t="e">
        <f t="shared" ca="1" si="26"/>
        <v>#N/A</v>
      </c>
      <c r="AE36" s="377">
        <f t="shared" ca="1" si="5"/>
        <v>3.3863266944319115</v>
      </c>
      <c r="AF36" s="344"/>
      <c r="AG36" s="359">
        <f t="shared" ca="1" si="27"/>
        <v>71.269649057057578</v>
      </c>
      <c r="AH36" s="357">
        <f t="shared" ca="1" si="28"/>
        <v>80.926270783846249</v>
      </c>
    </row>
    <row r="37" spans="1:34">
      <c r="A37" s="402">
        <f t="shared" ca="1" si="6"/>
        <v>0.01</v>
      </c>
      <c r="B37" s="357">
        <f t="shared" ca="1" si="7"/>
        <v>0.33000000000000013</v>
      </c>
      <c r="C37" s="342"/>
      <c r="D37" s="359">
        <f t="shared" ca="1" si="8"/>
        <v>14.352117839308711</v>
      </c>
      <c r="E37" s="360">
        <f t="shared" ca="1" si="9"/>
        <v>70.029595474498819</v>
      </c>
      <c r="F37" s="357">
        <f t="shared" ca="1" si="10"/>
        <v>71.4851560031546</v>
      </c>
      <c r="G37" s="359">
        <f t="shared" ca="1" si="11"/>
        <v>3.972340507512921</v>
      </c>
      <c r="H37" s="360">
        <f t="shared" ca="1" si="12"/>
        <v>21.999688128394652</v>
      </c>
      <c r="I37" s="357">
        <f t="shared" ca="1" si="13"/>
        <v>22.355441549078307</v>
      </c>
      <c r="J37" s="359">
        <f t="shared" ca="1" si="14"/>
        <v>0.63750081389718116</v>
      </c>
      <c r="K37" s="360">
        <f t="shared" ca="1" si="15"/>
        <v>3.6028220959421331</v>
      </c>
      <c r="L37" s="357">
        <f t="shared" ca="1" si="0"/>
        <v>3.6587886441728816</v>
      </c>
      <c r="M37" s="359">
        <f t="shared" ca="1" si="16"/>
        <v>1.3921576345792639</v>
      </c>
      <c r="N37" s="357">
        <f t="shared" ca="1" si="17"/>
        <v>79.764756878307736</v>
      </c>
      <c r="O37" s="343"/>
      <c r="P37" s="363">
        <f t="shared" ca="1" si="18"/>
        <v>7</v>
      </c>
      <c r="Q37" s="357">
        <f t="shared" ca="1" si="19"/>
        <v>37.353242424242424</v>
      </c>
      <c r="R37" s="359">
        <f t="shared" ca="1" si="20"/>
        <v>2.1502332807354259E-2</v>
      </c>
      <c r="S37" s="360">
        <f t="shared" ca="1" si="21"/>
        <v>0.45424078287644715</v>
      </c>
      <c r="T37" s="357">
        <f t="shared" ca="1" si="1"/>
        <v>4.4561020800179465</v>
      </c>
      <c r="U37" s="364">
        <f t="shared" ca="1" si="2"/>
        <v>0</v>
      </c>
      <c r="V37" s="359">
        <f t="shared" ca="1" si="3"/>
        <v>1.2245587337834309</v>
      </c>
      <c r="W37" s="357">
        <f t="shared" ca="1" si="4"/>
        <v>0.53946698338409083</v>
      </c>
      <c r="X37" s="343"/>
      <c r="Y37" s="367" t="str">
        <f t="shared" ca="1" si="22"/>
        <v/>
      </c>
      <c r="Z37" s="368" t="str">
        <f t="shared" ca="1" si="23"/>
        <v/>
      </c>
      <c r="AA37" s="369" t="str">
        <f t="shared" ca="1" si="24"/>
        <v/>
      </c>
      <c r="AB37" s="344"/>
      <c r="AC37" s="363" t="e">
        <f t="shared" ca="1" si="25"/>
        <v>#N/A</v>
      </c>
      <c r="AD37" s="376" t="e">
        <f t="shared" ca="1" si="26"/>
        <v>#N/A</v>
      </c>
      <c r="AE37" s="377">
        <f t="shared" ca="1" si="5"/>
        <v>3.6028220959421331</v>
      </c>
      <c r="AF37" s="344"/>
      <c r="AG37" s="359">
        <f t="shared" ca="1" si="27"/>
        <v>71.46408236421064</v>
      </c>
      <c r="AH37" s="357">
        <f t="shared" ca="1" si="28"/>
        <v>81.11932132362189</v>
      </c>
    </row>
    <row r="38" spans="1:34">
      <c r="A38" s="402">
        <f t="shared" ca="1" si="6"/>
        <v>0.01</v>
      </c>
      <c r="B38" s="357">
        <f t="shared" ca="1" si="7"/>
        <v>0.34000000000000014</v>
      </c>
      <c r="C38" s="342"/>
      <c r="D38" s="359">
        <f t="shared" ca="1" si="8"/>
        <v>14.447989148850217</v>
      </c>
      <c r="E38" s="360">
        <f t="shared" ca="1" si="9"/>
        <v>70.206115123056577</v>
      </c>
      <c r="F38" s="357">
        <f t="shared" ca="1" si="10"/>
        <v>71.677353404803995</v>
      </c>
      <c r="G38" s="359">
        <f t="shared" ca="1" si="11"/>
        <v>4.1168203990014236</v>
      </c>
      <c r="H38" s="360">
        <f t="shared" ca="1" si="12"/>
        <v>22.701749279625218</v>
      </c>
      <c r="I38" s="357">
        <f t="shared" ca="1" si="13"/>
        <v>23.072009677368776</v>
      </c>
      <c r="J38" s="359">
        <f t="shared" ca="1" si="14"/>
        <v>0.6779466184297529</v>
      </c>
      <c r="K38" s="360">
        <f t="shared" ca="1" si="15"/>
        <v>3.8263292829822326</v>
      </c>
      <c r="L38" s="357">
        <f t="shared" ca="1" si="0"/>
        <v>3.8859242657632516</v>
      </c>
      <c r="M38" s="359">
        <f t="shared" ca="1" si="16"/>
        <v>1.3914021130572374</v>
      </c>
      <c r="N38" s="357">
        <f t="shared" ca="1" si="17"/>
        <v>79.721468683764314</v>
      </c>
      <c r="O38" s="343"/>
      <c r="P38" s="363">
        <f t="shared" ca="1" si="18"/>
        <v>7</v>
      </c>
      <c r="Q38" s="357">
        <f t="shared" ca="1" si="19"/>
        <v>37.456272727272726</v>
      </c>
      <c r="R38" s="359">
        <f t="shared" ca="1" si="20"/>
        <v>2.1561642032503676E-2</v>
      </c>
      <c r="S38" s="360">
        <f t="shared" ca="1" si="21"/>
        <v>0.45402516645612212</v>
      </c>
      <c r="T38" s="357">
        <f t="shared" ca="1" si="1"/>
        <v>4.4539868829345579</v>
      </c>
      <c r="U38" s="364">
        <f t="shared" ca="1" si="2"/>
        <v>0</v>
      </c>
      <c r="V38" s="359">
        <f t="shared" ca="1" si="3"/>
        <v>1.2245313643205558</v>
      </c>
      <c r="W38" s="357">
        <f t="shared" ca="1" si="4"/>
        <v>0.57459191298553347</v>
      </c>
      <c r="X38" s="343"/>
      <c r="Y38" s="367" t="str">
        <f t="shared" ca="1" si="22"/>
        <v/>
      </c>
      <c r="Z38" s="368" t="str">
        <f t="shared" ca="1" si="23"/>
        <v/>
      </c>
      <c r="AA38" s="369" t="str">
        <f t="shared" ca="1" si="24"/>
        <v/>
      </c>
      <c r="AB38" s="344"/>
      <c r="AC38" s="363" t="e">
        <f t="shared" ca="1" si="25"/>
        <v>#N/A</v>
      </c>
      <c r="AD38" s="376" t="e">
        <f t="shared" ca="1" si="26"/>
        <v>#N/A</v>
      </c>
      <c r="AE38" s="377">
        <f t="shared" ca="1" si="5"/>
        <v>3.8263292829822326</v>
      </c>
      <c r="AF38" s="344"/>
      <c r="AG38" s="359">
        <f t="shared" ca="1" si="27"/>
        <v>71.656154339190238</v>
      </c>
      <c r="AH38" s="357">
        <f t="shared" ca="1" si="28"/>
        <v>81.310042859609524</v>
      </c>
    </row>
    <row r="39" spans="1:34">
      <c r="A39" s="402">
        <f t="shared" ca="1" si="6"/>
        <v>0.01</v>
      </c>
      <c r="B39" s="357">
        <f t="shared" ca="1" si="7"/>
        <v>0.35000000000000014</v>
      </c>
      <c r="C39" s="342"/>
      <c r="D39" s="359">
        <f t="shared" ca="1" si="8"/>
        <v>14.534336391983881</v>
      </c>
      <c r="E39" s="360">
        <f t="shared" ca="1" si="9"/>
        <v>70.337985274408553</v>
      </c>
      <c r="F39" s="357">
        <f t="shared" ca="1" si="10"/>
        <v>71.823945218974572</v>
      </c>
      <c r="G39" s="359">
        <f t="shared" ca="1" si="11"/>
        <v>4.2621637629212623</v>
      </c>
      <c r="H39" s="360">
        <f t="shared" ca="1" si="12"/>
        <v>23.405129132369304</v>
      </c>
      <c r="I39" s="357">
        <f t="shared" ca="1" si="13"/>
        <v>23.79004223713866</v>
      </c>
      <c r="J39" s="359">
        <f t="shared" ca="1" si="14"/>
        <v>0.71984153923936633</v>
      </c>
      <c r="K39" s="360">
        <f t="shared" ca="1" si="15"/>
        <v>4.0568636750422051</v>
      </c>
      <c r="L39" s="357">
        <f t="shared" ca="1" si="0"/>
        <v>4.1202323623178634</v>
      </c>
      <c r="M39" s="359">
        <f t="shared" ca="1" si="16"/>
        <v>1.3906663290751093</v>
      </c>
      <c r="N39" s="357">
        <f t="shared" ca="1" si="17"/>
        <v>79.679311366955048</v>
      </c>
      <c r="O39" s="343"/>
      <c r="P39" s="363">
        <f t="shared" ca="1" si="18"/>
        <v>8</v>
      </c>
      <c r="Q39" s="357">
        <f t="shared" ca="1" si="19"/>
        <v>37.539691741618967</v>
      </c>
      <c r="R39" s="359">
        <f t="shared" ca="1" si="20"/>
        <v>2.1609662051450415E-2</v>
      </c>
      <c r="S39" s="360">
        <f t="shared" ca="1" si="21"/>
        <v>0.45380906983560759</v>
      </c>
      <c r="T39" s="357">
        <f t="shared" ca="1" si="1"/>
        <v>4.4518669750873103</v>
      </c>
      <c r="U39" s="364">
        <f t="shared" ca="1" si="2"/>
        <v>0</v>
      </c>
      <c r="V39" s="359">
        <f t="shared" ca="1" si="3"/>
        <v>1.2245031349854887</v>
      </c>
      <c r="W39" s="357">
        <f t="shared" ca="1" si="4"/>
        <v>0.6108985201303675</v>
      </c>
      <c r="X39" s="343"/>
      <c r="Y39" s="367" t="str">
        <f t="shared" ca="1" si="22"/>
        <v/>
      </c>
      <c r="Z39" s="368" t="str">
        <f t="shared" ca="1" si="23"/>
        <v/>
      </c>
      <c r="AA39" s="369" t="str">
        <f t="shared" ca="1" si="24"/>
        <v/>
      </c>
      <c r="AB39" s="344"/>
      <c r="AC39" s="363" t="e">
        <f t="shared" ca="1" si="25"/>
        <v>#N/A</v>
      </c>
      <c r="AD39" s="376" t="e">
        <f t="shared" ca="1" si="26"/>
        <v>#N/A</v>
      </c>
      <c r="AE39" s="377">
        <f t="shared" ca="1" si="5"/>
        <v>4.0568636750422051</v>
      </c>
      <c r="AF39" s="344"/>
      <c r="AG39" s="359">
        <f t="shared" ca="1" si="27"/>
        <v>71.802612006662031</v>
      </c>
      <c r="AH39" s="357">
        <f t="shared" ca="1" si="28"/>
        <v>81.455180792274703</v>
      </c>
    </row>
    <row r="40" spans="1:34">
      <c r="A40" s="402">
        <f t="shared" ca="1" si="6"/>
        <v>0.01</v>
      </c>
      <c r="B40" s="357">
        <f t="shared" ca="1" si="7"/>
        <v>0.36000000000000015</v>
      </c>
      <c r="C40" s="342"/>
      <c r="D40" s="359">
        <f t="shared" ca="1" si="8"/>
        <v>14.549133900637742</v>
      </c>
      <c r="E40" s="360">
        <f t="shared" ca="1" si="9"/>
        <v>70.084714668392991</v>
      </c>
      <c r="F40" s="357">
        <f t="shared" ca="1" si="10"/>
        <v>71.578939133021137</v>
      </c>
      <c r="G40" s="359">
        <f t="shared" ca="1" si="11"/>
        <v>4.4076551019276398</v>
      </c>
      <c r="H40" s="360">
        <f t="shared" ca="1" si="12"/>
        <v>24.105976279053234</v>
      </c>
      <c r="I40" s="357">
        <f t="shared" ca="1" si="13"/>
        <v>24.505622127663397</v>
      </c>
      <c r="J40" s="359">
        <f t="shared" ca="1" si="14"/>
        <v>0.76319063356361083</v>
      </c>
      <c r="K40" s="360">
        <f t="shared" ca="1" si="15"/>
        <v>4.2944192020993182</v>
      </c>
      <c r="L40" s="357">
        <f t="shared" ca="1" si="0"/>
        <v>4.3617079483292516</v>
      </c>
      <c r="M40" s="359">
        <f t="shared" ca="1" si="16"/>
        <v>1.3899491324596418</v>
      </c>
      <c r="N40" s="357">
        <f t="shared" ca="1" si="17"/>
        <v>79.638219027807693</v>
      </c>
      <c r="O40" s="343"/>
      <c r="P40" s="363">
        <f t="shared" ca="1" si="18"/>
        <v>8</v>
      </c>
      <c r="Q40" s="357">
        <f t="shared" ca="1" si="19"/>
        <v>37.446609157808666</v>
      </c>
      <c r="R40" s="359">
        <f t="shared" ca="1" si="20"/>
        <v>2.1556079214573087E-2</v>
      </c>
      <c r="S40" s="360">
        <f t="shared" ca="1" si="21"/>
        <v>0.45359350904346185</v>
      </c>
      <c r="T40" s="357">
        <f t="shared" ca="1" si="1"/>
        <v>4.4497523237163614</v>
      </c>
      <c r="U40" s="364">
        <f t="shared" ca="1" si="2"/>
        <v>0</v>
      </c>
      <c r="V40" s="359">
        <f t="shared" ca="1" si="3"/>
        <v>1.2244740465809663</v>
      </c>
      <c r="W40" s="357">
        <f t="shared" ca="1" si="4"/>
        <v>0.64818622144968285</v>
      </c>
      <c r="X40" s="343"/>
      <c r="Y40" s="367" t="str">
        <f t="shared" ca="1" si="22"/>
        <v/>
      </c>
      <c r="Z40" s="368" t="str">
        <f t="shared" ca="1" si="23"/>
        <v/>
      </c>
      <c r="AA40" s="369" t="str">
        <f t="shared" ca="1" si="24"/>
        <v/>
      </c>
      <c r="AB40" s="344"/>
      <c r="AC40" s="363" t="e">
        <f t="shared" ca="1" si="25"/>
        <v>#N/A</v>
      </c>
      <c r="AD40" s="376" t="e">
        <f t="shared" ca="1" si="26"/>
        <v>#N/A</v>
      </c>
      <c r="AE40" s="377">
        <f t="shared" ca="1" si="5"/>
        <v>4.2944192020993182</v>
      </c>
      <c r="AF40" s="344"/>
      <c r="AG40" s="359">
        <f t="shared" ca="1" si="27"/>
        <v>71.557358803450896</v>
      </c>
      <c r="AH40" s="357">
        <f t="shared" ca="1" si="28"/>
        <v>81.208637035740338</v>
      </c>
    </row>
    <row r="41" spans="1:34">
      <c r="A41" s="402">
        <f t="shared" ca="1" si="6"/>
        <v>0.01</v>
      </c>
      <c r="B41" s="357">
        <f t="shared" ca="1" si="7"/>
        <v>0.37000000000000016</v>
      </c>
      <c r="C41" s="342"/>
      <c r="D41" s="359">
        <f t="shared" ca="1" si="8"/>
        <v>14.561637674884713</v>
      </c>
      <c r="E41" s="360">
        <f t="shared" ca="1" si="9"/>
        <v>69.829283078529215</v>
      </c>
      <c r="F41" s="357">
        <f t="shared" ca="1" si="10"/>
        <v>71.331410101272965</v>
      </c>
      <c r="G41" s="359">
        <f t="shared" ca="1" si="11"/>
        <v>4.5532714786764865</v>
      </c>
      <c r="H41" s="360">
        <f t="shared" ca="1" si="12"/>
        <v>24.804269109838526</v>
      </c>
      <c r="I41" s="357">
        <f t="shared" ca="1" si="13"/>
        <v>25.218724139651048</v>
      </c>
      <c r="J41" s="359">
        <f t="shared" ca="1" si="14"/>
        <v>0.80799526646663145</v>
      </c>
      <c r="K41" s="360">
        <f t="shared" ca="1" si="15"/>
        <v>4.5389704290437773</v>
      </c>
      <c r="L41" s="357">
        <f t="shared" ca="1" si="0"/>
        <v>4.6103263340425622</v>
      </c>
      <c r="M41" s="359">
        <f t="shared" ca="1" si="16"/>
        <v>1.3892494712396761</v>
      </c>
      <c r="N41" s="357">
        <f t="shared" ca="1" si="17"/>
        <v>79.598131392814679</v>
      </c>
      <c r="O41" s="343"/>
      <c r="P41" s="363">
        <f t="shared" ca="1" si="18"/>
        <v>8</v>
      </c>
      <c r="Q41" s="357">
        <f t="shared" ca="1" si="19"/>
        <v>37.353526573998366</v>
      </c>
      <c r="R41" s="359">
        <f t="shared" ca="1" si="20"/>
        <v>2.1502496377695756E-2</v>
      </c>
      <c r="S41" s="360">
        <f t="shared" ca="1" si="21"/>
        <v>0.4533784840796849</v>
      </c>
      <c r="T41" s="357">
        <f t="shared" ca="1" si="1"/>
        <v>4.4476429288217094</v>
      </c>
      <c r="U41" s="364">
        <f t="shared" ca="1" si="2"/>
        <v>0</v>
      </c>
      <c r="V41" s="359">
        <f t="shared" ca="1" si="3"/>
        <v>1.2244441022826074</v>
      </c>
      <c r="W41" s="357">
        <f t="shared" ca="1" si="4"/>
        <v>0.68644213181010438</v>
      </c>
      <c r="X41" s="343"/>
      <c r="Y41" s="367" t="str">
        <f t="shared" ca="1" si="22"/>
        <v/>
      </c>
      <c r="Z41" s="368" t="str">
        <f t="shared" ca="1" si="23"/>
        <v/>
      </c>
      <c r="AA41" s="369" t="str">
        <f t="shared" ca="1" si="24"/>
        <v/>
      </c>
      <c r="AB41" s="344"/>
      <c r="AC41" s="363" t="e">
        <f t="shared" ca="1" si="25"/>
        <v>#N/A</v>
      </c>
      <c r="AD41" s="376" t="e">
        <f t="shared" ca="1" si="26"/>
        <v>#N/A</v>
      </c>
      <c r="AE41" s="377">
        <f t="shared" ca="1" si="5"/>
        <v>4.5389704290437773</v>
      </c>
      <c r="AF41" s="344"/>
      <c r="AG41" s="359">
        <f t="shared" ca="1" si="27"/>
        <v>71.309583937956035</v>
      </c>
      <c r="AH41" s="357">
        <f t="shared" ca="1" si="28"/>
        <v>80.959599190193202</v>
      </c>
    </row>
    <row r="42" spans="1:34">
      <c r="A42" s="402">
        <f t="shared" ca="1" si="6"/>
        <v>0.01</v>
      </c>
      <c r="B42" s="357">
        <f t="shared" ca="1" si="7"/>
        <v>0.38000000000000017</v>
      </c>
      <c r="C42" s="342"/>
      <c r="D42" s="359">
        <f t="shared" ca="1" si="8"/>
        <v>14.571944878036032</v>
      </c>
      <c r="E42" s="360">
        <f t="shared" ca="1" si="9"/>
        <v>69.571702562923363</v>
      </c>
      <c r="F42" s="357">
        <f t="shared" ca="1" si="10"/>
        <v>71.081385573386214</v>
      </c>
      <c r="G42" s="359">
        <f t="shared" ca="1" si="11"/>
        <v>4.6989909274568467</v>
      </c>
      <c r="H42" s="360">
        <f t="shared" ca="1" si="12"/>
        <v>25.499986135467758</v>
      </c>
      <c r="I42" s="357">
        <f t="shared" ca="1" si="13"/>
        <v>25.929323335663227</v>
      </c>
      <c r="J42" s="359">
        <f t="shared" ca="1" si="14"/>
        <v>0.85425657849729808</v>
      </c>
      <c r="K42" s="360">
        <f t="shared" ca="1" si="15"/>
        <v>4.7904917052703091</v>
      </c>
      <c r="L42" s="357">
        <f t="shared" ca="1" si="0"/>
        <v>4.8660625849006038</v>
      </c>
      <c r="M42" s="359">
        <f t="shared" ca="1" si="16"/>
        <v>1.3885663806670334</v>
      </c>
      <c r="N42" s="357">
        <f t="shared" ca="1" si="17"/>
        <v>79.558993185977087</v>
      </c>
      <c r="O42" s="343"/>
      <c r="P42" s="363">
        <f t="shared" ca="1" si="18"/>
        <v>8</v>
      </c>
      <c r="Q42" s="357">
        <f t="shared" ca="1" si="19"/>
        <v>37.260443990188058</v>
      </c>
      <c r="R42" s="359">
        <f t="shared" ca="1" si="20"/>
        <v>2.1448913540818425E-2</v>
      </c>
      <c r="S42" s="360">
        <f t="shared" ca="1" si="21"/>
        <v>0.45316399494427673</v>
      </c>
      <c r="T42" s="357">
        <f t="shared" ca="1" si="1"/>
        <v>4.4455387904033552</v>
      </c>
      <c r="U42" s="364">
        <f t="shared" ca="1" si="2"/>
        <v>0</v>
      </c>
      <c r="V42" s="359">
        <f t="shared" ca="1" si="3"/>
        <v>1.2244133052939108</v>
      </c>
      <c r="W42" s="357">
        <f t="shared" ca="1" si="4"/>
        <v>0.72565326313319223</v>
      </c>
      <c r="X42" s="343"/>
      <c r="Y42" s="367" t="str">
        <f t="shared" ca="1" si="22"/>
        <v/>
      </c>
      <c r="Z42" s="368" t="str">
        <f t="shared" ca="1" si="23"/>
        <v/>
      </c>
      <c r="AA42" s="369" t="str">
        <f t="shared" ca="1" si="24"/>
        <v/>
      </c>
      <c r="AB42" s="344"/>
      <c r="AC42" s="363" t="e">
        <f t="shared" ca="1" si="25"/>
        <v>#N/A</v>
      </c>
      <c r="AD42" s="376" t="e">
        <f t="shared" ca="1" si="26"/>
        <v>#N/A</v>
      </c>
      <c r="AE42" s="377">
        <f t="shared" ca="1" si="5"/>
        <v>4.7904917052703091</v>
      </c>
      <c r="AF42" s="344"/>
      <c r="AG42" s="359">
        <f t="shared" ca="1" si="27"/>
        <v>71.059314653623758</v>
      </c>
      <c r="AH42" s="357">
        <f t="shared" ca="1" si="28"/>
        <v>80.708093022428386</v>
      </c>
    </row>
    <row r="43" spans="1:34">
      <c r="A43" s="402">
        <f t="shared" ca="1" si="6"/>
        <v>0.01</v>
      </c>
      <c r="B43" s="357">
        <f t="shared" ca="1" si="7"/>
        <v>0.39000000000000018</v>
      </c>
      <c r="C43" s="342"/>
      <c r="D43" s="359">
        <f t="shared" ca="1" si="8"/>
        <v>14.580145059103264</v>
      </c>
      <c r="E43" s="360">
        <f t="shared" ca="1" si="9"/>
        <v>69.311986528597402</v>
      </c>
      <c r="F43" s="357">
        <f t="shared" ca="1" si="10"/>
        <v>70.828893161512553</v>
      </c>
      <c r="G43" s="359">
        <f t="shared" ca="1" si="11"/>
        <v>4.8447923780478792</v>
      </c>
      <c r="H43" s="360">
        <f t="shared" ca="1" si="12"/>
        <v>26.193106000753733</v>
      </c>
      <c r="I43" s="357">
        <f t="shared" ca="1" si="13"/>
        <v>26.637395051939897</v>
      </c>
      <c r="J43" s="359">
        <f t="shared" ca="1" si="14"/>
        <v>0.90197549502482166</v>
      </c>
      <c r="K43" s="360">
        <f t="shared" ca="1" si="15"/>
        <v>5.0489571659514167</v>
      </c>
      <c r="L43" s="357">
        <f t="shared" ca="1" si="0"/>
        <v>5.1288915232472441</v>
      </c>
      <c r="M43" s="359">
        <f t="shared" ca="1" si="16"/>
        <v>1.3878989737381184</v>
      </c>
      <c r="N43" s="357">
        <f t="shared" ca="1" si="17"/>
        <v>79.520753585732464</v>
      </c>
      <c r="O43" s="343"/>
      <c r="P43" s="363">
        <f t="shared" ca="1" si="18"/>
        <v>8</v>
      </c>
      <c r="Q43" s="357">
        <f t="shared" ca="1" si="19"/>
        <v>37.167361406377758</v>
      </c>
      <c r="R43" s="359">
        <f t="shared" ca="1" si="20"/>
        <v>2.1395330703941094E-2</v>
      </c>
      <c r="S43" s="360">
        <f t="shared" ca="1" si="21"/>
        <v>0.45295004163723729</v>
      </c>
      <c r="T43" s="357">
        <f t="shared" ca="1" si="1"/>
        <v>4.4434399084612979</v>
      </c>
      <c r="U43" s="364">
        <f t="shared" ca="1" si="2"/>
        <v>0</v>
      </c>
      <c r="V43" s="359">
        <f t="shared" ca="1" si="3"/>
        <v>1.2243816588460708</v>
      </c>
      <c r="W43" s="357">
        <f t="shared" ca="1" si="4"/>
        <v>0.76580652806444427</v>
      </c>
      <c r="X43" s="343"/>
      <c r="Y43" s="367" t="str">
        <f t="shared" ca="1" si="22"/>
        <v/>
      </c>
      <c r="Z43" s="368" t="str">
        <f t="shared" ca="1" si="23"/>
        <v/>
      </c>
      <c r="AA43" s="369" t="str">
        <f t="shared" ca="1" si="24"/>
        <v/>
      </c>
      <c r="AB43" s="344"/>
      <c r="AC43" s="363" t="e">
        <f t="shared" ca="1" si="25"/>
        <v>#N/A</v>
      </c>
      <c r="AD43" s="376" t="e">
        <f t="shared" ca="1" si="26"/>
        <v>#N/A</v>
      </c>
      <c r="AE43" s="377">
        <f t="shared" ca="1" si="5"/>
        <v>5.0489571659514167</v>
      </c>
      <c r="AF43" s="344"/>
      <c r="AG43" s="359">
        <f t="shared" ca="1" si="27"/>
        <v>70.806578370269378</v>
      </c>
      <c r="AH43" s="357">
        <f t="shared" ca="1" si="28"/>
        <v>80.454144592904868</v>
      </c>
    </row>
    <row r="44" spans="1:34">
      <c r="A44" s="402">
        <f t="shared" ca="1" si="6"/>
        <v>0.01</v>
      </c>
      <c r="B44" s="357">
        <f t="shared" ca="1" si="7"/>
        <v>0.40000000000000019</v>
      </c>
      <c r="C44" s="342"/>
      <c r="D44" s="359">
        <f t="shared" ca="1" si="8"/>
        <v>14.58632098688312</v>
      </c>
      <c r="E44" s="360">
        <f t="shared" ca="1" si="9"/>
        <v>69.050149611693541</v>
      </c>
      <c r="F44" s="357">
        <f t="shared" ca="1" si="10"/>
        <v>70.573960646471079</v>
      </c>
      <c r="G44" s="359">
        <f t="shared" ca="1" si="11"/>
        <v>4.9906555879167103</v>
      </c>
      <c r="H44" s="360">
        <f t="shared" ca="1" si="12"/>
        <v>26.88360749687067</v>
      </c>
      <c r="I44" s="357">
        <f t="shared" ca="1" si="13"/>
        <v>27.342914900262649</v>
      </c>
      <c r="J44" s="359">
        <f t="shared" ca="1" si="14"/>
        <v>0.95115273485464458</v>
      </c>
      <c r="K44" s="360">
        <f t="shared" ca="1" si="15"/>
        <v>5.3143407334395389</v>
      </c>
      <c r="L44" s="357">
        <f t="shared" ca="1" si="0"/>
        <v>5.398787730233165</v>
      </c>
      <c r="M44" s="359">
        <f t="shared" ca="1" si="16"/>
        <v>1.3872464329757805</v>
      </c>
      <c r="N44" s="357">
        <f t="shared" ca="1" si="17"/>
        <v>79.483365754090258</v>
      </c>
      <c r="O44" s="343"/>
      <c r="P44" s="363">
        <f t="shared" ca="1" si="18"/>
        <v>8</v>
      </c>
      <c r="Q44" s="357">
        <f t="shared" ca="1" si="19"/>
        <v>37.074278822567457</v>
      </c>
      <c r="R44" s="359">
        <f t="shared" ca="1" si="20"/>
        <v>2.1341747867063766E-2</v>
      </c>
      <c r="S44" s="360">
        <f t="shared" ca="1" si="21"/>
        <v>0.45273662415856664</v>
      </c>
      <c r="T44" s="357">
        <f t="shared" ca="1" si="1"/>
        <v>4.4413462829955392</v>
      </c>
      <c r="U44" s="364">
        <f t="shared" ca="1" si="2"/>
        <v>0</v>
      </c>
      <c r="V44" s="359">
        <f t="shared" ca="1" si="3"/>
        <v>1.2243491661977832</v>
      </c>
      <c r="W44" s="357">
        <f t="shared" ca="1" si="4"/>
        <v>0.80688874365258445</v>
      </c>
      <c r="X44" s="343"/>
      <c r="Y44" s="367" t="str">
        <f t="shared" ca="1" si="22"/>
        <v/>
      </c>
      <c r="Z44" s="368" t="str">
        <f t="shared" ca="1" si="23"/>
        <v/>
      </c>
      <c r="AA44" s="369" t="str">
        <f t="shared" ca="1" si="24"/>
        <v/>
      </c>
      <c r="AB44" s="344"/>
      <c r="AC44" s="363" t="e">
        <f t="shared" ca="1" si="25"/>
        <v>#N/A</v>
      </c>
      <c r="AD44" s="376" t="e">
        <f t="shared" ca="1" si="26"/>
        <v>#N/A</v>
      </c>
      <c r="AE44" s="377">
        <f t="shared" ca="1" si="5"/>
        <v>5.3143407334395389</v>
      </c>
      <c r="AF44" s="344"/>
      <c r="AG44" s="359">
        <f t="shared" ca="1" si="27"/>
        <v>70.551402688722817</v>
      </c>
      <c r="AH44" s="357">
        <f t="shared" ca="1" si="28"/>
        <v>80.197780248028536</v>
      </c>
    </row>
    <row r="45" spans="1:34">
      <c r="A45" s="402">
        <f t="shared" ca="1" si="6"/>
        <v>0.01</v>
      </c>
      <c r="B45" s="357">
        <f t="shared" ca="1" si="7"/>
        <v>0.4100000000000002</v>
      </c>
      <c r="C45" s="342"/>
      <c r="D45" s="359">
        <f t="shared" ca="1" si="8"/>
        <v>14.590549373062396</v>
      </c>
      <c r="E45" s="360">
        <f t="shared" ca="1" si="9"/>
        <v>68.786207572171975</v>
      </c>
      <c r="F45" s="357">
        <f t="shared" ca="1" si="10"/>
        <v>70.316615982068569</v>
      </c>
      <c r="G45" s="359">
        <f t="shared" ca="1" si="11"/>
        <v>5.1365610816473346</v>
      </c>
      <c r="H45" s="360">
        <f t="shared" ca="1" si="12"/>
        <v>27.571469572592392</v>
      </c>
      <c r="I45" s="357">
        <f t="shared" ca="1" si="13"/>
        <v>28.045858769841264</v>
      </c>
      <c r="J45" s="359">
        <f t="shared" ca="1" si="14"/>
        <v>1.0017888182024648</v>
      </c>
      <c r="K45" s="360">
        <f t="shared" ca="1" si="15"/>
        <v>5.5866161187868544</v>
      </c>
      <c r="L45" s="357">
        <f t="shared" ca="1" si="0"/>
        <v>5.6757255478894137</v>
      </c>
      <c r="M45" s="359">
        <f t="shared" ca="1" si="16"/>
        <v>1.3866080032748727</v>
      </c>
      <c r="N45" s="357">
        <f t="shared" ca="1" si="17"/>
        <v>79.446786426712436</v>
      </c>
      <c r="O45" s="343"/>
      <c r="P45" s="363">
        <f t="shared" ca="1" si="18"/>
        <v>8</v>
      </c>
      <c r="Q45" s="357">
        <f t="shared" ca="1" si="19"/>
        <v>36.98119623875715</v>
      </c>
      <c r="R45" s="359">
        <f t="shared" ca="1" si="20"/>
        <v>2.1288165030186431E-2</v>
      </c>
      <c r="S45" s="360">
        <f t="shared" ca="1" si="21"/>
        <v>0.45252374250826477</v>
      </c>
      <c r="T45" s="357">
        <f t="shared" ca="1" si="1"/>
        <v>4.4392579140060775</v>
      </c>
      <c r="U45" s="364">
        <f t="shared" ca="1" si="2"/>
        <v>0</v>
      </c>
      <c r="V45" s="359">
        <f t="shared" ca="1" si="3"/>
        <v>1.2243158306350286</v>
      </c>
      <c r="W45" s="357">
        <f t="shared" ca="1" si="4"/>
        <v>0.84888663503782102</v>
      </c>
      <c r="X45" s="343"/>
      <c r="Y45" s="367" t="str">
        <f t="shared" ca="1" si="22"/>
        <v/>
      </c>
      <c r="Z45" s="368" t="str">
        <f t="shared" ca="1" si="23"/>
        <v/>
      </c>
      <c r="AA45" s="369" t="str">
        <f t="shared" ca="1" si="24"/>
        <v/>
      </c>
      <c r="AB45" s="344"/>
      <c r="AC45" s="363" t="e">
        <f t="shared" ca="1" si="25"/>
        <v>#N/A</v>
      </c>
      <c r="AD45" s="376" t="e">
        <f t="shared" ca="1" si="26"/>
        <v>#N/A</v>
      </c>
      <c r="AE45" s="377">
        <f t="shared" ca="1" si="5"/>
        <v>5.5866161187868544</v>
      </c>
      <c r="AF45" s="344"/>
      <c r="AG45" s="359">
        <f t="shared" ca="1" si="27"/>
        <v>70.293815393820012</v>
      </c>
      <c r="AH45" s="357">
        <f t="shared" ca="1" si="28"/>
        <v>79.939026612385732</v>
      </c>
    </row>
    <row r="46" spans="1:34">
      <c r="A46" s="402">
        <f t="shared" ca="1" si="6"/>
        <v>0.01</v>
      </c>
      <c r="B46" s="357">
        <f t="shared" ca="1" si="7"/>
        <v>0.42000000000000021</v>
      </c>
      <c r="C46" s="342"/>
      <c r="D46" s="359">
        <f t="shared" ca="1" si="8"/>
        <v>14.592901501632189</v>
      </c>
      <c r="E46" s="360">
        <f t="shared" ca="1" si="9"/>
        <v>68.520177200784588</v>
      </c>
      <c r="F46" s="357">
        <f t="shared" ca="1" si="10"/>
        <v>70.056887297847155</v>
      </c>
      <c r="G46" s="359">
        <f t="shared" ca="1" si="11"/>
        <v>5.2824900966636568</v>
      </c>
      <c r="H46" s="360">
        <f t="shared" ca="1" si="12"/>
        <v>28.256671344600239</v>
      </c>
      <c r="I46" s="357">
        <f t="shared" ca="1" si="13"/>
        <v>28.746202829210365</v>
      </c>
      <c r="J46" s="359">
        <f t="shared" ca="1" si="14"/>
        <v>1.0538840740940199</v>
      </c>
      <c r="K46" s="360">
        <f t="shared" ca="1" si="15"/>
        <v>5.8657568233728172</v>
      </c>
      <c r="L46" s="357">
        <f t="shared" ca="1" si="0"/>
        <v>5.9596790813410223</v>
      </c>
      <c r="M46" s="359">
        <f t="shared" ca="1" si="16"/>
        <v>1.3859829856498933</v>
      </c>
      <c r="N46" s="357">
        <f t="shared" ca="1" si="17"/>
        <v>79.410975554679823</v>
      </c>
      <c r="O46" s="343"/>
      <c r="P46" s="363">
        <f t="shared" ca="1" si="18"/>
        <v>8</v>
      </c>
      <c r="Q46" s="357">
        <f t="shared" ca="1" si="19"/>
        <v>36.888113654946849</v>
      </c>
      <c r="R46" s="359">
        <f t="shared" ca="1" si="20"/>
        <v>2.1234582193309103E-2</v>
      </c>
      <c r="S46" s="360">
        <f t="shared" ca="1" si="21"/>
        <v>0.45231139668633169</v>
      </c>
      <c r="T46" s="357">
        <f t="shared" ca="1" si="1"/>
        <v>4.4371748014929144</v>
      </c>
      <c r="U46" s="364">
        <f t="shared" ca="1" si="2"/>
        <v>0</v>
      </c>
      <c r="V46" s="359">
        <f t="shared" ca="1" si="3"/>
        <v>1.2242816554708531</v>
      </c>
      <c r="W46" s="357">
        <f t="shared" ca="1" si="4"/>
        <v>0.89178683914770851</v>
      </c>
      <c r="X46" s="343"/>
      <c r="Y46" s="367" t="str">
        <f t="shared" ca="1" si="22"/>
        <v/>
      </c>
      <c r="Z46" s="368" t="str">
        <f t="shared" ca="1" si="23"/>
        <v/>
      </c>
      <c r="AA46" s="369" t="str">
        <f t="shared" ca="1" si="24"/>
        <v/>
      </c>
      <c r="AB46" s="344"/>
      <c r="AC46" s="363" t="e">
        <f t="shared" ca="1" si="25"/>
        <v>#N/A</v>
      </c>
      <c r="AD46" s="376" t="e">
        <f t="shared" ca="1" si="26"/>
        <v>#N/A</v>
      </c>
      <c r="AE46" s="377">
        <f t="shared" ca="1" si="5"/>
        <v>5.8657568233728172</v>
      </c>
      <c r="AF46" s="344"/>
      <c r="AG46" s="359">
        <f t="shared" ca="1" si="27"/>
        <v>70.033844455987932</v>
      </c>
      <c r="AH46" s="357">
        <f t="shared" ca="1" si="28"/>
        <v>79.677910580929847</v>
      </c>
    </row>
    <row r="47" spans="1:34">
      <c r="A47" s="402">
        <f t="shared" ca="1" si="6"/>
        <v>0.01</v>
      </c>
      <c r="B47" s="357">
        <f t="shared" ca="1" si="7"/>
        <v>0.43000000000000022</v>
      </c>
      <c r="C47" s="342"/>
      <c r="D47" s="359">
        <f t="shared" ca="1" si="8"/>
        <v>14.593443778829556</v>
      </c>
      <c r="E47" s="360">
        <f t="shared" ca="1" si="9"/>
        <v>68.252076236494901</v>
      </c>
      <c r="F47" s="357">
        <f t="shared" ca="1" si="10"/>
        <v>69.794802900489458</v>
      </c>
      <c r="G47" s="359">
        <f t="shared" ca="1" si="11"/>
        <v>5.4284245344519526</v>
      </c>
      <c r="H47" s="360">
        <f t="shared" ca="1" si="12"/>
        <v>28.939192106965187</v>
      </c>
      <c r="I47" s="357">
        <f t="shared" ca="1" si="13"/>
        <v>29.443923528125055</v>
      </c>
      <c r="J47" s="359">
        <f t="shared" ca="1" si="14"/>
        <v>1.1074386472495978</v>
      </c>
      <c r="K47" s="360">
        <f t="shared" ca="1" si="15"/>
        <v>6.1517361406306446</v>
      </c>
      <c r="L47" s="357">
        <f t="shared" ca="1" si="0"/>
        <v>6.2506222011383183</v>
      </c>
      <c r="M47" s="359">
        <f t="shared" ca="1" si="16"/>
        <v>1.3853707317511046</v>
      </c>
      <c r="N47" s="357">
        <f t="shared" ca="1" si="17"/>
        <v>79.375895990288811</v>
      </c>
      <c r="O47" s="343"/>
      <c r="P47" s="363">
        <f t="shared" ca="1" si="18"/>
        <v>8</v>
      </c>
      <c r="Q47" s="357">
        <f t="shared" ca="1" si="19"/>
        <v>36.795031071136549</v>
      </c>
      <c r="R47" s="359">
        <f t="shared" ca="1" si="20"/>
        <v>2.1180999356431772E-2</v>
      </c>
      <c r="S47" s="360">
        <f t="shared" ca="1" si="21"/>
        <v>0.4520995866927674</v>
      </c>
      <c r="T47" s="357">
        <f t="shared" ca="1" si="1"/>
        <v>4.4350969454560483</v>
      </c>
      <c r="U47" s="364">
        <f t="shared" ca="1" si="2"/>
        <v>0</v>
      </c>
      <c r="V47" s="359">
        <f t="shared" ca="1" si="3"/>
        <v>1.2242466440451258</v>
      </c>
      <c r="W47" s="357">
        <f t="shared" ca="1" si="4"/>
        <v>0.93557590839920135</v>
      </c>
      <c r="X47" s="343"/>
      <c r="Y47" s="367" t="str">
        <f t="shared" ca="1" si="22"/>
        <v/>
      </c>
      <c r="Z47" s="368" t="str">
        <f t="shared" ca="1" si="23"/>
        <v/>
      </c>
      <c r="AA47" s="369" t="str">
        <f t="shared" ca="1" si="24"/>
        <v/>
      </c>
      <c r="AB47" s="344"/>
      <c r="AC47" s="363" t="e">
        <f t="shared" ca="1" si="25"/>
        <v>#N/A</v>
      </c>
      <c r="AD47" s="376" t="e">
        <f t="shared" ca="1" si="26"/>
        <v>#N/A</v>
      </c>
      <c r="AE47" s="377">
        <f t="shared" ca="1" si="5"/>
        <v>6.1517361406306446</v>
      </c>
      <c r="AF47" s="344"/>
      <c r="AG47" s="359">
        <f t="shared" ca="1" si="27"/>
        <v>69.771518031629213</v>
      </c>
      <c r="AH47" s="357">
        <f t="shared" ca="1" si="28"/>
        <v>79.414459311124205</v>
      </c>
    </row>
    <row r="48" spans="1:34">
      <c r="A48" s="402">
        <f t="shared" ca="1" si="6"/>
        <v>0.01</v>
      </c>
      <c r="B48" s="357">
        <f t="shared" ca="1" si="7"/>
        <v>0.44000000000000022</v>
      </c>
      <c r="C48" s="342"/>
      <c r="D48" s="359">
        <f t="shared" ca="1" si="8"/>
        <v>14.592238215362892</v>
      </c>
      <c r="E48" s="360">
        <f t="shared" ca="1" si="9"/>
        <v>67.981923292826863</v>
      </c>
      <c r="F48" s="357">
        <f t="shared" ca="1" si="10"/>
        <v>69.53039127407304</v>
      </c>
      <c r="G48" s="359">
        <f t="shared" ca="1" si="11"/>
        <v>5.5743469166055819</v>
      </c>
      <c r="H48" s="360">
        <f t="shared" ca="1" si="12"/>
        <v>29.619011339893454</v>
      </c>
      <c r="I48" s="357">
        <f t="shared" ca="1" si="13"/>
        <v>30.138997599445926</v>
      </c>
      <c r="J48" s="359">
        <f t="shared" ca="1" si="14"/>
        <v>1.1624525045048855</v>
      </c>
      <c r="K48" s="360">
        <f t="shared" ca="1" si="15"/>
        <v>6.4445271578649379</v>
      </c>
      <c r="L48" s="357">
        <f t="shared" ca="1" si="0"/>
        <v>6.5485285456878337</v>
      </c>
      <c r="M48" s="359">
        <f t="shared" ca="1" si="16"/>
        <v>1.384770639038108</v>
      </c>
      <c r="N48" s="357">
        <f t="shared" ca="1" si="17"/>
        <v>79.341513210517547</v>
      </c>
      <c r="O48" s="343"/>
      <c r="P48" s="363">
        <f t="shared" ca="1" si="18"/>
        <v>8</v>
      </c>
      <c r="Q48" s="357">
        <f t="shared" ca="1" si="19"/>
        <v>36.701948487326241</v>
      </c>
      <c r="R48" s="359">
        <f t="shared" ca="1" si="20"/>
        <v>2.1127416519554437E-2</v>
      </c>
      <c r="S48" s="360">
        <f t="shared" ca="1" si="21"/>
        <v>0.45188831252757183</v>
      </c>
      <c r="T48" s="357">
        <f t="shared" ca="1" si="1"/>
        <v>4.4330243458954799</v>
      </c>
      <c r="U48" s="364">
        <f t="shared" ca="1" si="2"/>
        <v>0</v>
      </c>
      <c r="V48" s="359">
        <f t="shared" ca="1" si="3"/>
        <v>1.2242107997242919</v>
      </c>
      <c r="W48" s="357">
        <f t="shared" ca="1" si="4"/>
        <v>0.98024031440546766</v>
      </c>
      <c r="X48" s="343"/>
      <c r="Y48" s="367" t="str">
        <f t="shared" ca="1" si="22"/>
        <v/>
      </c>
      <c r="Z48" s="368" t="str">
        <f t="shared" ca="1" si="23"/>
        <v/>
      </c>
      <c r="AA48" s="369" t="str">
        <f t="shared" ca="1" si="24"/>
        <v/>
      </c>
      <c r="AB48" s="344"/>
      <c r="AC48" s="363" t="e">
        <f t="shared" ca="1" si="25"/>
        <v>#N/A</v>
      </c>
      <c r="AD48" s="376" t="e">
        <f t="shared" ca="1" si="26"/>
        <v>#N/A</v>
      </c>
      <c r="AE48" s="377">
        <f t="shared" ca="1" si="5"/>
        <v>6.4445271578649379</v>
      </c>
      <c r="AF48" s="344"/>
      <c r="AG48" s="359">
        <f t="shared" ca="1" si="27"/>
        <v>69.506864462477182</v>
      </c>
      <c r="AH48" s="357">
        <f t="shared" ca="1" si="28"/>
        <v>79.148700215044315</v>
      </c>
    </row>
    <row r="49" spans="1:34">
      <c r="A49" s="402">
        <f t="shared" ca="1" si="6"/>
        <v>0.01</v>
      </c>
      <c r="B49" s="357">
        <f t="shared" ca="1" si="7"/>
        <v>0.45000000000000023</v>
      </c>
      <c r="C49" s="342"/>
      <c r="D49" s="359">
        <f t="shared" ca="1" si="8"/>
        <v>14.589342850691585</v>
      </c>
      <c r="E49" s="360">
        <f t="shared" ca="1" si="9"/>
        <v>67.709737791877899</v>
      </c>
      <c r="F49" s="357">
        <f t="shared" ca="1" si="10"/>
        <v>69.263681079335385</v>
      </c>
      <c r="G49" s="359">
        <f t="shared" ca="1" si="11"/>
        <v>5.7202403451124981</v>
      </c>
      <c r="H49" s="360">
        <f t="shared" ca="1" si="12"/>
        <v>30.296108717812235</v>
      </c>
      <c r="I49" s="357">
        <f t="shared" ca="1" si="13"/>
        <v>30.831402061005129</v>
      </c>
      <c r="J49" s="359">
        <f t="shared" ca="1" si="14"/>
        <v>1.218925440813476</v>
      </c>
      <c r="K49" s="360">
        <f t="shared" ca="1" si="15"/>
        <v>6.744102758153466</v>
      </c>
      <c r="L49" s="357">
        <f t="shared" ca="1" si="0"/>
        <v>6.8533715237681019</v>
      </c>
      <c r="M49" s="359">
        <f t="shared" ca="1" si="16"/>
        <v>1.3841821465181738</v>
      </c>
      <c r="N49" s="357">
        <f t="shared" ca="1" si="17"/>
        <v>79.307795072850297</v>
      </c>
      <c r="O49" s="343"/>
      <c r="P49" s="363">
        <f t="shared" ca="1" si="18"/>
        <v>8</v>
      </c>
      <c r="Q49" s="357">
        <f t="shared" ca="1" si="19"/>
        <v>36.608865903515941</v>
      </c>
      <c r="R49" s="359">
        <f t="shared" ca="1" si="20"/>
        <v>2.1073833682677109E-2</v>
      </c>
      <c r="S49" s="360">
        <f t="shared" ca="1" si="21"/>
        <v>0.45167757419074506</v>
      </c>
      <c r="T49" s="357">
        <f t="shared" ca="1" si="1"/>
        <v>4.4309570028112093</v>
      </c>
      <c r="U49" s="364">
        <f t="shared" ca="1" si="2"/>
        <v>0</v>
      </c>
      <c r="V49" s="359">
        <f t="shared" ca="1" si="3"/>
        <v>1.2241741259011159</v>
      </c>
      <c r="W49" s="357">
        <f t="shared" ca="1" si="4"/>
        <v>1.0257664516859943</v>
      </c>
      <c r="X49" s="343"/>
      <c r="Y49" s="367" t="str">
        <f t="shared" ca="1" si="22"/>
        <v/>
      </c>
      <c r="Z49" s="368" t="str">
        <f t="shared" ca="1" si="23"/>
        <v/>
      </c>
      <c r="AA49" s="369" t="str">
        <f t="shared" ca="1" si="24"/>
        <v/>
      </c>
      <c r="AB49" s="344"/>
      <c r="AC49" s="363" t="e">
        <f t="shared" ca="1" si="25"/>
        <v>#N/A</v>
      </c>
      <c r="AD49" s="376" t="e">
        <f t="shared" ca="1" si="26"/>
        <v>#N/A</v>
      </c>
      <c r="AE49" s="377">
        <f t="shared" ca="1" si="5"/>
        <v>6.744102758153466</v>
      </c>
      <c r="AF49" s="344"/>
      <c r="AG49" s="359">
        <f t="shared" ca="1" si="27"/>
        <v>69.239912274065219</v>
      </c>
      <c r="AH49" s="357">
        <f t="shared" ca="1" si="28"/>
        <v>78.880660951443147</v>
      </c>
    </row>
    <row r="50" spans="1:34">
      <c r="A50" s="402">
        <f t="shared" ca="1" si="6"/>
        <v>0.01</v>
      </c>
      <c r="B50" s="357">
        <f t="shared" ca="1" si="7"/>
        <v>0.46000000000000024</v>
      </c>
      <c r="C50" s="342"/>
      <c r="D50" s="359">
        <f t="shared" ca="1" si="8"/>
        <v>14.584812127520035</v>
      </c>
      <c r="E50" s="360">
        <f t="shared" ca="1" si="9"/>
        <v>67.435539904936178</v>
      </c>
      <c r="F50" s="357">
        <f t="shared" ca="1" si="10"/>
        <v>68.994701152083366</v>
      </c>
      <c r="G50" s="359">
        <f t="shared" ca="1" si="11"/>
        <v>5.8660884663876987</v>
      </c>
      <c r="H50" s="360">
        <f t="shared" ca="1" si="12"/>
        <v>30.970464116861596</v>
      </c>
      <c r="I50" s="357">
        <f t="shared" ca="1" si="13"/>
        <v>31.52111421744635</v>
      </c>
      <c r="J50" s="359">
        <f t="shared" ca="1" si="14"/>
        <v>1.276857084870977</v>
      </c>
      <c r="K50" s="360">
        <f t="shared" ca="1" si="15"/>
        <v>7.0504356223268356</v>
      </c>
      <c r="L50" s="357">
        <f t="shared" ca="1" si="0"/>
        <v>7.1651243171183285</v>
      </c>
      <c r="M50" s="359">
        <f t="shared" ca="1" si="16"/>
        <v>1.3836047309715587</v>
      </c>
      <c r="N50" s="357">
        <f t="shared" ca="1" si="17"/>
        <v>79.274711599004007</v>
      </c>
      <c r="O50" s="343"/>
      <c r="P50" s="363">
        <f t="shared" ca="1" si="18"/>
        <v>8</v>
      </c>
      <c r="Q50" s="357">
        <f t="shared" ca="1" si="19"/>
        <v>36.515783319705641</v>
      </c>
      <c r="R50" s="359">
        <f t="shared" ca="1" si="20"/>
        <v>2.1020250845799778E-2</v>
      </c>
      <c r="S50" s="360">
        <f t="shared" ca="1" si="21"/>
        <v>0.45146737168228707</v>
      </c>
      <c r="T50" s="357">
        <f t="shared" ca="1" si="1"/>
        <v>4.4288949162032365</v>
      </c>
      <c r="U50" s="364">
        <f t="shared" ca="1" si="2"/>
        <v>0</v>
      </c>
      <c r="V50" s="359">
        <f t="shared" ca="1" si="3"/>
        <v>1.2241366259944071</v>
      </c>
      <c r="W50" s="357">
        <f t="shared" ca="1" si="4"/>
        <v>1.072140641378492</v>
      </c>
      <c r="X50" s="343"/>
      <c r="Y50" s="367" t="str">
        <f t="shared" ca="1" si="22"/>
        <v/>
      </c>
      <c r="Z50" s="368" t="str">
        <f t="shared" ca="1" si="23"/>
        <v/>
      </c>
      <c r="AA50" s="369" t="str">
        <f t="shared" ca="1" si="24"/>
        <v/>
      </c>
      <c r="AB50" s="344"/>
      <c r="AC50" s="363" t="e">
        <f t="shared" ca="1" si="25"/>
        <v>#N/A</v>
      </c>
      <c r="AD50" s="376" t="e">
        <f t="shared" ca="1" si="26"/>
        <v>#N/A</v>
      </c>
      <c r="AE50" s="377">
        <f t="shared" ca="1" si="5"/>
        <v>7.0504356223268356</v>
      </c>
      <c r="AF50" s="344"/>
      <c r="AG50" s="359">
        <f t="shared" ca="1" si="27"/>
        <v>68.970690173430071</v>
      </c>
      <c r="AH50" s="357">
        <f t="shared" ca="1" si="28"/>
        <v>78.610369417781925</v>
      </c>
    </row>
    <row r="51" spans="1:34">
      <c r="A51" s="402">
        <f t="shared" ca="1" si="6"/>
        <v>0.01</v>
      </c>
      <c r="B51" s="357">
        <f t="shared" ca="1" si="7"/>
        <v>0.47000000000000025</v>
      </c>
      <c r="C51" s="342"/>
      <c r="D51" s="359">
        <f t="shared" ca="1" si="8"/>
        <v>14.578697223352615</v>
      </c>
      <c r="E51" s="360">
        <f t="shared" ca="1" si="9"/>
        <v>67.159350498811762</v>
      </c>
      <c r="F51" s="357">
        <f t="shared" ca="1" si="10"/>
        <v>68.723480500862564</v>
      </c>
      <c r="G51" s="359">
        <f t="shared" ca="1" si="11"/>
        <v>6.0118754386212245</v>
      </c>
      <c r="H51" s="360">
        <f t="shared" ca="1" si="12"/>
        <v>31.642057621849712</v>
      </c>
      <c r="I51" s="357">
        <f t="shared" ca="1" si="13"/>
        <v>32.208111662032508</v>
      </c>
      <c r="J51" s="359">
        <f t="shared" ca="1" si="14"/>
        <v>1.3362469043960217</v>
      </c>
      <c r="K51" s="360">
        <f t="shared" ca="1" si="15"/>
        <v>7.363498231020392</v>
      </c>
      <c r="L51" s="357">
        <f t="shared" ca="1" si="0"/>
        <v>7.4837598830900767</v>
      </c>
      <c r="M51" s="359">
        <f t="shared" ca="1" si="16"/>
        <v>1.3830379035982887</v>
      </c>
      <c r="N51" s="357">
        <f t="shared" ca="1" si="17"/>
        <v>79.242234782803152</v>
      </c>
      <c r="O51" s="343"/>
      <c r="P51" s="363">
        <f t="shared" ca="1" si="18"/>
        <v>8</v>
      </c>
      <c r="Q51" s="357">
        <f t="shared" ca="1" si="19"/>
        <v>36.422700735895333</v>
      </c>
      <c r="R51" s="359">
        <f t="shared" ca="1" si="20"/>
        <v>2.0966668008922447E-2</v>
      </c>
      <c r="S51" s="360">
        <f t="shared" ca="1" si="21"/>
        <v>0.45125770500219786</v>
      </c>
      <c r="T51" s="357">
        <f t="shared" ca="1" si="1"/>
        <v>4.4268380860715615</v>
      </c>
      <c r="U51" s="364">
        <f t="shared" ca="1" si="2"/>
        <v>0</v>
      </c>
      <c r="V51" s="359">
        <f t="shared" ca="1" si="3"/>
        <v>1.2240983034487478</v>
      </c>
      <c r="W51" s="357">
        <f t="shared" ca="1" si="4"/>
        <v>1.1193491349511189</v>
      </c>
      <c r="X51" s="343"/>
      <c r="Y51" s="367" t="str">
        <f t="shared" ca="1" si="22"/>
        <v/>
      </c>
      <c r="Z51" s="368" t="str">
        <f t="shared" ca="1" si="23"/>
        <v/>
      </c>
      <c r="AA51" s="369" t="str">
        <f t="shared" ca="1" si="24"/>
        <v/>
      </c>
      <c r="AB51" s="344"/>
      <c r="AC51" s="363" t="e">
        <f t="shared" ca="1" si="25"/>
        <v>#N/A</v>
      </c>
      <c r="AD51" s="376" t="e">
        <f t="shared" ca="1" si="26"/>
        <v>#N/A</v>
      </c>
      <c r="AE51" s="377">
        <f t="shared" ca="1" si="5"/>
        <v>7.363498231020392</v>
      </c>
      <c r="AF51" s="344"/>
      <c r="AG51" s="359">
        <f t="shared" ca="1" si="27"/>
        <v>68.699227046152345</v>
      </c>
      <c r="AH51" s="357">
        <f t="shared" ca="1" si="28"/>
        <v>78.337853742230664</v>
      </c>
    </row>
    <row r="52" spans="1:34">
      <c r="A52" s="402">
        <f t="shared" ca="1" si="6"/>
        <v>0.01</v>
      </c>
      <c r="B52" s="357">
        <f t="shared" ca="1" si="7"/>
        <v>0.48000000000000026</v>
      </c>
      <c r="C52" s="342"/>
      <c r="D52" s="359">
        <f t="shared" ca="1" si="8"/>
        <v>14.571046344879296</v>
      </c>
      <c r="E52" s="360">
        <f t="shared" ca="1" si="9"/>
        <v>66.881191087128201</v>
      </c>
      <c r="F52" s="357">
        <f t="shared" ca="1" si="10"/>
        <v>68.450048303982783</v>
      </c>
      <c r="G52" s="359">
        <f t="shared" ca="1" si="11"/>
        <v>6.1575859020700179</v>
      </c>
      <c r="H52" s="360">
        <f t="shared" ca="1" si="12"/>
        <v>32.310869532720993</v>
      </c>
      <c r="I52" s="357">
        <f t="shared" ca="1" si="13"/>
        <v>32.892372278415692</v>
      </c>
      <c r="J52" s="359">
        <f t="shared" ca="1" si="14"/>
        <v>1.397094211099478</v>
      </c>
      <c r="K52" s="360">
        <f t="shared" ca="1" si="15"/>
        <v>7.6832628667932452</v>
      </c>
      <c r="L52" s="357">
        <f t="shared" ca="1" si="0"/>
        <v>7.8092509573538251</v>
      </c>
      <c r="M52" s="359">
        <f t="shared" ca="1" si="16"/>
        <v>1.3824812070309713</v>
      </c>
      <c r="N52" s="357">
        <f t="shared" ca="1" si="17"/>
        <v>79.210338419026442</v>
      </c>
      <c r="O52" s="343"/>
      <c r="P52" s="363">
        <f t="shared" ca="1" si="18"/>
        <v>8</v>
      </c>
      <c r="Q52" s="357">
        <f t="shared" ca="1" si="19"/>
        <v>36.329618152085033</v>
      </c>
      <c r="R52" s="359">
        <f t="shared" ca="1" si="20"/>
        <v>2.0913085172045116E-2</v>
      </c>
      <c r="S52" s="360">
        <f t="shared" ca="1" si="21"/>
        <v>0.45104857415047739</v>
      </c>
      <c r="T52" s="357">
        <f t="shared" ca="1" si="1"/>
        <v>4.4247865124161834</v>
      </c>
      <c r="U52" s="364">
        <f t="shared" ca="1" si="2"/>
        <v>0</v>
      </c>
      <c r="V52" s="359">
        <f t="shared" ca="1" si="3"/>
        <v>1.2240591617342034</v>
      </c>
      <c r="W52" s="357">
        <f t="shared" ca="1" si="4"/>
        <v>1.167378117913495</v>
      </c>
      <c r="X52" s="343"/>
      <c r="Y52" s="367" t="str">
        <f t="shared" ca="1" si="22"/>
        <v/>
      </c>
      <c r="Z52" s="368" t="str">
        <f t="shared" ca="1" si="23"/>
        <v/>
      </c>
      <c r="AA52" s="369" t="str">
        <f t="shared" ca="1" si="24"/>
        <v/>
      </c>
      <c r="AB52" s="344"/>
      <c r="AC52" s="363" t="e">
        <f t="shared" ca="1" si="25"/>
        <v>#N/A</v>
      </c>
      <c r="AD52" s="376" t="e">
        <f t="shared" ca="1" si="26"/>
        <v>#N/A</v>
      </c>
      <c r="AE52" s="377">
        <f t="shared" ca="1" si="5"/>
        <v>7.6832628667932452</v>
      </c>
      <c r="AF52" s="344"/>
      <c r="AG52" s="359">
        <f t="shared" ca="1" si="27"/>
        <v>68.425551952820314</v>
      </c>
      <c r="AH52" s="357">
        <f t="shared" ca="1" si="28"/>
        <v>78.063142275641411</v>
      </c>
    </row>
    <row r="53" spans="1:34">
      <c r="A53" s="402">
        <f t="shared" ca="1" si="6"/>
        <v>0.01</v>
      </c>
      <c r="B53" s="357">
        <f t="shared" ca="1" si="7"/>
        <v>0.49000000000000027</v>
      </c>
      <c r="C53" s="342"/>
      <c r="D53" s="359">
        <f t="shared" ca="1" si="8"/>
        <v>14.561904990074469</v>
      </c>
      <c r="E53" s="360">
        <f t="shared" ca="1" si="9"/>
        <v>66.601083785936694</v>
      </c>
      <c r="F53" s="357">
        <f t="shared" ca="1" si="10"/>
        <v>68.17443390598352</v>
      </c>
      <c r="G53" s="359">
        <f t="shared" ca="1" si="11"/>
        <v>6.3032049519707627</v>
      </c>
      <c r="H53" s="360">
        <f t="shared" ca="1" si="12"/>
        <v>32.976880370580361</v>
      </c>
      <c r="I53" s="357">
        <f t="shared" ca="1" si="13"/>
        <v>33.57387424236466</v>
      </c>
      <c r="J53" s="359">
        <f t="shared" ca="1" si="14"/>
        <v>1.4593981653696819</v>
      </c>
      <c r="K53" s="360">
        <f t="shared" ca="1" si="15"/>
        <v>8.0097016163097514</v>
      </c>
      <c r="L53" s="357">
        <f t="shared" ca="1" si="0"/>
        <v>8.1415700566536575</v>
      </c>
      <c r="M53" s="359">
        <f t="shared" ca="1" si="16"/>
        <v>1.3819342126665417</v>
      </c>
      <c r="N53" s="357">
        <f t="shared" ca="1" si="17"/>
        <v>79.17899795052719</v>
      </c>
      <c r="O53" s="343"/>
      <c r="P53" s="363">
        <f t="shared" ca="1" si="18"/>
        <v>8</v>
      </c>
      <c r="Q53" s="357">
        <f t="shared" ca="1" si="19"/>
        <v>36.236535568274732</v>
      </c>
      <c r="R53" s="359">
        <f t="shared" ca="1" si="20"/>
        <v>2.0859502335167788E-2</v>
      </c>
      <c r="S53" s="360">
        <f t="shared" ca="1" si="21"/>
        <v>0.4508399791271257</v>
      </c>
      <c r="T53" s="357">
        <f t="shared" ca="1" si="1"/>
        <v>4.422740195237103</v>
      </c>
      <c r="U53" s="364">
        <f t="shared" ca="1" si="2"/>
        <v>0</v>
      </c>
      <c r="V53" s="359">
        <f t="shared" ca="1" si="3"/>
        <v>1.224019204346029</v>
      </c>
      <c r="W53" s="357">
        <f t="shared" ca="1" si="4"/>
        <v>1.2162137135250031</v>
      </c>
      <c r="X53" s="343"/>
      <c r="Y53" s="367" t="str">
        <f t="shared" ca="1" si="22"/>
        <v/>
      </c>
      <c r="Z53" s="368" t="str">
        <f t="shared" ca="1" si="23"/>
        <v/>
      </c>
      <c r="AA53" s="369" t="str">
        <f t="shared" ca="1" si="24"/>
        <v/>
      </c>
      <c r="AB53" s="344"/>
      <c r="AC53" s="363" t="e">
        <f t="shared" ca="1" si="25"/>
        <v>#N/A</v>
      </c>
      <c r="AD53" s="376" t="e">
        <f t="shared" ca="1" si="26"/>
        <v>#N/A</v>
      </c>
      <c r="AE53" s="377">
        <f t="shared" ca="1" si="5"/>
        <v>8.0097016163097514</v>
      </c>
      <c r="AF53" s="344"/>
      <c r="AG53" s="359">
        <f t="shared" ca="1" si="27"/>
        <v>68.149694124991697</v>
      </c>
      <c r="AH53" s="357">
        <f t="shared" ca="1" si="28"/>
        <v>77.786263583497785</v>
      </c>
    </row>
    <row r="54" spans="1:34">
      <c r="A54" s="402">
        <f t="shared" ca="1" si="6"/>
        <v>0.01</v>
      </c>
      <c r="B54" s="357">
        <f t="shared" ca="1" si="7"/>
        <v>0.50000000000000022</v>
      </c>
      <c r="C54" s="342"/>
      <c r="D54" s="359">
        <f t="shared" ca="1" si="8"/>
        <v>14.551316182157374</v>
      </c>
      <c r="E54" s="360">
        <f t="shared" ca="1" si="9"/>
        <v>66.319051273108499</v>
      </c>
      <c r="F54" s="357">
        <f t="shared" ca="1" si="10"/>
        <v>67.896666813609556</v>
      </c>
      <c r="G54" s="359">
        <f t="shared" ca="1" si="11"/>
        <v>6.4487181137923368</v>
      </c>
      <c r="H54" s="360">
        <f t="shared" ca="1" si="12"/>
        <v>33.640070883311445</v>
      </c>
      <c r="I54" s="357">
        <f t="shared" ca="1" si="13"/>
        <v>34.252596023445754</v>
      </c>
      <c r="J54" s="359">
        <f t="shared" ca="1" si="14"/>
        <v>1.5231577806984975</v>
      </c>
      <c r="K54" s="360">
        <f t="shared" ca="1" si="15"/>
        <v>8.3427863725792104</v>
      </c>
      <c r="L54" s="357">
        <f t="shared" ca="1" si="0"/>
        <v>8.4806894816044149</v>
      </c>
      <c r="M54" s="359">
        <f t="shared" ca="1" si="16"/>
        <v>1.3813965182767927</v>
      </c>
      <c r="N54" s="357">
        <f t="shared" ca="1" si="17"/>
        <v>79.148190331326703</v>
      </c>
      <c r="O54" s="343"/>
      <c r="P54" s="363">
        <f t="shared" ca="1" si="18"/>
        <v>8</v>
      </c>
      <c r="Q54" s="357">
        <f t="shared" ca="1" si="19"/>
        <v>36.143452984464432</v>
      </c>
      <c r="R54" s="359">
        <f t="shared" ca="1" si="20"/>
        <v>2.0805919498290457E-2</v>
      </c>
      <c r="S54" s="360">
        <f t="shared" ca="1" si="21"/>
        <v>0.4506319199321428</v>
      </c>
      <c r="T54" s="357">
        <f t="shared" ca="1" si="1"/>
        <v>4.4206991345343214</v>
      </c>
      <c r="U54" s="364">
        <f t="shared" ca="1" si="2"/>
        <v>0</v>
      </c>
      <c r="V54" s="359">
        <f t="shared" ca="1" si="3"/>
        <v>1.223978434804369</v>
      </c>
      <c r="W54" s="357">
        <f t="shared" ca="1" si="4"/>
        <v>1.2658419864988582</v>
      </c>
      <c r="X54" s="343"/>
      <c r="Y54" s="367" t="str">
        <f t="shared" ca="1" si="22"/>
        <v/>
      </c>
      <c r="Z54" s="368" t="str">
        <f t="shared" ca="1" si="23"/>
        <v/>
      </c>
      <c r="AA54" s="369" t="str">
        <f t="shared" ca="1" si="24"/>
        <v/>
      </c>
      <c r="AB54" s="344"/>
      <c r="AC54" s="363" t="e">
        <f t="shared" ca="1" si="25"/>
        <v>#N/A</v>
      </c>
      <c r="AD54" s="376" t="e">
        <f t="shared" ca="1" si="26"/>
        <v>#N/A</v>
      </c>
      <c r="AE54" s="377">
        <f t="shared" ca="1" si="5"/>
        <v>8.3427863725792104</v>
      </c>
      <c r="AF54" s="344"/>
      <c r="AG54" s="359">
        <f t="shared" ca="1" si="27"/>
        <v>67.871682960716839</v>
      </c>
      <c r="AH54" s="357">
        <f t="shared" ca="1" si="28"/>
        <v>77.507246437844117</v>
      </c>
    </row>
    <row r="55" spans="1:34">
      <c r="A55" s="402">
        <f t="shared" ca="1" si="6"/>
        <v>0.01</v>
      </c>
      <c r="B55" s="357">
        <f t="shared" ca="1" si="7"/>
        <v>0.51000000000000023</v>
      </c>
      <c r="C55" s="342"/>
      <c r="D55" s="359">
        <f t="shared" ca="1" si="8"/>
        <v>14.539320678951965</v>
      </c>
      <c r="E55" s="360">
        <f t="shared" ca="1" si="9"/>
        <v>66.035116751042153</v>
      </c>
      <c r="F55" s="357">
        <f t="shared" ca="1" si="10"/>
        <v>67.616776691359433</v>
      </c>
      <c r="G55" s="359">
        <f t="shared" ca="1" si="11"/>
        <v>6.5941113205818569</v>
      </c>
      <c r="H55" s="360">
        <f t="shared" ca="1" si="12"/>
        <v>34.300422050821865</v>
      </c>
      <c r="I55" s="357">
        <f t="shared" ca="1" si="13"/>
        <v>34.928516386653655</v>
      </c>
      <c r="J55" s="359">
        <f t="shared" ca="1" si="14"/>
        <v>1.5883719278703685</v>
      </c>
      <c r="K55" s="360">
        <f t="shared" ca="1" si="15"/>
        <v>8.6824888372498776</v>
      </c>
      <c r="L55" s="357">
        <f t="shared" ca="1" si="0"/>
        <v>8.8265813195265679</v>
      </c>
      <c r="M55" s="359">
        <f t="shared" ca="1" si="16"/>
        <v>1.3808677458633218</v>
      </c>
      <c r="N55" s="357">
        <f t="shared" ca="1" si="17"/>
        <v>79.117893903711888</v>
      </c>
      <c r="O55" s="343"/>
      <c r="P55" s="363">
        <f t="shared" ca="1" si="18"/>
        <v>8</v>
      </c>
      <c r="Q55" s="357">
        <f t="shared" ca="1" si="19"/>
        <v>36.050370400654124</v>
      </c>
      <c r="R55" s="359">
        <f t="shared" ca="1" si="20"/>
        <v>2.0752336661413125E-2</v>
      </c>
      <c r="S55" s="360">
        <f t="shared" ca="1" si="21"/>
        <v>0.45042439656552868</v>
      </c>
      <c r="T55" s="357">
        <f t="shared" ca="1" si="1"/>
        <v>4.4186633303078366</v>
      </c>
      <c r="U55" s="364">
        <f t="shared" ca="1" si="2"/>
        <v>0</v>
      </c>
      <c r="V55" s="359">
        <f t="shared" ca="1" si="3"/>
        <v>1.2239368566539488</v>
      </c>
      <c r="W55" s="357">
        <f t="shared" ca="1" si="4"/>
        <v>1.3162489467004275</v>
      </c>
      <c r="X55" s="343"/>
      <c r="Y55" s="367" t="str">
        <f t="shared" ca="1" si="22"/>
        <v/>
      </c>
      <c r="Z55" s="368" t="str">
        <f t="shared" ca="1" si="23"/>
        <v/>
      </c>
      <c r="AA55" s="369" t="str">
        <f t="shared" ca="1" si="24"/>
        <v/>
      </c>
      <c r="AB55" s="344"/>
      <c r="AC55" s="363" t="e">
        <f t="shared" ca="1" si="25"/>
        <v>#N/A</v>
      </c>
      <c r="AD55" s="376" t="e">
        <f t="shared" ca="1" si="26"/>
        <v>#N/A</v>
      </c>
      <c r="AE55" s="377">
        <f t="shared" ca="1" si="5"/>
        <v>8.6824888372498776</v>
      </c>
      <c r="AF55" s="344"/>
      <c r="AG55" s="359">
        <f t="shared" ca="1" si="27"/>
        <v>67.591548019678953</v>
      </c>
      <c r="AH55" s="357">
        <f t="shared" ca="1" si="28"/>
        <v>77.226119809198082</v>
      </c>
    </row>
    <row r="56" spans="1:34">
      <c r="A56" s="402">
        <f t="shared" ca="1" si="6"/>
        <v>0.01</v>
      </c>
      <c r="B56" s="357">
        <f t="shared" ca="1" si="7"/>
        <v>0.52000000000000024</v>
      </c>
      <c r="C56" s="342"/>
      <c r="D56" s="359">
        <f t="shared" ca="1" si="8"/>
        <v>14.525957160674512</v>
      </c>
      <c r="E56" s="360">
        <f t="shared" ca="1" si="9"/>
        <v>65.749303912286535</v>
      </c>
      <c r="F56" s="357">
        <f t="shared" ca="1" si="10"/>
        <v>67.334793356658992</v>
      </c>
      <c r="G56" s="359">
        <f t="shared" ca="1" si="11"/>
        <v>6.7393708921886022</v>
      </c>
      <c r="H56" s="360">
        <f t="shared" ca="1" si="12"/>
        <v>34.957915089944727</v>
      </c>
      <c r="I56" s="357">
        <f t="shared" ca="1" si="13"/>
        <v>35.601614393988712</v>
      </c>
      <c r="J56" s="359">
        <f t="shared" ca="1" si="14"/>
        <v>1.6550393389342208</v>
      </c>
      <c r="K56" s="360">
        <f t="shared" ca="1" si="15"/>
        <v>9.0287805229537099</v>
      </c>
      <c r="L56" s="357">
        <f t="shared" ca="1" si="0"/>
        <v>9.1792174473147821</v>
      </c>
      <c r="M56" s="359">
        <f t="shared" ca="1" si="16"/>
        <v>1.3803475397273921</v>
      </c>
      <c r="N56" s="357">
        <f t="shared" ca="1" si="17"/>
        <v>79.088088287646301</v>
      </c>
      <c r="O56" s="343"/>
      <c r="P56" s="363">
        <f t="shared" ca="1" si="18"/>
        <v>8</v>
      </c>
      <c r="Q56" s="357">
        <f t="shared" ca="1" si="19"/>
        <v>35.957287816843824</v>
      </c>
      <c r="R56" s="359">
        <f t="shared" ca="1" si="20"/>
        <v>2.0698753824535794E-2</v>
      </c>
      <c r="S56" s="360">
        <f t="shared" ca="1" si="21"/>
        <v>0.4502174090272833</v>
      </c>
      <c r="T56" s="357">
        <f t="shared" ca="1" si="1"/>
        <v>4.4166327825576497</v>
      </c>
      <c r="U56" s="364">
        <f t="shared" ca="1" si="2"/>
        <v>0</v>
      </c>
      <c r="V56" s="359">
        <f t="shared" ca="1" si="3"/>
        <v>1.2238944734637613</v>
      </c>
      <c r="W56" s="357">
        <f t="shared" ca="1" si="4"/>
        <v>1.3674205528382857</v>
      </c>
      <c r="X56" s="343"/>
      <c r="Y56" s="367" t="str">
        <f t="shared" ca="1" si="22"/>
        <v/>
      </c>
      <c r="Z56" s="368" t="str">
        <f t="shared" ca="1" si="23"/>
        <v/>
      </c>
      <c r="AA56" s="369" t="str">
        <f t="shared" ca="1" si="24"/>
        <v/>
      </c>
      <c r="AB56" s="344"/>
      <c r="AC56" s="363" t="e">
        <f t="shared" ca="1" si="25"/>
        <v>#N/A</v>
      </c>
      <c r="AD56" s="376" t="e">
        <f t="shared" ca="1" si="26"/>
        <v>#N/A</v>
      </c>
      <c r="AE56" s="377">
        <f t="shared" ca="1" si="5"/>
        <v>9.0287805229537099</v>
      </c>
      <c r="AF56" s="344"/>
      <c r="AG56" s="359">
        <f t="shared" ca="1" si="27"/>
        <v>67.309319017998888</v>
      </c>
      <c r="AH56" s="357">
        <f t="shared" ca="1" si="28"/>
        <v>76.942912858450001</v>
      </c>
    </row>
    <row r="57" spans="1:34">
      <c r="A57" s="402">
        <f t="shared" ca="1" si="6"/>
        <v>0.01</v>
      </c>
      <c r="B57" s="357">
        <f t="shared" ca="1" si="7"/>
        <v>0.53000000000000025</v>
      </c>
      <c r="C57" s="342"/>
      <c r="D57" s="359">
        <f t="shared" ca="1" si="8"/>
        <v>14.511262398749608</v>
      </c>
      <c r="E57" s="360">
        <f t="shared" ca="1" si="9"/>
        <v>65.46163690773767</v>
      </c>
      <c r="F57" s="357">
        <f t="shared" ca="1" si="10"/>
        <v>67.050746774706752</v>
      </c>
      <c r="G57" s="359">
        <f t="shared" ca="1" si="11"/>
        <v>6.8844835161760987</v>
      </c>
      <c r="H57" s="360">
        <f t="shared" ca="1" si="12"/>
        <v>35.612531459022101</v>
      </c>
      <c r="I57" s="357">
        <f t="shared" ca="1" si="13"/>
        <v>36.271869405978222</v>
      </c>
      <c r="J57" s="359">
        <f t="shared" ca="1" si="14"/>
        <v>1.7231586109760444</v>
      </c>
      <c r="K57" s="360">
        <f t="shared" ca="1" si="15"/>
        <v>9.3816327556985435</v>
      </c>
      <c r="L57" s="357">
        <f t="shared" ca="1" si="0"/>
        <v>9.5385695343367249</v>
      </c>
      <c r="M57" s="359">
        <f t="shared" ca="1" si="16"/>
        <v>1.3798355647292753</v>
      </c>
      <c r="N57" s="357">
        <f t="shared" ca="1" si="17"/>
        <v>79.058754281037992</v>
      </c>
      <c r="O57" s="343"/>
      <c r="P57" s="363">
        <f t="shared" ca="1" si="18"/>
        <v>8</v>
      </c>
      <c r="Q57" s="357">
        <f t="shared" ca="1" si="19"/>
        <v>35.864205233033523</v>
      </c>
      <c r="R57" s="359">
        <f t="shared" ca="1" si="20"/>
        <v>2.0645170987658466E-2</v>
      </c>
      <c r="S57" s="360">
        <f t="shared" ca="1" si="21"/>
        <v>0.4500109573174067</v>
      </c>
      <c r="T57" s="357">
        <f t="shared" ca="1" si="1"/>
        <v>4.4146074912837596</v>
      </c>
      <c r="U57" s="364">
        <f t="shared" ca="1" si="2"/>
        <v>0</v>
      </c>
      <c r="V57" s="359">
        <f t="shared" ca="1" si="3"/>
        <v>1.2238512888267454</v>
      </c>
      <c r="W57" s="357">
        <f t="shared" ca="1" si="4"/>
        <v>1.4193427161465009</v>
      </c>
      <c r="X57" s="343"/>
      <c r="Y57" s="367" t="str">
        <f t="shared" ca="1" si="22"/>
        <v/>
      </c>
      <c r="Z57" s="368" t="str">
        <f t="shared" ca="1" si="23"/>
        <v/>
      </c>
      <c r="AA57" s="369" t="str">
        <f t="shared" ca="1" si="24"/>
        <v/>
      </c>
      <c r="AB57" s="344"/>
      <c r="AC57" s="363" t="e">
        <f t="shared" ca="1" si="25"/>
        <v>#N/A</v>
      </c>
      <c r="AD57" s="376" t="e">
        <f t="shared" ca="1" si="26"/>
        <v>#N/A</v>
      </c>
      <c r="AE57" s="377">
        <f t="shared" ca="1" si="5"/>
        <v>9.3816327556985435</v>
      </c>
      <c r="AF57" s="344"/>
      <c r="AG57" s="359">
        <f t="shared" ca="1" si="27"/>
        <v>67.025025822745732</v>
      </c>
      <c r="AH57" s="357">
        <f t="shared" ca="1" si="28"/>
        <v>76.657654928752294</v>
      </c>
    </row>
    <row r="58" spans="1:34">
      <c r="A58" s="402">
        <f t="shared" ca="1" si="6"/>
        <v>0.01</v>
      </c>
      <c r="B58" s="357">
        <f t="shared" ca="1" si="7"/>
        <v>0.54000000000000026</v>
      </c>
      <c r="C58" s="342"/>
      <c r="D58" s="359">
        <f t="shared" ca="1" si="8"/>
        <v>14.495271407896416</v>
      </c>
      <c r="E58" s="360">
        <f t="shared" ca="1" si="9"/>
        <v>65.172140317114057</v>
      </c>
      <c r="F58" s="357">
        <f t="shared" ca="1" si="10"/>
        <v>66.764667053031744</v>
      </c>
      <c r="G58" s="359">
        <f t="shared" ca="1" si="11"/>
        <v>7.0294362302550626</v>
      </c>
      <c r="H58" s="360">
        <f t="shared" ca="1" si="12"/>
        <v>36.264252862193239</v>
      </c>
      <c r="I58" s="357">
        <f t="shared" ca="1" si="13"/>
        <v>36.939261083139073</v>
      </c>
      <c r="J58" s="359">
        <f t="shared" ca="1" si="14"/>
        <v>1.7927282097082002</v>
      </c>
      <c r="K58" s="360">
        <f t="shared" ca="1" si="15"/>
        <v>9.7410166773046196</v>
      </c>
      <c r="L58" s="357">
        <f t="shared" ca="1" si="0"/>
        <v>9.90460904535915</v>
      </c>
      <c r="M58" s="359">
        <f t="shared" ca="1" si="16"/>
        <v>1.379331504715112</v>
      </c>
      <c r="N58" s="357">
        <f t="shared" ca="1" si="17"/>
        <v>79.029873769605132</v>
      </c>
      <c r="O58" s="343"/>
      <c r="P58" s="363">
        <f t="shared" ca="1" si="18"/>
        <v>8</v>
      </c>
      <c r="Q58" s="357">
        <f t="shared" ca="1" si="19"/>
        <v>35.771122649223216</v>
      </c>
      <c r="R58" s="359">
        <f t="shared" ca="1" si="20"/>
        <v>2.0591588150781132E-2</v>
      </c>
      <c r="S58" s="360">
        <f t="shared" ca="1" si="21"/>
        <v>0.44980504143589889</v>
      </c>
      <c r="T58" s="357">
        <f t="shared" ca="1" si="1"/>
        <v>4.4125874564861682</v>
      </c>
      <c r="U58" s="364">
        <f t="shared" ca="1" si="2"/>
        <v>0</v>
      </c>
      <c r="V58" s="359">
        <f t="shared" ca="1" si="3"/>
        <v>1.2238073063594626</v>
      </c>
      <c r="W58" s="357">
        <f t="shared" ca="1" si="4"/>
        <v>1.4720013040566546</v>
      </c>
      <c r="X58" s="343"/>
      <c r="Y58" s="367" t="str">
        <f t="shared" ca="1" si="22"/>
        <v/>
      </c>
      <c r="Z58" s="368" t="str">
        <f t="shared" ca="1" si="23"/>
        <v/>
      </c>
      <c r="AA58" s="369" t="str">
        <f t="shared" ca="1" si="24"/>
        <v/>
      </c>
      <c r="AB58" s="344"/>
      <c r="AC58" s="363" t="e">
        <f t="shared" ca="1" si="25"/>
        <v>#N/A</v>
      </c>
      <c r="AD58" s="376" t="e">
        <f t="shared" ca="1" si="26"/>
        <v>#N/A</v>
      </c>
      <c r="AE58" s="377">
        <f t="shared" ca="1" si="5"/>
        <v>9.7410166773046196</v>
      </c>
      <c r="AF58" s="344"/>
      <c r="AG58" s="359">
        <f t="shared" ca="1" si="27"/>
        <v>66.738698446190639</v>
      </c>
      <c r="AH58" s="357">
        <f t="shared" ca="1" si="28"/>
        <v>76.370375537402992</v>
      </c>
    </row>
    <row r="59" spans="1:34">
      <c r="A59" s="402">
        <f t="shared" ca="1" si="6"/>
        <v>0.01</v>
      </c>
      <c r="B59" s="357">
        <f t="shared" ca="1" si="7"/>
        <v>0.55000000000000027</v>
      </c>
      <c r="C59" s="342"/>
      <c r="D59" s="359">
        <f t="shared" ca="1" si="8"/>
        <v>14.478017583422274</v>
      </c>
      <c r="E59" s="360">
        <f t="shared" ca="1" si="9"/>
        <v>64.880839121454585</v>
      </c>
      <c r="F59" s="357">
        <f t="shared" ca="1" si="10"/>
        <v>66.476584435799325</v>
      </c>
      <c r="G59" s="359">
        <f t="shared" ca="1" si="11"/>
        <v>7.1742164060892852</v>
      </c>
      <c r="H59" s="360">
        <f t="shared" ca="1" si="12"/>
        <v>36.913061253407783</v>
      </c>
      <c r="I59" s="357">
        <f t="shared" ca="1" si="13"/>
        <v>37.603769387379714</v>
      </c>
      <c r="J59" s="359">
        <f t="shared" ca="1" si="14"/>
        <v>1.863746472889922</v>
      </c>
      <c r="K59" s="360">
        <f t="shared" ca="1" si="15"/>
        <v>10.106903247882626</v>
      </c>
      <c r="L59" s="357">
        <f t="shared" ca="1" si="0"/>
        <v>10.277307243498658</v>
      </c>
      <c r="M59" s="359">
        <f t="shared" ca="1" si="16"/>
        <v>1.378835061092234</v>
      </c>
      <c r="N59" s="357">
        <f t="shared" ca="1" si="17"/>
        <v>79.001429645248038</v>
      </c>
      <c r="O59" s="343"/>
      <c r="P59" s="363">
        <f t="shared" ca="1" si="18"/>
        <v>8</v>
      </c>
      <c r="Q59" s="357">
        <f t="shared" ca="1" si="19"/>
        <v>35.678040065412915</v>
      </c>
      <c r="R59" s="359">
        <f t="shared" ca="1" si="20"/>
        <v>2.05380053139038E-2</v>
      </c>
      <c r="S59" s="360">
        <f t="shared" ca="1" si="21"/>
        <v>0.44959966138275986</v>
      </c>
      <c r="T59" s="357">
        <f t="shared" ca="1" si="1"/>
        <v>4.4105726781648746</v>
      </c>
      <c r="U59" s="364">
        <f t="shared" ca="1" si="2"/>
        <v>0</v>
      </c>
      <c r="V59" s="359">
        <f t="shared" ca="1" si="3"/>
        <v>1.2237625297017634</v>
      </c>
      <c r="W59" s="357">
        <f t="shared" ca="1" si="4"/>
        <v>1.525382143858099</v>
      </c>
      <c r="X59" s="343"/>
      <c r="Y59" s="367" t="str">
        <f t="shared" ca="1" si="22"/>
        <v/>
      </c>
      <c r="Z59" s="368" t="str">
        <f t="shared" ca="1" si="23"/>
        <v/>
      </c>
      <c r="AA59" s="369" t="str">
        <f t="shared" ca="1" si="24"/>
        <v/>
      </c>
      <c r="AB59" s="344"/>
      <c r="AC59" s="363" t="e">
        <f t="shared" ca="1" si="25"/>
        <v>#N/A</v>
      </c>
      <c r="AD59" s="376" t="e">
        <f t="shared" ca="1" si="26"/>
        <v>#N/A</v>
      </c>
      <c r="AE59" s="377">
        <f t="shared" ca="1" si="5"/>
        <v>10.106903247882626</v>
      </c>
      <c r="AF59" s="344"/>
      <c r="AG59" s="359">
        <f t="shared" ca="1" si="27"/>
        <v>66.450367039835072</v>
      </c>
      <c r="AH59" s="357">
        <f t="shared" ca="1" si="28"/>
        <v>76.081104367726525</v>
      </c>
    </row>
    <row r="60" spans="1:34">
      <c r="A60" s="402">
        <f t="shared" ca="1" si="6"/>
        <v>0.01</v>
      </c>
      <c r="B60" s="357">
        <f t="shared" ca="1" si="7"/>
        <v>0.56000000000000028</v>
      </c>
      <c r="C60" s="342"/>
      <c r="D60" s="359">
        <f t="shared" ca="1" si="8"/>
        <v>14.459532825404015</v>
      </c>
      <c r="E60" s="360">
        <f t="shared" ca="1" si="9"/>
        <v>64.587758677417298</v>
      </c>
      <c r="F60" s="357">
        <f t="shared" ca="1" si="10"/>
        <v>66.186529297895873</v>
      </c>
      <c r="G60" s="359">
        <f t="shared" ca="1" si="11"/>
        <v>7.318811734343325</v>
      </c>
      <c r="H60" s="360">
        <f t="shared" ca="1" si="12"/>
        <v>37.558938840181959</v>
      </c>
      <c r="I60" s="357">
        <f t="shared" ca="1" si="13"/>
        <v>38.265374583339579</v>
      </c>
      <c r="J60" s="359">
        <f t="shared" ca="1" si="14"/>
        <v>1.936211613592085</v>
      </c>
      <c r="K60" s="360">
        <f t="shared" ca="1" si="15"/>
        <v>10.479263248350573</v>
      </c>
      <c r="L60" s="357">
        <f t="shared" ca="1" si="0"/>
        <v>10.656635193194889</v>
      </c>
      <c r="M60" s="359">
        <f t="shared" ca="1" si="16"/>
        <v>1.3783459515363852</v>
      </c>
      <c r="N60" s="357">
        <f t="shared" ca="1" si="17"/>
        <v>78.973405731978374</v>
      </c>
      <c r="O60" s="343"/>
      <c r="P60" s="363">
        <f t="shared" ca="1" si="18"/>
        <v>8</v>
      </c>
      <c r="Q60" s="357">
        <f t="shared" ca="1" si="19"/>
        <v>35.584957481602615</v>
      </c>
      <c r="R60" s="359">
        <f t="shared" ca="1" si="20"/>
        <v>2.0484422477026473E-2</v>
      </c>
      <c r="S60" s="360">
        <f t="shared" ca="1" si="21"/>
        <v>0.44939481715798962</v>
      </c>
      <c r="T60" s="357">
        <f t="shared" ca="1" si="1"/>
        <v>4.4085631563198788</v>
      </c>
      <c r="U60" s="364">
        <f t="shared" ca="1" si="2"/>
        <v>0</v>
      </c>
      <c r="V60" s="359">
        <f t="shared" ca="1" si="3"/>
        <v>1.2237169625164546</v>
      </c>
      <c r="W60" s="357">
        <f t="shared" ca="1" si="4"/>
        <v>1.5794710263449865</v>
      </c>
      <c r="X60" s="343"/>
      <c r="Y60" s="367" t="str">
        <f t="shared" ca="1" si="22"/>
        <v/>
      </c>
      <c r="Z60" s="368" t="str">
        <f t="shared" ca="1" si="23"/>
        <v/>
      </c>
      <c r="AA60" s="369" t="str">
        <f t="shared" ca="1" si="24"/>
        <v/>
      </c>
      <c r="AB60" s="344"/>
      <c r="AC60" s="363" t="e">
        <f t="shared" ca="1" si="25"/>
        <v>#N/A</v>
      </c>
      <c r="AD60" s="376" t="e">
        <f t="shared" ca="1" si="26"/>
        <v>#N/A</v>
      </c>
      <c r="AE60" s="377">
        <f t="shared" ca="1" si="5"/>
        <v>10.479263248350573</v>
      </c>
      <c r="AF60" s="344"/>
      <c r="AG60" s="359">
        <f t="shared" ca="1" si="27"/>
        <v>66.160061888242083</v>
      </c>
      <c r="AH60" s="357">
        <f t="shared" ca="1" si="28"/>
        <v>75.789871260955167</v>
      </c>
    </row>
    <row r="61" spans="1:34">
      <c r="A61" s="402">
        <f t="shared" ca="1" si="6"/>
        <v>0.01</v>
      </c>
      <c r="B61" s="357">
        <f t="shared" ca="1" si="7"/>
        <v>0.57000000000000028</v>
      </c>
      <c r="C61" s="342"/>
      <c r="D61" s="359">
        <f t="shared" ca="1" si="8"/>
        <v>14.439847651218248</v>
      </c>
      <c r="E61" s="360">
        <f t="shared" ca="1" si="9"/>
        <v>64.292924693186279</v>
      </c>
      <c r="F61" s="357">
        <f t="shared" ca="1" si="10"/>
        <v>65.894532138821006</v>
      </c>
      <c r="G61" s="359">
        <f t="shared" ca="1" si="11"/>
        <v>7.4632102108555074</v>
      </c>
      <c r="H61" s="360">
        <f t="shared" ca="1" si="12"/>
        <v>38.201868087113823</v>
      </c>
      <c r="I61" s="357">
        <f t="shared" ca="1" si="13"/>
        <v>38.924057239664307</v>
      </c>
      <c r="J61" s="359">
        <f t="shared" ca="1" si="14"/>
        <v>2.010121723318079</v>
      </c>
      <c r="K61" s="360">
        <f t="shared" ca="1" si="15"/>
        <v>10.858067282987053</v>
      </c>
      <c r="L61" s="357">
        <f t="shared" ca="1" si="0"/>
        <v>11.042563763204136</v>
      </c>
      <c r="M61" s="359">
        <f t="shared" ca="1" si="16"/>
        <v>1.3778639088164029</v>
      </c>
      <c r="N61" s="357">
        <f t="shared" ca="1" si="17"/>
        <v>78.94578671857839</v>
      </c>
      <c r="O61" s="343"/>
      <c r="P61" s="363">
        <f t="shared" ca="1" si="18"/>
        <v>8</v>
      </c>
      <c r="Q61" s="357">
        <f t="shared" ca="1" si="19"/>
        <v>35.491874897792307</v>
      </c>
      <c r="R61" s="359">
        <f t="shared" ca="1" si="20"/>
        <v>2.0430839640149138E-2</v>
      </c>
      <c r="S61" s="360">
        <f t="shared" ca="1" si="21"/>
        <v>0.44919050876158811</v>
      </c>
      <c r="T61" s="357">
        <f t="shared" ca="1" si="1"/>
        <v>4.4065588909511799</v>
      </c>
      <c r="U61" s="364">
        <f t="shared" ca="1" si="2"/>
        <v>0</v>
      </c>
      <c r="V61" s="359">
        <f t="shared" ca="1" si="3"/>
        <v>1.2236706084889575</v>
      </c>
      <c r="W61" s="357">
        <f t="shared" ca="1" si="4"/>
        <v>1.6342537094486018</v>
      </c>
      <c r="X61" s="343"/>
      <c r="Y61" s="367" t="str">
        <f t="shared" ca="1" si="22"/>
        <v/>
      </c>
      <c r="Z61" s="368" t="str">
        <f t="shared" ca="1" si="23"/>
        <v/>
      </c>
      <c r="AA61" s="369" t="str">
        <f t="shared" ca="1" si="24"/>
        <v/>
      </c>
      <c r="AB61" s="344"/>
      <c r="AC61" s="363" t="e">
        <f t="shared" ca="1" si="25"/>
        <v>#N/A</v>
      </c>
      <c r="AD61" s="376" t="e">
        <f t="shared" ca="1" si="26"/>
        <v>#N/A</v>
      </c>
      <c r="AE61" s="377">
        <f t="shared" ca="1" si="5"/>
        <v>10.858067282987053</v>
      </c>
      <c r="AF61" s="344"/>
      <c r="AG61" s="359">
        <f t="shared" ca="1" si="27"/>
        <v>65.867813402695901</v>
      </c>
      <c r="AH61" s="357">
        <f t="shared" ca="1" si="28"/>
        <v>75.496706208115</v>
      </c>
    </row>
    <row r="62" spans="1:34">
      <c r="A62" s="402">
        <f t="shared" ca="1" si="6"/>
        <v>0.01</v>
      </c>
      <c r="B62" s="357">
        <f t="shared" ca="1" si="7"/>
        <v>0.58000000000000029</v>
      </c>
      <c r="C62" s="342"/>
      <c r="D62" s="359">
        <f t="shared" ca="1" si="8"/>
        <v>14.418991297694664</v>
      </c>
      <c r="E62" s="360">
        <f t="shared" ca="1" si="9"/>
        <v>63.996363205818326</v>
      </c>
      <c r="F62" s="357">
        <f t="shared" ca="1" si="10"/>
        <v>65.600623576411309</v>
      </c>
      <c r="G62" s="359">
        <f t="shared" ca="1" si="11"/>
        <v>7.6074001238324538</v>
      </c>
      <c r="H62" s="360">
        <f t="shared" ca="1" si="12"/>
        <v>38.841831719172006</v>
      </c>
      <c r="I62" s="357">
        <f t="shared" ca="1" si="13"/>
        <v>39.57979823021541</v>
      </c>
      <c r="J62" s="359">
        <f t="shared" ca="1" si="14"/>
        <v>2.085474774991519</v>
      </c>
      <c r="K62" s="360">
        <f t="shared" ca="1" si="15"/>
        <v>11.243285782018482</v>
      </c>
      <c r="L62" s="357">
        <f t="shared" ca="1" si="0"/>
        <v>11.43506362961155</v>
      </c>
      <c r="M62" s="359">
        <f t="shared" ca="1" si="16"/>
        <v>1.3773886797237345</v>
      </c>
      <c r="N62" s="357">
        <f t="shared" ca="1" si="17"/>
        <v>78.918558097266654</v>
      </c>
      <c r="O62" s="343"/>
      <c r="P62" s="363">
        <f t="shared" ca="1" si="18"/>
        <v>8</v>
      </c>
      <c r="Q62" s="357">
        <f t="shared" ca="1" si="19"/>
        <v>35.398792313982007</v>
      </c>
      <c r="R62" s="359">
        <f t="shared" ca="1" si="20"/>
        <v>2.037725680327181E-2</v>
      </c>
      <c r="S62" s="360">
        <f t="shared" ca="1" si="21"/>
        <v>0.44898673619355539</v>
      </c>
      <c r="T62" s="357">
        <f t="shared" ca="1" si="1"/>
        <v>4.4045598820587788</v>
      </c>
      <c r="U62" s="364">
        <f t="shared" ca="1" si="2"/>
        <v>0</v>
      </c>
      <c r="V62" s="359">
        <f t="shared" ca="1" si="3"/>
        <v>1.2236234713269658</v>
      </c>
      <c r="W62" s="357">
        <f t="shared" ca="1" si="4"/>
        <v>1.6897159218535585</v>
      </c>
      <c r="X62" s="343"/>
      <c r="Y62" s="367" t="str">
        <f t="shared" ca="1" si="22"/>
        <v/>
      </c>
      <c r="Z62" s="368" t="str">
        <f t="shared" ca="1" si="23"/>
        <v/>
      </c>
      <c r="AA62" s="369" t="str">
        <f t="shared" ca="1" si="24"/>
        <v/>
      </c>
      <c r="AB62" s="344"/>
      <c r="AC62" s="363" t="e">
        <f t="shared" ca="1" si="25"/>
        <v>#N/A</v>
      </c>
      <c r="AD62" s="376" t="e">
        <f t="shared" ca="1" si="26"/>
        <v>#N/A</v>
      </c>
      <c r="AE62" s="377">
        <f t="shared" ca="1" si="5"/>
        <v>11.243285782018482</v>
      </c>
      <c r="AF62" s="344"/>
      <c r="AG62" s="359">
        <f t="shared" ca="1" si="27"/>
        <v>65.57365211471209</v>
      </c>
      <c r="AH62" s="357">
        <f t="shared" ca="1" si="28"/>
        <v>75.201639341919716</v>
      </c>
    </row>
    <row r="63" spans="1:34">
      <c r="A63" s="402">
        <f t="shared" ca="1" si="6"/>
        <v>0.01</v>
      </c>
      <c r="B63" s="357">
        <f t="shared" ca="1" si="7"/>
        <v>0.5900000000000003</v>
      </c>
      <c r="C63" s="342"/>
      <c r="D63" s="359">
        <f t="shared" ca="1" si="8"/>
        <v>14.396991814006469</v>
      </c>
      <c r="E63" s="360">
        <f t="shared" ca="1" si="9"/>
        <v>63.698100559882192</v>
      </c>
      <c r="F63" s="357">
        <f t="shared" ca="1" si="10"/>
        <v>65.304834340417969</v>
      </c>
      <c r="G63" s="359">
        <f t="shared" ca="1" si="11"/>
        <v>7.7513700419725184</v>
      </c>
      <c r="H63" s="360">
        <f t="shared" ca="1" si="12"/>
        <v>39.478812724770826</v>
      </c>
      <c r="I63" s="357">
        <f t="shared" ca="1" si="13"/>
        <v>40.232578735213032</v>
      </c>
      <c r="J63" s="359">
        <f t="shared" ca="1" si="14"/>
        <v>2.1622686258205439</v>
      </c>
      <c r="K63" s="360">
        <f t="shared" ca="1" si="15"/>
        <v>11.634889004238197</v>
      </c>
      <c r="L63" s="357">
        <f t="shared" ca="1" si="0"/>
        <v>11.834105278860365</v>
      </c>
      <c r="M63" s="359">
        <f t="shared" ca="1" si="16"/>
        <v>1.3769200240957198</v>
      </c>
      <c r="N63" s="357">
        <f t="shared" ca="1" si="17"/>
        <v>78.891706107736354</v>
      </c>
      <c r="O63" s="343"/>
      <c r="P63" s="363">
        <f t="shared" ca="1" si="18"/>
        <v>8</v>
      </c>
      <c r="Q63" s="357">
        <f t="shared" ca="1" si="19"/>
        <v>35.305709730171706</v>
      </c>
      <c r="R63" s="359">
        <f t="shared" ca="1" si="20"/>
        <v>2.0323673966394479E-2</v>
      </c>
      <c r="S63" s="360">
        <f t="shared" ca="1" si="21"/>
        <v>0.44878349945389145</v>
      </c>
      <c r="T63" s="357">
        <f t="shared" ca="1" si="1"/>
        <v>4.4025661296426755</v>
      </c>
      <c r="U63" s="364">
        <f t="shared" ca="1" si="2"/>
        <v>0</v>
      </c>
      <c r="V63" s="359">
        <f t="shared" ca="1" si="3"/>
        <v>1.2235755547600937</v>
      </c>
      <c r="W63" s="357">
        <f t="shared" ca="1" si="4"/>
        <v>1.7458433665964121</v>
      </c>
      <c r="X63" s="343"/>
      <c r="Y63" s="367" t="str">
        <f t="shared" ca="1" si="22"/>
        <v/>
      </c>
      <c r="Z63" s="368" t="str">
        <f t="shared" ca="1" si="23"/>
        <v/>
      </c>
      <c r="AA63" s="369" t="str">
        <f t="shared" ca="1" si="24"/>
        <v/>
      </c>
      <c r="AB63" s="344"/>
      <c r="AC63" s="363" t="e">
        <f t="shared" ca="1" si="25"/>
        <v>#N/A</v>
      </c>
      <c r="AD63" s="376" t="e">
        <f t="shared" ca="1" si="26"/>
        <v>#N/A</v>
      </c>
      <c r="AE63" s="377">
        <f t="shared" ca="1" si="5"/>
        <v>11.634889004238197</v>
      </c>
      <c r="AF63" s="344"/>
      <c r="AG63" s="359">
        <f t="shared" ca="1" si="27"/>
        <v>65.277608669418086</v>
      </c>
      <c r="AH63" s="357">
        <f t="shared" ca="1" si="28"/>
        <v>74.90470092867551</v>
      </c>
    </row>
    <row r="64" spans="1:34">
      <c r="A64" s="402">
        <f t="shared" ca="1" si="6"/>
        <v>0.01</v>
      </c>
      <c r="B64" s="357">
        <f t="shared" ca="1" si="7"/>
        <v>0.60000000000000031</v>
      </c>
      <c r="C64" s="342"/>
      <c r="D64" s="359">
        <f t="shared" ca="1" si="8"/>
        <v>14.37387614627521</v>
      </c>
      <c r="E64" s="360">
        <f t="shared" ca="1" si="9"/>
        <v>63.398163387261647</v>
      </c>
      <c r="F64" s="357">
        <f t="shared" ca="1" si="10"/>
        <v>65.007195265957932</v>
      </c>
      <c r="G64" s="359">
        <f t="shared" ca="1" si="11"/>
        <v>7.8951088034352708</v>
      </c>
      <c r="H64" s="360">
        <f t="shared" ca="1" si="12"/>
        <v>40.112794358643441</v>
      </c>
      <c r="I64" s="357">
        <f t="shared" ca="1" si="13"/>
        <v>40.882380242310965</v>
      </c>
      <c r="J64" s="359">
        <f t="shared" ca="1" si="14"/>
        <v>2.2405010200475828</v>
      </c>
      <c r="K64" s="360">
        <f t="shared" ca="1" si="15"/>
        <v>12.032847039655268</v>
      </c>
      <c r="L64" s="357">
        <f t="shared" ca="1" si="0"/>
        <v>12.239659010796617</v>
      </c>
      <c r="M64" s="359">
        <f t="shared" ca="1" si="16"/>
        <v>1.3764577139229219</v>
      </c>
      <c r="N64" s="357">
        <f t="shared" ca="1" si="17"/>
        <v>78.865217686009075</v>
      </c>
      <c r="O64" s="343"/>
      <c r="P64" s="363">
        <f t="shared" ca="1" si="18"/>
        <v>8</v>
      </c>
      <c r="Q64" s="357">
        <f t="shared" ca="1" si="19"/>
        <v>35.212627146361399</v>
      </c>
      <c r="R64" s="359">
        <f t="shared" ca="1" si="20"/>
        <v>2.0270091129517148E-2</v>
      </c>
      <c r="S64" s="360">
        <f t="shared" ca="1" si="21"/>
        <v>0.4485807985425963</v>
      </c>
      <c r="T64" s="357">
        <f t="shared" ca="1" si="1"/>
        <v>4.4005776337028699</v>
      </c>
      <c r="U64" s="364">
        <f t="shared" ca="1" si="2"/>
        <v>0</v>
      </c>
      <c r="V64" s="359">
        <f t="shared" ca="1" si="3"/>
        <v>1.2235268625395288</v>
      </c>
      <c r="W64" s="357">
        <f t="shared" ca="1" si="4"/>
        <v>1.8026217246453171</v>
      </c>
      <c r="X64" s="343"/>
      <c r="Y64" s="367" t="str">
        <f t="shared" ca="1" si="22"/>
        <v/>
      </c>
      <c r="Z64" s="368" t="str">
        <f t="shared" ca="1" si="23"/>
        <v/>
      </c>
      <c r="AA64" s="369" t="str">
        <f t="shared" ca="1" si="24"/>
        <v/>
      </c>
      <c r="AB64" s="344"/>
      <c r="AC64" s="363" t="e">
        <f t="shared" ca="1" si="25"/>
        <v>#N/A</v>
      </c>
      <c r="AD64" s="376" t="e">
        <f t="shared" ca="1" si="26"/>
        <v>#N/A</v>
      </c>
      <c r="AE64" s="377">
        <f t="shared" ca="1" si="5"/>
        <v>12.032847039655268</v>
      </c>
      <c r="AF64" s="344"/>
      <c r="AG64" s="359">
        <f t="shared" ca="1" si="27"/>
        <v>64.979713818822489</v>
      </c>
      <c r="AH64" s="357">
        <f t="shared" ca="1" si="28"/>
        <v>74.605921360200739</v>
      </c>
    </row>
    <row r="65" spans="1:34">
      <c r="A65" s="402">
        <f t="shared" ca="1" si="6"/>
        <v>0.01</v>
      </c>
      <c r="B65" s="357">
        <f t="shared" ca="1" si="7"/>
        <v>0.61000000000000032</v>
      </c>
      <c r="C65" s="342"/>
      <c r="D65" s="359">
        <f t="shared" ca="1" si="8"/>
        <v>14.349670214748002</v>
      </c>
      <c r="E65" s="360">
        <f t="shared" ca="1" si="9"/>
        <v>63.096578588009294</v>
      </c>
      <c r="F65" s="357">
        <f t="shared" ca="1" si="10"/>
        <v>64.707737286856656</v>
      </c>
      <c r="G65" s="359">
        <f t="shared" ca="1" si="11"/>
        <v>8.0386055055827512</v>
      </c>
      <c r="H65" s="360">
        <f t="shared" ca="1" si="12"/>
        <v>40.743760144523534</v>
      </c>
      <c r="I65" s="357">
        <f t="shared" ca="1" si="13"/>
        <v>41.529184547602782</v>
      </c>
      <c r="J65" s="359">
        <f t="shared" ca="1" si="14"/>
        <v>2.320169591592673</v>
      </c>
      <c r="K65" s="360">
        <f t="shared" ca="1" si="15"/>
        <v>12.437129812171102</v>
      </c>
      <c r="L65" s="357">
        <f t="shared" ca="1" si="0"/>
        <v>12.651694941728026</v>
      </c>
      <c r="M65" s="359">
        <f t="shared" ca="1" si="16"/>
        <v>1.3760015325319377</v>
      </c>
      <c r="N65" s="357">
        <f t="shared" ca="1" si="17"/>
        <v>78.839080417613275</v>
      </c>
      <c r="O65" s="343"/>
      <c r="P65" s="363">
        <f t="shared" ca="1" si="18"/>
        <v>8</v>
      </c>
      <c r="Q65" s="357">
        <f t="shared" ca="1" si="19"/>
        <v>35.119544562551098</v>
      </c>
      <c r="R65" s="359">
        <f t="shared" ca="1" si="20"/>
        <v>2.0216508292639816E-2</v>
      </c>
      <c r="S65" s="360">
        <f t="shared" ca="1" si="21"/>
        <v>0.44837863345966988</v>
      </c>
      <c r="T65" s="357">
        <f t="shared" ca="1" si="1"/>
        <v>4.3985943942393622</v>
      </c>
      <c r="U65" s="364">
        <f t="shared" ca="1" si="2"/>
        <v>0</v>
      </c>
      <c r="V65" s="359">
        <f t="shared" ca="1" si="3"/>
        <v>1.2234773984376734</v>
      </c>
      <c r="W65" s="357">
        <f t="shared" ca="1" si="4"/>
        <v>1.8600366584592907</v>
      </c>
      <c r="X65" s="343"/>
      <c r="Y65" s="367" t="str">
        <f t="shared" ca="1" si="22"/>
        <v/>
      </c>
      <c r="Z65" s="368" t="str">
        <f t="shared" ca="1" si="23"/>
        <v/>
      </c>
      <c r="AA65" s="369" t="str">
        <f t="shared" ca="1" si="24"/>
        <v/>
      </c>
      <c r="AB65" s="344"/>
      <c r="AC65" s="363" t="e">
        <f t="shared" ca="1" si="25"/>
        <v>#N/A</v>
      </c>
      <c r="AD65" s="376" t="e">
        <f t="shared" ca="1" si="26"/>
        <v>#N/A</v>
      </c>
      <c r="AE65" s="377">
        <f t="shared" ca="1" si="5"/>
        <v>12.437129812171102</v>
      </c>
      <c r="AF65" s="344"/>
      <c r="AG65" s="359">
        <f t="shared" ca="1" si="27"/>
        <v>64.679998414989015</v>
      </c>
      <c r="AH65" s="357">
        <f t="shared" ca="1" si="28"/>
        <v>74.305331145763702</v>
      </c>
    </row>
    <row r="66" spans="1:34">
      <c r="A66" s="402">
        <f t="shared" ca="1" si="6"/>
        <v>0.01</v>
      </c>
      <c r="B66" s="357">
        <f t="shared" ca="1" si="7"/>
        <v>0.62000000000000033</v>
      </c>
      <c r="C66" s="342"/>
      <c r="D66" s="359">
        <f t="shared" ca="1" si="8"/>
        <v>14.324398984304018</v>
      </c>
      <c r="E66" s="360">
        <f t="shared" ca="1" si="9"/>
        <v>62.793373312151346</v>
      </c>
      <c r="F66" s="357">
        <f t="shared" ca="1" si="10"/>
        <v>64.40649142889815</v>
      </c>
      <c r="G66" s="359">
        <f t="shared" ca="1" si="11"/>
        <v>8.1818494954257908</v>
      </c>
      <c r="H66" s="360">
        <f t="shared" ca="1" si="12"/>
        <v>41.37169387764505</v>
      </c>
      <c r="I66" s="357">
        <f t="shared" ca="1" si="13"/>
        <v>42.172973756558505</v>
      </c>
      <c r="J66" s="359">
        <f t="shared" ca="1" si="14"/>
        <v>2.4012718665977157</v>
      </c>
      <c r="K66" s="360">
        <f t="shared" ca="1" si="15"/>
        <v>12.847707082281946</v>
      </c>
      <c r="L66" s="357">
        <f t="shared" ca="1" si="0"/>
        <v>13.070183007495777</v>
      </c>
      <c r="M66" s="359">
        <f t="shared" ca="1" si="16"/>
        <v>1.3755512738361317</v>
      </c>
      <c r="N66" s="357">
        <f t="shared" ca="1" si="17"/>
        <v>78.81328249465453</v>
      </c>
      <c r="O66" s="343"/>
      <c r="P66" s="363">
        <f t="shared" ca="1" si="18"/>
        <v>8</v>
      </c>
      <c r="Q66" s="357">
        <f t="shared" ca="1" si="19"/>
        <v>35.026461978740798</v>
      </c>
      <c r="R66" s="359">
        <f t="shared" ca="1" si="20"/>
        <v>2.0162925455762488E-2</v>
      </c>
      <c r="S66" s="360">
        <f t="shared" ca="1" si="21"/>
        <v>0.44817700420511225</v>
      </c>
      <c r="T66" s="357">
        <f t="shared" ca="1" si="1"/>
        <v>4.3966164112521513</v>
      </c>
      <c r="U66" s="364">
        <f t="shared" ca="1" si="2"/>
        <v>0</v>
      </c>
      <c r="V66" s="359">
        <f t="shared" ca="1" si="3"/>
        <v>1.2234271662477876</v>
      </c>
      <c r="W66" s="357">
        <f t="shared" ca="1" si="4"/>
        <v>1.9180738155257553</v>
      </c>
      <c r="X66" s="343"/>
      <c r="Y66" s="367" t="str">
        <f t="shared" ca="1" si="22"/>
        <v/>
      </c>
      <c r="Z66" s="368" t="str">
        <f t="shared" ca="1" si="23"/>
        <v/>
      </c>
      <c r="AA66" s="369" t="str">
        <f t="shared" ca="1" si="24"/>
        <v/>
      </c>
      <c r="AB66" s="344"/>
      <c r="AC66" s="363" t="e">
        <f t="shared" ca="1" si="25"/>
        <v>#N/A</v>
      </c>
      <c r="AD66" s="376" t="e">
        <f t="shared" ca="1" si="26"/>
        <v>#N/A</v>
      </c>
      <c r="AE66" s="377">
        <f t="shared" ca="1" si="5"/>
        <v>12.847707082281946</v>
      </c>
      <c r="AF66" s="344"/>
      <c r="AG66" s="359">
        <f t="shared" ca="1" si="27"/>
        <v>64.378493403129909</v>
      </c>
      <c r="AH66" s="357">
        <f t="shared" ca="1" si="28"/>
        <v>74.002960904041814</v>
      </c>
    </row>
    <row r="67" spans="1:34">
      <c r="A67" s="402">
        <f t="shared" ca="1" si="6"/>
        <v>0.01</v>
      </c>
      <c r="B67" s="357">
        <f t="shared" ca="1" si="7"/>
        <v>0.63000000000000034</v>
      </c>
      <c r="C67" s="342"/>
      <c r="D67" s="359">
        <f t="shared" ca="1" si="8"/>
        <v>14.298086528957668</v>
      </c>
      <c r="E67" s="360">
        <f t="shared" ca="1" si="9"/>
        <v>62.488574942355797</v>
      </c>
      <c r="F67" s="357">
        <f t="shared" ca="1" si="10"/>
        <v>64.10348880299712</v>
      </c>
      <c r="G67" s="359">
        <f t="shared" ca="1" si="11"/>
        <v>8.3248303607153673</v>
      </c>
      <c r="H67" s="360">
        <f t="shared" ca="1" si="12"/>
        <v>41.996579627068606</v>
      </c>
      <c r="I67" s="357">
        <f t="shared" ca="1" si="13"/>
        <v>42.813730284891115</v>
      </c>
      <c r="J67" s="359">
        <f t="shared" ca="1" si="14"/>
        <v>2.4838052658784213</v>
      </c>
      <c r="K67" s="360">
        <f t="shared" ca="1" si="15"/>
        <v>13.264548449805515</v>
      </c>
      <c r="L67" s="357">
        <f t="shared" ca="1" si="0"/>
        <v>13.495092966558001</v>
      </c>
      <c r="M67" s="359">
        <f t="shared" ca="1" si="16"/>
        <v>1.3751067416476019</v>
      </c>
      <c r="N67" s="357">
        <f t="shared" ca="1" si="17"/>
        <v>78.787812676394054</v>
      </c>
      <c r="O67" s="343"/>
      <c r="P67" s="363">
        <f t="shared" ca="1" si="18"/>
        <v>8</v>
      </c>
      <c r="Q67" s="357">
        <f t="shared" ca="1" si="19"/>
        <v>34.933379394930498</v>
      </c>
      <c r="R67" s="359">
        <f t="shared" ca="1" si="20"/>
        <v>2.0109342618885157E-2</v>
      </c>
      <c r="S67" s="360">
        <f t="shared" ca="1" si="21"/>
        <v>0.4479759107789234</v>
      </c>
      <c r="T67" s="357">
        <f t="shared" ca="1" si="1"/>
        <v>4.3946436847412391</v>
      </c>
      <c r="U67" s="364">
        <f t="shared" ca="1" si="2"/>
        <v>0</v>
      </c>
      <c r="V67" s="359">
        <f t="shared" ca="1" si="3"/>
        <v>1.2233761697836276</v>
      </c>
      <c r="W67" s="357">
        <f t="shared" ca="1" si="4"/>
        <v>1.97671883187499</v>
      </c>
      <c r="X67" s="343"/>
      <c r="Y67" s="367" t="str">
        <f t="shared" ca="1" si="22"/>
        <v/>
      </c>
      <c r="Z67" s="368" t="str">
        <f t="shared" ca="1" si="23"/>
        <v/>
      </c>
      <c r="AA67" s="369" t="str">
        <f t="shared" ca="1" si="24"/>
        <v/>
      </c>
      <c r="AB67" s="344"/>
      <c r="AC67" s="363" t="e">
        <f t="shared" ca="1" si="25"/>
        <v>#N/A</v>
      </c>
      <c r="AD67" s="376" t="e">
        <f t="shared" ca="1" si="26"/>
        <v>#N/A</v>
      </c>
      <c r="AE67" s="377">
        <f t="shared" ca="1" si="5"/>
        <v>13.264548449805515</v>
      </c>
      <c r="AF67" s="344"/>
      <c r="AG67" s="359">
        <f t="shared" ca="1" si="27"/>
        <v>64.075229814632038</v>
      </c>
      <c r="AH67" s="357">
        <f t="shared" ca="1" si="28"/>
        <v>73.698841355105429</v>
      </c>
    </row>
    <row r="68" spans="1:34">
      <c r="A68" s="402">
        <f t="shared" ca="1" si="6"/>
        <v>0.01</v>
      </c>
      <c r="B68" s="357">
        <f t="shared" ca="1" si="7"/>
        <v>0.64000000000000035</v>
      </c>
      <c r="C68" s="342"/>
      <c r="D68" s="359">
        <f t="shared" ca="1" si="8"/>
        <v>14.270756090949995</v>
      </c>
      <c r="E68" s="360">
        <f t="shared" ca="1" si="9"/>
        <v>62.182211077386441</v>
      </c>
      <c r="F68" s="357">
        <f t="shared" ca="1" si="10"/>
        <v>63.798760598306515</v>
      </c>
      <c r="G68" s="359">
        <f t="shared" ca="1" si="11"/>
        <v>8.4675379216248672</v>
      </c>
      <c r="H68" s="360">
        <f t="shared" ca="1" si="12"/>
        <v>42.618401737842468</v>
      </c>
      <c r="I68" s="357">
        <f t="shared" ca="1" si="13"/>
        <v>43.451436859352405</v>
      </c>
      <c r="J68" s="359">
        <f t="shared" ca="1" si="14"/>
        <v>2.5677671072901225</v>
      </c>
      <c r="K68" s="360">
        <f t="shared" ca="1" si="15"/>
        <v>13.68762335663007</v>
      </c>
      <c r="L68" s="357">
        <f t="shared" ref="L68:L131" ca="1" si="29">SQRT(pos_x^2+pos_z^2)</f>
        <v>13.926394403083883</v>
      </c>
      <c r="M68" s="359">
        <f t="shared" ca="1" si="16"/>
        <v>1.3746677490444483</v>
      </c>
      <c r="N68" s="357">
        <f t="shared" ca="1" si="17"/>
        <v>78.7626602529959</v>
      </c>
      <c r="O68" s="343"/>
      <c r="P68" s="363">
        <f t="shared" ca="1" si="18"/>
        <v>8</v>
      </c>
      <c r="Q68" s="357">
        <f t="shared" ca="1" si="19"/>
        <v>34.84029681112019</v>
      </c>
      <c r="R68" s="359">
        <f t="shared" ca="1" si="20"/>
        <v>2.0055759782007822E-2</v>
      </c>
      <c r="S68" s="360">
        <f t="shared" ca="1" si="21"/>
        <v>0.44777535318110334</v>
      </c>
      <c r="T68" s="357">
        <f t="shared" ref="T68:T131" ca="1" si="30">m*g</f>
        <v>4.3926762147066238</v>
      </c>
      <c r="U68" s="364">
        <f t="shared" ref="U68:U131" ca="1" si="31">IF(pos_xz&lt;L_rampe,Poids*COS(Beta),0)</f>
        <v>0</v>
      </c>
      <c r="V68" s="359">
        <f t="shared" ref="V68:V131" ca="1" si="32">Rho_moyen*(20000-Alt_rampe-pos_z)/(20000+Alt_rampe+pos_z)</f>
        <v>1.2233244128790837</v>
      </c>
      <c r="W68" s="357">
        <f t="shared" ref="W68:W131" ca="1" si="33">1/2*Rho*Sref*Cx*vit_xz^2</f>
        <v>2.0359573355701834</v>
      </c>
      <c r="X68" s="343"/>
      <c r="Y68" s="367" t="str">
        <f t="shared" ca="1" si="22"/>
        <v/>
      </c>
      <c r="Z68" s="368" t="str">
        <f t="shared" ca="1" si="23"/>
        <v/>
      </c>
      <c r="AA68" s="369" t="str">
        <f t="shared" ca="1" si="24"/>
        <v/>
      </c>
      <c r="AB68" s="344"/>
      <c r="AC68" s="363" t="e">
        <f t="shared" ca="1" si="25"/>
        <v>#N/A</v>
      </c>
      <c r="AD68" s="376" t="e">
        <f t="shared" ca="1" si="26"/>
        <v>#N/A</v>
      </c>
      <c r="AE68" s="377">
        <f t="shared" ref="AE68:AE131" ca="1" si="34">IF(t&lt;T_para, pos_z, NA())</f>
        <v>13.68762335663007</v>
      </c>
      <c r="AF68" s="344"/>
      <c r="AG68" s="359">
        <f t="shared" ca="1" si="27"/>
        <v>63.770238760028093</v>
      </c>
      <c r="AH68" s="357">
        <f t="shared" ca="1" si="28"/>
        <v>73.393003312429926</v>
      </c>
    </row>
    <row r="69" spans="1:34">
      <c r="A69" s="402">
        <f t="shared" ref="A69:A132" ca="1" si="35">IF(B68+0.01&lt;=T_ini+ROUNDUP(Temps_fin_propu,0), 0.01, IF(K68&gt;0, 0.1, 0.0001))</f>
        <v>0.01</v>
      </c>
      <c r="B69" s="357">
        <f t="shared" ref="B69:B132" ca="1" si="36">B68+pas</f>
        <v>0.65000000000000036</v>
      </c>
      <c r="C69" s="342"/>
      <c r="D69" s="359">
        <f t="shared" ref="D69:D132" ca="1" si="37">IF(AND(L68&lt;L_rampe,Poussee&lt;Poids*SIN(M68)),0,(-W68+Poussee)/m*COS(M68)-U68/m*SIN(M68))</f>
        <v>14.242430134952206</v>
      </c>
      <c r="E69" s="360">
        <f t="shared" ref="E69:E132" ca="1" si="38">IF(AND(L68&lt;L_rampe,Poussee&lt;Poids*SIN(M68)),0,(-W68+Poussee)/m*SIN(M68)+U68/m*COS(M68)-Poids/m)</f>
        <v>61.874309516274266</v>
      </c>
      <c r="F69" s="357">
        <f t="shared" ref="F69:F132" ca="1" si="39">SQRT(acc_x^2+acc_z^2)</f>
        <v>63.492338075272535</v>
      </c>
      <c r="G69" s="359">
        <f t="shared" ref="G69:G132" ca="1" si="40">G68+acc_x*pas</f>
        <v>8.6099622229743886</v>
      </c>
      <c r="H69" s="360">
        <f t="shared" ref="H69:H132" ca="1" si="41">H68+acc_z*pas</f>
        <v>43.23714483300521</v>
      </c>
      <c r="I69" s="357">
        <f t="shared" ref="I69:I132" ca="1" si="42">SQRT(vit_x^2+vit_z^2)</f>
        <v>44.086076518457787</v>
      </c>
      <c r="J69" s="359">
        <f t="shared" ref="J69:J132" ca="1" si="43">J68+0.5*(vit_x+G68)*pas*(K68&gt;=0)</f>
        <v>2.6531546080131188</v>
      </c>
      <c r="K69" s="360">
        <f t="shared" ref="K69:K132" ca="1" si="44">K68+0.5*(vit_z+H68)*pas</f>
        <v>14.116901089484308</v>
      </c>
      <c r="L69" s="357">
        <f t="shared" ca="1" si="29"/>
        <v>14.364056730057301</v>
      </c>
      <c r="M69" s="359">
        <f t="shared" ref="M69:M132" ca="1" si="45">IF(AND(L68&gt;L_rampe,G69&gt;0),ATAN2(G69,H69),$M$4)</f>
        <v>1.3742341177880735</v>
      </c>
      <c r="N69" s="357">
        <f t="shared" ref="N69:N132" ca="1" si="46">DEGREES(Beta)</f>
        <v>78.737815012140658</v>
      </c>
      <c r="O69" s="343"/>
      <c r="P69" s="363">
        <f t="shared" ref="P69:P132" ca="1" si="47">MATCH(t-pas/2-T_ini,CdP_t)</f>
        <v>8</v>
      </c>
      <c r="Q69" s="357">
        <f t="shared" ref="Q69:Q132" ca="1" si="48">(INDEX(CdP,2,i_P+1)-INDEX(CdP,2,i_P+0))/(INDEX(CdP,1,i_P+1)-INDEX(CdP,1,i_P+0))*(t-pas/2-T_ini-INDEX(CdP,1,i_P+0))+INDEX(CdP,2,i_P+0)</f>
        <v>34.74721422730989</v>
      </c>
      <c r="R69" s="359">
        <f t="shared" ref="R69:R132" ca="1" si="49">Poussee/(g*ISP)</f>
        <v>2.0002176945130495E-2</v>
      </c>
      <c r="S69" s="360">
        <f t="shared" ref="S69:S132" ca="1" si="50">S68-Débit*pas</f>
        <v>0.44757533141165201</v>
      </c>
      <c r="T69" s="357">
        <f t="shared" ca="1" si="30"/>
        <v>4.3907140011483063</v>
      </c>
      <c r="U69" s="364">
        <f t="shared" ca="1" si="31"/>
        <v>0</v>
      </c>
      <c r="V69" s="359">
        <f t="shared" ca="1" si="32"/>
        <v>1.2232718993878091</v>
      </c>
      <c r="W69" s="357">
        <f t="shared" ca="1" si="33"/>
        <v>2.0957749501717711</v>
      </c>
      <c r="X69" s="343"/>
      <c r="Y69" s="367" t="str">
        <f t="shared" ref="Y69:Y132" ca="1" si="51">IF(AND(pos_z&lt;=0,K68&gt;0),"Impact balistique","") &amp; IF(AND(H70&lt;0,vit_z&gt;=0),"Apogée","") &amp; IF(AND(Poussee=0,Q68&gt;0),"Fin de propulsion","") &amp; IF(AND(L70&gt;L_rampe,pos_xz&lt;=L_rampe),"Sortie de rampe","")</f>
        <v/>
      </c>
      <c r="Z69" s="368" t="str">
        <f t="shared" ref="Z69:Z132" ca="1" si="52">IF(ABS(t-T_para)&lt;pas/2,"Para","")</f>
        <v/>
      </c>
      <c r="AA69" s="369" t="str">
        <f t="shared" ref="AA69:AA132" ca="1" si="53">IF(ABS(t-T_satellite)&lt;pas/2,"Satellite","")</f>
        <v/>
      </c>
      <c r="AB69" s="344"/>
      <c r="AC69" s="363" t="e">
        <f t="shared" ref="AC69:AC132" ca="1" si="54">IF(ABS(t-ROUND(t,0))&lt;0.001,t,NA())</f>
        <v>#N/A</v>
      </c>
      <c r="AD69" s="376" t="e">
        <f t="shared" ref="AD69:AD132" ca="1" si="55">IF(ABS(t-ROUND(t,0))&lt;0.001,pos_x,NA())</f>
        <v>#N/A</v>
      </c>
      <c r="AE69" s="377">
        <f t="shared" ca="1" si="34"/>
        <v>14.116901089484308</v>
      </c>
      <c r="AF69" s="344"/>
      <c r="AG69" s="359">
        <f t="shared" ref="AG69:AG132" ca="1" si="56">IF(AND(L68&lt;L_rampe,Poussee&lt;Poids*SIN(M68)),0,(-W68+Poussee)/m-Poids*SIN(M68)/m)</f>
        <v>63.463551421923803</v>
      </c>
      <c r="AH69" s="357">
        <f t="shared" ref="AH69:AH132" ca="1" si="57">IF(AND(L68&lt;L_rampe,Poussee&lt;Poids*SIN(M68)), g*SIN(M68), (-W68+Poussee)/m)</f>
        <v>73.085477674938986</v>
      </c>
    </row>
    <row r="70" spans="1:34">
      <c r="A70" s="402">
        <f t="shared" ca="1" si="35"/>
        <v>0.01</v>
      </c>
      <c r="B70" s="357">
        <f t="shared" ca="1" si="36"/>
        <v>0.66000000000000036</v>
      </c>
      <c r="C70" s="342"/>
      <c r="D70" s="359">
        <f t="shared" ca="1" si="37"/>
        <v>14.213130397847461</v>
      </c>
      <c r="E70" s="360">
        <f t="shared" ca="1" si="38"/>
        <v>61.564898243145009</v>
      </c>
      <c r="F70" s="357">
        <f t="shared" ca="1" si="39"/>
        <v>63.184252558647991</v>
      </c>
      <c r="G70" s="359">
        <f t="shared" ca="1" si="40"/>
        <v>8.7520935269528639</v>
      </c>
      <c r="H70" s="360">
        <f t="shared" ca="1" si="41"/>
        <v>43.852793815436662</v>
      </c>
      <c r="I70" s="357">
        <f t="shared" ca="1" si="42"/>
        <v>44.717632613139642</v>
      </c>
      <c r="J70" s="359">
        <f t="shared" ca="1" si="43"/>
        <v>2.7399648867627548</v>
      </c>
      <c r="K70" s="360">
        <f t="shared" ca="1" si="44"/>
        <v>14.552350782726517</v>
      </c>
      <c r="L70" s="357">
        <f t="shared" ca="1" si="29"/>
        <v>14.808049192389047</v>
      </c>
      <c r="M70" s="359">
        <f t="shared" ca="1" si="45"/>
        <v>1.3738056777858232</v>
      </c>
      <c r="N70" s="357">
        <f t="shared" ca="1" si="46"/>
        <v>78.713267208237141</v>
      </c>
      <c r="O70" s="343"/>
      <c r="P70" s="363">
        <f t="shared" ca="1" si="47"/>
        <v>8</v>
      </c>
      <c r="Q70" s="357">
        <f t="shared" ca="1" si="48"/>
        <v>34.654131643499589</v>
      </c>
      <c r="R70" s="359">
        <f t="shared" ca="1" si="49"/>
        <v>1.9948594108253163E-2</v>
      </c>
      <c r="S70" s="360">
        <f t="shared" ca="1" si="50"/>
        <v>0.44737584547056947</v>
      </c>
      <c r="T70" s="357">
        <f t="shared" ca="1" si="30"/>
        <v>4.3887570440662866</v>
      </c>
      <c r="U70" s="364">
        <f t="shared" ca="1" si="31"/>
        <v>0</v>
      </c>
      <c r="V70" s="359">
        <f t="shared" ca="1" si="32"/>
        <v>1.2232186331828558</v>
      </c>
      <c r="W70" s="357">
        <f t="shared" ca="1" si="33"/>
        <v>2.1561572981748047</v>
      </c>
      <c r="X70" s="343"/>
      <c r="Y70" s="367" t="str">
        <f t="shared" ca="1" si="51"/>
        <v/>
      </c>
      <c r="Z70" s="368" t="str">
        <f t="shared" ca="1" si="52"/>
        <v/>
      </c>
      <c r="AA70" s="369" t="str">
        <f t="shared" ca="1" si="53"/>
        <v/>
      </c>
      <c r="AB70" s="344"/>
      <c r="AC70" s="363" t="e">
        <f t="shared" ca="1" si="54"/>
        <v>#N/A</v>
      </c>
      <c r="AD70" s="376" t="e">
        <f t="shared" ca="1" si="55"/>
        <v>#N/A</v>
      </c>
      <c r="AE70" s="377">
        <f t="shared" ca="1" si="34"/>
        <v>14.552350782726517</v>
      </c>
      <c r="AF70" s="344"/>
      <c r="AG70" s="359">
        <f t="shared" ca="1" si="56"/>
        <v>63.155199047891216</v>
      </c>
      <c r="AH70" s="357">
        <f t="shared" ca="1" si="57"/>
        <v>72.776295419082174</v>
      </c>
    </row>
    <row r="71" spans="1:34">
      <c r="A71" s="402">
        <f t="shared" ca="1" si="35"/>
        <v>0.01</v>
      </c>
      <c r="B71" s="357">
        <f t="shared" ca="1" si="36"/>
        <v>0.67000000000000037</v>
      </c>
      <c r="C71" s="342"/>
      <c r="D71" s="359">
        <f t="shared" ca="1" si="37"/>
        <v>14.182877934505939</v>
      </c>
      <c r="E71" s="360">
        <f t="shared" ca="1" si="38"/>
        <v>61.254005412649732</v>
      </c>
      <c r="F71" s="357">
        <f t="shared" ca="1" si="39"/>
        <v>62.874535430474694</v>
      </c>
      <c r="G71" s="359">
        <f t="shared" ca="1" si="40"/>
        <v>8.8939223062979238</v>
      </c>
      <c r="H71" s="360">
        <f t="shared" ca="1" si="41"/>
        <v>44.46533386956316</v>
      </c>
      <c r="I71" s="357">
        <f t="shared" ca="1" si="42"/>
        <v>45.346088807329181</v>
      </c>
      <c r="J71" s="359">
        <f t="shared" ca="1" si="43"/>
        <v>2.8281949659290087</v>
      </c>
      <c r="K71" s="360">
        <f t="shared" ca="1" si="44"/>
        <v>14.993941421151517</v>
      </c>
      <c r="L71" s="357">
        <f t="shared" ca="1" si="29"/>
        <v>15.258340870036603</v>
      </c>
      <c r="M71" s="359">
        <f t="shared" ca="1" si="45"/>
        <v>1.3733822665947859</v>
      </c>
      <c r="N71" s="357">
        <f t="shared" ca="1" si="46"/>
        <v>78.689007533992097</v>
      </c>
      <c r="O71" s="343"/>
      <c r="P71" s="363">
        <f t="shared" ca="1" si="47"/>
        <v>8</v>
      </c>
      <c r="Q71" s="357">
        <f t="shared" ca="1" si="48"/>
        <v>34.561049059689282</v>
      </c>
      <c r="R71" s="359">
        <f t="shared" ca="1" si="49"/>
        <v>1.9895011271375832E-2</v>
      </c>
      <c r="S71" s="360">
        <f t="shared" ca="1" si="50"/>
        <v>0.44717689535785571</v>
      </c>
      <c r="T71" s="357">
        <f t="shared" ca="1" si="30"/>
        <v>4.3868053434605647</v>
      </c>
      <c r="U71" s="364">
        <f t="shared" ca="1" si="31"/>
        <v>0</v>
      </c>
      <c r="V71" s="359">
        <f t="shared" ca="1" si="32"/>
        <v>1.2231646181563016</v>
      </c>
      <c r="W71" s="357">
        <f t="shared" ca="1" si="33"/>
        <v>2.2170900044180968</v>
      </c>
      <c r="X71" s="343"/>
      <c r="Y71" s="367" t="str">
        <f t="shared" ca="1" si="51"/>
        <v/>
      </c>
      <c r="Z71" s="368" t="str">
        <f t="shared" ca="1" si="52"/>
        <v/>
      </c>
      <c r="AA71" s="369" t="str">
        <f t="shared" ca="1" si="53"/>
        <v/>
      </c>
      <c r="AB71" s="344"/>
      <c r="AC71" s="363" t="e">
        <f t="shared" ca="1" si="54"/>
        <v>#N/A</v>
      </c>
      <c r="AD71" s="376" t="e">
        <f t="shared" ca="1" si="55"/>
        <v>#N/A</v>
      </c>
      <c r="AE71" s="377">
        <f t="shared" ca="1" si="34"/>
        <v>14.993941421151517</v>
      </c>
      <c r="AF71" s="344"/>
      <c r="AG71" s="359">
        <f t="shared" ca="1" si="56"/>
        <v>62.845212943338112</v>
      </c>
      <c r="AH71" s="357">
        <f t="shared" ca="1" si="57"/>
        <v>72.465487590950531</v>
      </c>
    </row>
    <row r="72" spans="1:34">
      <c r="A72" s="402">
        <f t="shared" ca="1" si="35"/>
        <v>0.01</v>
      </c>
      <c r="B72" s="357">
        <f t="shared" ca="1" si="36"/>
        <v>0.68000000000000038</v>
      </c>
      <c r="C72" s="342"/>
      <c r="D72" s="359">
        <f t="shared" ca="1" si="37"/>
        <v>14.151693159923129</v>
      </c>
      <c r="E72" s="360">
        <f t="shared" ca="1" si="38"/>
        <v>60.941659335949737</v>
      </c>
      <c r="F72" s="357">
        <f t="shared" ca="1" si="39"/>
        <v>62.563218123043868</v>
      </c>
      <c r="G72" s="359">
        <f t="shared" ca="1" si="40"/>
        <v>9.0354392378971546</v>
      </c>
      <c r="H72" s="360">
        <f t="shared" ca="1" si="41"/>
        <v>45.074750462922658</v>
      </c>
      <c r="I72" s="357">
        <f t="shared" ca="1" si="42"/>
        <v>45.971429078466528</v>
      </c>
      <c r="J72" s="359">
        <f t="shared" ca="1" si="43"/>
        <v>2.9178417736499842</v>
      </c>
      <c r="K72" s="360">
        <f t="shared" ca="1" si="44"/>
        <v>15.441641842813945</v>
      </c>
      <c r="L72" s="357">
        <f t="shared" ca="1" si="29"/>
        <v>15.714900681130612</v>
      </c>
      <c r="M72" s="359">
        <f t="shared" ca="1" si="45"/>
        <v>1.3729637289630061</v>
      </c>
      <c r="N72" s="357">
        <f t="shared" ca="1" si="46"/>
        <v>78.665027094123715</v>
      </c>
      <c r="O72" s="343"/>
      <c r="P72" s="363">
        <f t="shared" ca="1" si="47"/>
        <v>8</v>
      </c>
      <c r="Q72" s="357">
        <f t="shared" ca="1" si="48"/>
        <v>34.467966475878981</v>
      </c>
      <c r="R72" s="359">
        <f t="shared" ca="1" si="49"/>
        <v>1.9841428434498501E-2</v>
      </c>
      <c r="S72" s="360">
        <f t="shared" ca="1" si="50"/>
        <v>0.44697848107351074</v>
      </c>
      <c r="T72" s="357">
        <f t="shared" ca="1" si="30"/>
        <v>4.3848588993311406</v>
      </c>
      <c r="U72" s="364">
        <f t="shared" ca="1" si="31"/>
        <v>0</v>
      </c>
      <c r="V72" s="359">
        <f t="shared" ca="1" si="32"/>
        <v>1.223109858218876</v>
      </c>
      <c r="W72" s="357">
        <f t="shared" ca="1" si="33"/>
        <v>2.2785586994639173</v>
      </c>
      <c r="X72" s="343"/>
      <c r="Y72" s="367" t="str">
        <f t="shared" ca="1" si="51"/>
        <v/>
      </c>
      <c r="Z72" s="368" t="str">
        <f t="shared" ca="1" si="52"/>
        <v/>
      </c>
      <c r="AA72" s="369" t="str">
        <f t="shared" ca="1" si="53"/>
        <v/>
      </c>
      <c r="AB72" s="344"/>
      <c r="AC72" s="363" t="e">
        <f t="shared" ca="1" si="54"/>
        <v>#N/A</v>
      </c>
      <c r="AD72" s="376" t="e">
        <f t="shared" ca="1" si="55"/>
        <v>#N/A</v>
      </c>
      <c r="AE72" s="377">
        <f t="shared" ca="1" si="34"/>
        <v>15.441641842813945</v>
      </c>
      <c r="AF72" s="344"/>
      <c r="AG72" s="359">
        <f t="shared" ca="1" si="56"/>
        <v>62.533624464361523</v>
      </c>
      <c r="AH72" s="357">
        <f t="shared" ca="1" si="57"/>
        <v>72.153085298432657</v>
      </c>
    </row>
    <row r="73" spans="1:34">
      <c r="A73" s="402">
        <f t="shared" ca="1" si="35"/>
        <v>0.01</v>
      </c>
      <c r="B73" s="357">
        <f t="shared" ca="1" si="36"/>
        <v>0.69000000000000039</v>
      </c>
      <c r="C73" s="342"/>
      <c r="D73" s="359">
        <f t="shared" ca="1" si="37"/>
        <v>14.119595888052704</v>
      </c>
      <c r="E73" s="360">
        <f t="shared" ca="1" si="38"/>
        <v>60.627888467213538</v>
      </c>
      <c r="F73" s="357">
        <f t="shared" ca="1" si="39"/>
        <v>62.250332111843385</v>
      </c>
      <c r="G73" s="359">
        <f t="shared" ca="1" si="40"/>
        <v>9.1766351967776814</v>
      </c>
      <c r="H73" s="360">
        <f t="shared" ca="1" si="41"/>
        <v>45.681029347594794</v>
      </c>
      <c r="I73" s="357">
        <f t="shared" ca="1" si="42"/>
        <v>46.593637717939089</v>
      </c>
      <c r="J73" s="359">
        <f t="shared" ca="1" si="43"/>
        <v>3.0089021458233582</v>
      </c>
      <c r="K73" s="360">
        <f t="shared" ca="1" si="44"/>
        <v>15.895420741866532</v>
      </c>
      <c r="L73" s="357">
        <f t="shared" ca="1" si="29"/>
        <v>16.177697385107102</v>
      </c>
      <c r="M73" s="359">
        <f t="shared" ca="1" si="45"/>
        <v>1.372549916404767</v>
      </c>
      <c r="N73" s="357">
        <f t="shared" ca="1" si="46"/>
        <v>78.641317381027108</v>
      </c>
      <c r="O73" s="343"/>
      <c r="P73" s="363">
        <f t="shared" ca="1" si="47"/>
        <v>8</v>
      </c>
      <c r="Q73" s="357">
        <f t="shared" ca="1" si="48"/>
        <v>34.374883892068681</v>
      </c>
      <c r="R73" s="359">
        <f t="shared" ca="1" si="49"/>
        <v>1.9787845597621173E-2</v>
      </c>
      <c r="S73" s="360">
        <f t="shared" ca="1" si="50"/>
        <v>0.44678060261753455</v>
      </c>
      <c r="T73" s="357">
        <f t="shared" ca="1" si="30"/>
        <v>4.3829177116780142</v>
      </c>
      <c r="U73" s="364">
        <f t="shared" ca="1" si="31"/>
        <v>0</v>
      </c>
      <c r="V73" s="359">
        <f t="shared" ca="1" si="32"/>
        <v>1.223054357299588</v>
      </c>
      <c r="W73" s="357">
        <f t="shared" ca="1" si="33"/>
        <v>2.3405490229470658</v>
      </c>
      <c r="X73" s="343"/>
      <c r="Y73" s="367" t="str">
        <f t="shared" ca="1" si="51"/>
        <v/>
      </c>
      <c r="Z73" s="368" t="str">
        <f t="shared" ca="1" si="52"/>
        <v/>
      </c>
      <c r="AA73" s="369" t="str">
        <f t="shared" ca="1" si="53"/>
        <v/>
      </c>
      <c r="AB73" s="344"/>
      <c r="AC73" s="363" t="e">
        <f t="shared" ca="1" si="54"/>
        <v>#N/A</v>
      </c>
      <c r="AD73" s="376" t="e">
        <f t="shared" ca="1" si="55"/>
        <v>#N/A</v>
      </c>
      <c r="AE73" s="377">
        <f t="shared" ca="1" si="34"/>
        <v>15.895420741866532</v>
      </c>
      <c r="AF73" s="344"/>
      <c r="AG73" s="359">
        <f t="shared" ca="1" si="56"/>
        <v>62.22046501059377</v>
      </c>
      <c r="AH73" s="357">
        <f t="shared" ca="1" si="57"/>
        <v>71.839119703414582</v>
      </c>
    </row>
    <row r="74" spans="1:34">
      <c r="A74" s="402">
        <f t="shared" ca="1" si="35"/>
        <v>0.01</v>
      </c>
      <c r="B74" s="357">
        <f t="shared" ca="1" si="36"/>
        <v>0.7000000000000004</v>
      </c>
      <c r="C74" s="342"/>
      <c r="D74" s="359">
        <f t="shared" ca="1" si="37"/>
        <v>14.086605367630234</v>
      </c>
      <c r="E74" s="360">
        <f t="shared" ca="1" si="38"/>
        <v>60.312721390587797</v>
      </c>
      <c r="F74" s="357">
        <f t="shared" ca="1" si="39"/>
        <v>61.935908908500046</v>
      </c>
      <c r="G74" s="359">
        <f t="shared" ca="1" si="40"/>
        <v>9.3175012504539829</v>
      </c>
      <c r="H74" s="360">
        <f t="shared" ca="1" si="41"/>
        <v>46.284156561500673</v>
      </c>
      <c r="I74" s="357">
        <f t="shared" ca="1" si="42"/>
        <v>47.212699331448071</v>
      </c>
      <c r="J74" s="359">
        <f t="shared" ca="1" si="43"/>
        <v>3.1013728280595165</v>
      </c>
      <c r="K74" s="360">
        <f t="shared" ca="1" si="44"/>
        <v>16.355246671412008</v>
      </c>
      <c r="L74" s="357">
        <f t="shared" ca="1" si="29"/>
        <v>16.646699585844619</v>
      </c>
      <c r="M74" s="359">
        <f t="shared" ca="1" si="45"/>
        <v>1.372140686806939</v>
      </c>
      <c r="N74" s="357">
        <f t="shared" ca="1" si="46"/>
        <v>78.617870252219731</v>
      </c>
      <c r="O74" s="343"/>
      <c r="P74" s="363">
        <f t="shared" ca="1" si="47"/>
        <v>8</v>
      </c>
      <c r="Q74" s="357">
        <f t="shared" ca="1" si="48"/>
        <v>34.281801308258373</v>
      </c>
      <c r="R74" s="359">
        <f t="shared" ca="1" si="49"/>
        <v>1.9734262760743838E-2</v>
      </c>
      <c r="S74" s="360">
        <f t="shared" ca="1" si="50"/>
        <v>0.44658325998992709</v>
      </c>
      <c r="T74" s="357">
        <f t="shared" ca="1" si="30"/>
        <v>4.3809817805011848</v>
      </c>
      <c r="U74" s="364">
        <f t="shared" ca="1" si="31"/>
        <v>0</v>
      </c>
      <c r="V74" s="359">
        <f t="shared" ca="1" si="32"/>
        <v>1.2229981193453476</v>
      </c>
      <c r="W74" s="357">
        <f t="shared" ca="1" si="33"/>
        <v>2.4030466268921362</v>
      </c>
      <c r="X74" s="343"/>
      <c r="Y74" s="367" t="str">
        <f t="shared" ca="1" si="51"/>
        <v/>
      </c>
      <c r="Z74" s="368" t="str">
        <f t="shared" ca="1" si="52"/>
        <v/>
      </c>
      <c r="AA74" s="369" t="str">
        <f t="shared" ca="1" si="53"/>
        <v/>
      </c>
      <c r="AB74" s="344"/>
      <c r="AC74" s="363" t="e">
        <f t="shared" ca="1" si="54"/>
        <v>#N/A</v>
      </c>
      <c r="AD74" s="376" t="e">
        <f t="shared" ca="1" si="55"/>
        <v>#N/A</v>
      </c>
      <c r="AE74" s="377">
        <f t="shared" ca="1" si="34"/>
        <v>16.355246671412008</v>
      </c>
      <c r="AF74" s="344"/>
      <c r="AG74" s="359">
        <f t="shared" ca="1" si="56"/>
        <v>61.905766018048631</v>
      </c>
      <c r="AH74" s="357">
        <f t="shared" ca="1" si="57"/>
        <v>71.523622014026586</v>
      </c>
    </row>
    <row r="75" spans="1:34">
      <c r="A75" s="402">
        <f t="shared" ca="1" si="35"/>
        <v>0.01</v>
      </c>
      <c r="B75" s="357">
        <f t="shared" ca="1" si="36"/>
        <v>0.71000000000000041</v>
      </c>
      <c r="C75" s="342"/>
      <c r="D75" s="359">
        <f t="shared" ca="1" si="37"/>
        <v>14.0527403152537</v>
      </c>
      <c r="E75" s="360">
        <f t="shared" ca="1" si="38"/>
        <v>59.996186807608311</v>
      </c>
      <c r="F75" s="357">
        <f t="shared" ca="1" si="39"/>
        <v>61.619980053724376</v>
      </c>
      <c r="G75" s="359">
        <f t="shared" ca="1" si="40"/>
        <v>9.4580286536065206</v>
      </c>
      <c r="H75" s="360">
        <f t="shared" ca="1" si="41"/>
        <v>46.884118429576759</v>
      </c>
      <c r="I75" s="357">
        <f t="shared" ca="1" si="42"/>
        <v>47.828598839303467</v>
      </c>
      <c r="J75" s="359">
        <f t="shared" ca="1" si="43"/>
        <v>3.1952504775798189</v>
      </c>
      <c r="K75" s="360">
        <f t="shared" ca="1" si="44"/>
        <v>16.821088046367397</v>
      </c>
      <c r="L75" s="357">
        <f t="shared" ca="1" si="29"/>
        <v>17.121875734805407</v>
      </c>
      <c r="M75" s="359">
        <f t="shared" ca="1" si="45"/>
        <v>1.3717359040636949</v>
      </c>
      <c r="N75" s="357">
        <f t="shared" ca="1" si="46"/>
        <v>78.594677909412113</v>
      </c>
      <c r="O75" s="343"/>
      <c r="P75" s="363">
        <f t="shared" ca="1" si="47"/>
        <v>8</v>
      </c>
      <c r="Q75" s="357">
        <f t="shared" ca="1" si="48"/>
        <v>34.188718724448073</v>
      </c>
      <c r="R75" s="359">
        <f t="shared" ca="1" si="49"/>
        <v>1.9680679923866511E-2</v>
      </c>
      <c r="S75" s="360">
        <f t="shared" ca="1" si="50"/>
        <v>0.44638645319068843</v>
      </c>
      <c r="T75" s="357">
        <f t="shared" ca="1" si="30"/>
        <v>4.379051105800654</v>
      </c>
      <c r="U75" s="364">
        <f t="shared" ca="1" si="31"/>
        <v>0</v>
      </c>
      <c r="V75" s="359">
        <f t="shared" ca="1" si="32"/>
        <v>1.222941148320589</v>
      </c>
      <c r="W75" s="357">
        <f t="shared" ca="1" si="33"/>
        <v>2.466037178997857</v>
      </c>
      <c r="X75" s="343"/>
      <c r="Y75" s="367" t="str">
        <f t="shared" ca="1" si="51"/>
        <v/>
      </c>
      <c r="Z75" s="368" t="str">
        <f t="shared" ca="1" si="52"/>
        <v/>
      </c>
      <c r="AA75" s="369" t="str">
        <f t="shared" ca="1" si="53"/>
        <v/>
      </c>
      <c r="AB75" s="344"/>
      <c r="AC75" s="363" t="e">
        <f t="shared" ca="1" si="54"/>
        <v>#N/A</v>
      </c>
      <c r="AD75" s="376" t="e">
        <f t="shared" ca="1" si="55"/>
        <v>#N/A</v>
      </c>
      <c r="AE75" s="377">
        <f t="shared" ca="1" si="34"/>
        <v>16.821088046367397</v>
      </c>
      <c r="AF75" s="344"/>
      <c r="AG75" s="359">
        <f t="shared" ca="1" si="56"/>
        <v>61.589558951974453</v>
      </c>
      <c r="AH75" s="357">
        <f t="shared" ca="1" si="57"/>
        <v>71.20662347693974</v>
      </c>
    </row>
    <row r="76" spans="1:34">
      <c r="A76" s="402">
        <f t="shared" ca="1" si="35"/>
        <v>0.01</v>
      </c>
      <c r="B76" s="357">
        <f t="shared" ca="1" si="36"/>
        <v>0.72000000000000042</v>
      </c>
      <c r="C76" s="342"/>
      <c r="D76" s="359">
        <f t="shared" ca="1" si="37"/>
        <v>14.018018945959957</v>
      </c>
      <c r="E76" s="360">
        <f t="shared" ca="1" si="38"/>
        <v>59.678313525020528</v>
      </c>
      <c r="F76" s="357">
        <f t="shared" ca="1" si="39"/>
        <v>61.302577110264622</v>
      </c>
      <c r="G76" s="359">
        <f t="shared" ca="1" si="40"/>
        <v>9.5982088430661197</v>
      </c>
      <c r="H76" s="360">
        <f t="shared" ca="1" si="41"/>
        <v>47.480901564826965</v>
      </c>
      <c r="I76" s="357">
        <f t="shared" ca="1" si="42"/>
        <v>48.441321476647396</v>
      </c>
      <c r="J76" s="359">
        <f t="shared" ca="1" si="43"/>
        <v>3.290531665063182</v>
      </c>
      <c r="K76" s="360">
        <f t="shared" ca="1" si="44"/>
        <v>17.292913146339416</v>
      </c>
      <c r="L76" s="357">
        <f t="shared" ca="1" si="29"/>
        <v>17.603194134179798</v>
      </c>
      <c r="M76" s="359">
        <f t="shared" ca="1" si="45"/>
        <v>1.3713354377371654</v>
      </c>
      <c r="N76" s="357">
        <f t="shared" ca="1" si="46"/>
        <v>78.571732879064854</v>
      </c>
      <c r="O76" s="343"/>
      <c r="P76" s="363">
        <f t="shared" ca="1" si="47"/>
        <v>8</v>
      </c>
      <c r="Q76" s="357">
        <f t="shared" ca="1" si="48"/>
        <v>34.095636140637772</v>
      </c>
      <c r="R76" s="359">
        <f t="shared" ca="1" si="49"/>
        <v>1.9627097086989179E-2</v>
      </c>
      <c r="S76" s="360">
        <f t="shared" ca="1" si="50"/>
        <v>0.44619018221981854</v>
      </c>
      <c r="T76" s="357">
        <f t="shared" ca="1" si="30"/>
        <v>4.3771256875764202</v>
      </c>
      <c r="U76" s="364">
        <f t="shared" ca="1" si="31"/>
        <v>0</v>
      </c>
      <c r="V76" s="359">
        <f t="shared" ca="1" si="32"/>
        <v>1.22288344820689</v>
      </c>
      <c r="W76" s="357">
        <f t="shared" ca="1" si="33"/>
        <v>2.5295063658873915</v>
      </c>
      <c r="X76" s="343"/>
      <c r="Y76" s="367" t="str">
        <f t="shared" ca="1" si="51"/>
        <v/>
      </c>
      <c r="Z76" s="368" t="str">
        <f t="shared" ca="1" si="52"/>
        <v/>
      </c>
      <c r="AA76" s="369" t="str">
        <f t="shared" ca="1" si="53"/>
        <v/>
      </c>
      <c r="AB76" s="344"/>
      <c r="AC76" s="363" t="e">
        <f t="shared" ca="1" si="54"/>
        <v>#N/A</v>
      </c>
      <c r="AD76" s="376" t="e">
        <f t="shared" ca="1" si="55"/>
        <v>#N/A</v>
      </c>
      <c r="AE76" s="377">
        <f t="shared" ca="1" si="34"/>
        <v>17.292913146339416</v>
      </c>
      <c r="AF76" s="344"/>
      <c r="AG76" s="359">
        <f t="shared" ca="1" si="56"/>
        <v>61.271875299720605</v>
      </c>
      <c r="AH76" s="357">
        <f t="shared" ca="1" si="57"/>
        <v>70.888155369714937</v>
      </c>
    </row>
    <row r="77" spans="1:34">
      <c r="A77" s="402">
        <f t="shared" ca="1" si="35"/>
        <v>0.01</v>
      </c>
      <c r="B77" s="357">
        <f t="shared" ca="1" si="36"/>
        <v>0.73000000000000043</v>
      </c>
      <c r="C77" s="342"/>
      <c r="D77" s="359">
        <f t="shared" ca="1" si="37"/>
        <v>13.982459001512238</v>
      </c>
      <c r="E77" s="360">
        <f t="shared" ca="1" si="38"/>
        <v>59.359130442982803</v>
      </c>
      <c r="F77" s="357">
        <f t="shared" ca="1" si="39"/>
        <v>60.98373165587703</v>
      </c>
      <c r="G77" s="359">
        <f t="shared" ca="1" si="40"/>
        <v>9.7380334330812417</v>
      </c>
      <c r="H77" s="360">
        <f t="shared" ca="1" si="41"/>
        <v>48.074492869256794</v>
      </c>
      <c r="I77" s="357">
        <f t="shared" ca="1" si="42"/>
        <v>49.050852793606253</v>
      </c>
      <c r="J77" s="359">
        <f t="shared" ca="1" si="43"/>
        <v>3.3872128764439187</v>
      </c>
      <c r="K77" s="360">
        <f t="shared" ca="1" si="44"/>
        <v>17.770690118509833</v>
      </c>
      <c r="L77" s="357">
        <f t="shared" ca="1" si="29"/>
        <v>18.090622940033064</v>
      </c>
      <c r="M77" s="359">
        <f t="shared" ca="1" si="45"/>
        <v>1.3709391627418468</v>
      </c>
      <c r="N77" s="357">
        <f t="shared" ca="1" si="46"/>
        <v>78.549027994306542</v>
      </c>
      <c r="O77" s="343"/>
      <c r="P77" s="363">
        <f t="shared" ca="1" si="47"/>
        <v>8</v>
      </c>
      <c r="Q77" s="357">
        <f t="shared" ca="1" si="48"/>
        <v>34.002553556827465</v>
      </c>
      <c r="R77" s="359">
        <f t="shared" ca="1" si="49"/>
        <v>1.9573514250111845E-2</v>
      </c>
      <c r="S77" s="360">
        <f t="shared" ca="1" si="50"/>
        <v>0.44599444707731745</v>
      </c>
      <c r="T77" s="357">
        <f t="shared" ca="1" si="30"/>
        <v>4.3752055258284841</v>
      </c>
      <c r="U77" s="364">
        <f t="shared" ca="1" si="31"/>
        <v>0</v>
      </c>
      <c r="V77" s="359">
        <f t="shared" ca="1" si="32"/>
        <v>1.2228250230025945</v>
      </c>
      <c r="W77" s="357">
        <f t="shared" ca="1" si="33"/>
        <v>2.5934398963235372</v>
      </c>
      <c r="X77" s="343"/>
      <c r="Y77" s="367" t="str">
        <f t="shared" ca="1" si="51"/>
        <v/>
      </c>
      <c r="Z77" s="368" t="str">
        <f t="shared" ca="1" si="52"/>
        <v/>
      </c>
      <c r="AA77" s="369" t="str">
        <f t="shared" ca="1" si="53"/>
        <v/>
      </c>
      <c r="AB77" s="344"/>
      <c r="AC77" s="363" t="e">
        <f t="shared" ca="1" si="54"/>
        <v>#N/A</v>
      </c>
      <c r="AD77" s="376" t="e">
        <f t="shared" ca="1" si="55"/>
        <v>#N/A</v>
      </c>
      <c r="AE77" s="377">
        <f t="shared" ca="1" si="34"/>
        <v>17.770690118509833</v>
      </c>
      <c r="AF77" s="344"/>
      <c r="AG77" s="359">
        <f t="shared" ca="1" si="56"/>
        <v>60.952746563623769</v>
      </c>
      <c r="AH77" s="357">
        <f t="shared" ca="1" si="57"/>
        <v>70.568248993207561</v>
      </c>
    </row>
    <row r="78" spans="1:34">
      <c r="A78" s="402">
        <f t="shared" ca="1" si="35"/>
        <v>0.01</v>
      </c>
      <c r="B78" s="357">
        <f t="shared" ca="1" si="36"/>
        <v>0.74000000000000044</v>
      </c>
      <c r="C78" s="342"/>
      <c r="D78" s="359">
        <f t="shared" ca="1" si="37"/>
        <v>13.946077776592757</v>
      </c>
      <c r="E78" s="360">
        <f t="shared" ca="1" si="38"/>
        <v>59.038666543627812</v>
      </c>
      <c r="F78" s="357">
        <f t="shared" ca="1" si="39"/>
        <v>60.66347527631806</v>
      </c>
      <c r="G78" s="359">
        <f t="shared" ca="1" si="40"/>
        <v>9.8774942108471695</v>
      </c>
      <c r="H78" s="360">
        <f t="shared" ca="1" si="41"/>
        <v>48.664879534693071</v>
      </c>
      <c r="I78" s="357">
        <f t="shared" ca="1" si="42"/>
        <v>49.657178655371752</v>
      </c>
      <c r="J78" s="359">
        <f t="shared" ca="1" si="43"/>
        <v>3.4852905146635607</v>
      </c>
      <c r="K78" s="360">
        <f t="shared" ca="1" si="44"/>
        <v>18.254386980529581</v>
      </c>
      <c r="L78" s="357">
        <f t="shared" ca="1" si="29"/>
        <v>18.58413016545385</v>
      </c>
      <c r="M78" s="359">
        <f t="shared" ca="1" si="45"/>
        <v>1.3705469590507846</v>
      </c>
      <c r="N78" s="357">
        <f t="shared" ca="1" si="46"/>
        <v>78.526556378099215</v>
      </c>
      <c r="O78" s="343"/>
      <c r="P78" s="363">
        <f t="shared" ca="1" si="47"/>
        <v>8</v>
      </c>
      <c r="Q78" s="357">
        <f t="shared" ca="1" si="48"/>
        <v>33.909470973017164</v>
      </c>
      <c r="R78" s="359">
        <f t="shared" ca="1" si="49"/>
        <v>1.9519931413234517E-2</v>
      </c>
      <c r="S78" s="360">
        <f t="shared" ca="1" si="50"/>
        <v>0.44579924776318508</v>
      </c>
      <c r="T78" s="357">
        <f t="shared" ca="1" si="30"/>
        <v>4.3732906205568458</v>
      </c>
      <c r="U78" s="364">
        <f t="shared" ca="1" si="31"/>
        <v>0</v>
      </c>
      <c r="V78" s="359">
        <f t="shared" ca="1" si="32"/>
        <v>1.2227658767224288</v>
      </c>
      <c r="W78" s="357">
        <f t="shared" ca="1" si="33"/>
        <v>2.6578235043877627</v>
      </c>
      <c r="X78" s="343"/>
      <c r="Y78" s="367" t="str">
        <f t="shared" ca="1" si="51"/>
        <v/>
      </c>
      <c r="Z78" s="368" t="str">
        <f t="shared" ca="1" si="52"/>
        <v/>
      </c>
      <c r="AA78" s="369" t="str">
        <f t="shared" ca="1" si="53"/>
        <v/>
      </c>
      <c r="AB78" s="344"/>
      <c r="AC78" s="363" t="e">
        <f t="shared" ca="1" si="54"/>
        <v>#N/A</v>
      </c>
      <c r="AD78" s="376" t="e">
        <f t="shared" ca="1" si="55"/>
        <v>#N/A</v>
      </c>
      <c r="AE78" s="377">
        <f t="shared" ca="1" si="34"/>
        <v>18.254386980529581</v>
      </c>
      <c r="AF78" s="344"/>
      <c r="AG78" s="359">
        <f t="shared" ca="1" si="56"/>
        <v>60.632204253919589</v>
      </c>
      <c r="AH78" s="357">
        <f t="shared" ca="1" si="57"/>
        <v>70.246935664030431</v>
      </c>
    </row>
    <row r="79" spans="1:34">
      <c r="A79" s="402">
        <f t="shared" ca="1" si="35"/>
        <v>0.01</v>
      </c>
      <c r="B79" s="357">
        <f t="shared" ca="1" si="36"/>
        <v>0.75000000000000044</v>
      </c>
      <c r="C79" s="342"/>
      <c r="D79" s="359">
        <f t="shared" ca="1" si="37"/>
        <v>13.908892143075704</v>
      </c>
      <c r="E79" s="360">
        <f t="shared" ca="1" si="38"/>
        <v>58.716950879960464</v>
      </c>
      <c r="F79" s="357">
        <f t="shared" ca="1" si="39"/>
        <v>60.341839558364498</v>
      </c>
      <c r="G79" s="359">
        <f t="shared" ca="1" si="40"/>
        <v>10.016583132277926</v>
      </c>
      <c r="H79" s="360">
        <f t="shared" ca="1" si="41"/>
        <v>49.252049043492676</v>
      </c>
      <c r="I79" s="357">
        <f t="shared" ca="1" si="42"/>
        <v>50.260285242211296</v>
      </c>
      <c r="J79" s="359">
        <f t="shared" ca="1" si="43"/>
        <v>3.5847609013791861</v>
      </c>
      <c r="K79" s="360">
        <f t="shared" ca="1" si="44"/>
        <v>18.74397162342051</v>
      </c>
      <c r="L79" s="357">
        <f t="shared" ca="1" si="29"/>
        <v>19.083683683703473</v>
      </c>
      <c r="M79" s="359">
        <f t="shared" ca="1" si="45"/>
        <v>1.3701587114217502</v>
      </c>
      <c r="N79" s="357">
        <f t="shared" ca="1" si="46"/>
        <v>78.504311427549581</v>
      </c>
      <c r="O79" s="343"/>
      <c r="P79" s="363">
        <f t="shared" ca="1" si="47"/>
        <v>8</v>
      </c>
      <c r="Q79" s="357">
        <f t="shared" ca="1" si="48"/>
        <v>33.816388389206864</v>
      </c>
      <c r="R79" s="359">
        <f t="shared" ca="1" si="49"/>
        <v>1.9466348576357189E-2</v>
      </c>
      <c r="S79" s="360">
        <f t="shared" ca="1" si="50"/>
        <v>0.4456045842774215</v>
      </c>
      <c r="T79" s="357">
        <f t="shared" ca="1" si="30"/>
        <v>4.3713809717615053</v>
      </c>
      <c r="U79" s="364">
        <f t="shared" ca="1" si="31"/>
        <v>0</v>
      </c>
      <c r="V79" s="359">
        <f t="shared" ca="1" si="32"/>
        <v>1.2227060133971204</v>
      </c>
      <c r="W79" s="357">
        <f t="shared" ca="1" si="33"/>
        <v>2.7226429526220879</v>
      </c>
      <c r="X79" s="343"/>
      <c r="Y79" s="367" t="str">
        <f t="shared" ca="1" si="51"/>
        <v/>
      </c>
      <c r="Z79" s="368" t="str">
        <f t="shared" ca="1" si="52"/>
        <v/>
      </c>
      <c r="AA79" s="369" t="str">
        <f t="shared" ca="1" si="53"/>
        <v/>
      </c>
      <c r="AB79" s="344"/>
      <c r="AC79" s="363" t="e">
        <f t="shared" ca="1" si="54"/>
        <v>#N/A</v>
      </c>
      <c r="AD79" s="376" t="e">
        <f t="shared" ca="1" si="55"/>
        <v>#N/A</v>
      </c>
      <c r="AE79" s="377">
        <f t="shared" ca="1" si="34"/>
        <v>18.74397162342051</v>
      </c>
      <c r="AF79" s="344"/>
      <c r="AG79" s="359">
        <f t="shared" ca="1" si="56"/>
        <v>60.310279881684799</v>
      </c>
      <c r="AH79" s="357">
        <f t="shared" ca="1" si="57"/>
        <v>69.92424670707743</v>
      </c>
    </row>
    <row r="80" spans="1:34">
      <c r="A80" s="402">
        <f t="shared" ca="1" si="35"/>
        <v>0.01</v>
      </c>
      <c r="B80" s="357">
        <f t="shared" ca="1" si="36"/>
        <v>0.76000000000000045</v>
      </c>
      <c r="C80" s="342"/>
      <c r="D80" s="359">
        <f t="shared" ca="1" si="37"/>
        <v>13.870918572538924</v>
      </c>
      <c r="E80" s="360">
        <f t="shared" ca="1" si="38"/>
        <v>58.394012565072842</v>
      </c>
      <c r="F80" s="357">
        <f t="shared" ca="1" si="39"/>
        <v>60.018856082866911</v>
      </c>
      <c r="G80" s="359">
        <f t="shared" ca="1" si="40"/>
        <v>10.155292318003315</v>
      </c>
      <c r="H80" s="360">
        <f t="shared" ca="1" si="41"/>
        <v>49.835989169143403</v>
      </c>
      <c r="I80" s="357">
        <f t="shared" ca="1" si="42"/>
        <v>50.860159049407969</v>
      </c>
      <c r="J80" s="359">
        <f t="shared" ca="1" si="43"/>
        <v>3.6856202786305925</v>
      </c>
      <c r="K80" s="360">
        <f t="shared" ca="1" si="44"/>
        <v>19.239411814483692</v>
      </c>
      <c r="L80" s="357">
        <f t="shared" ca="1" si="29"/>
        <v>19.589251231365321</v>
      </c>
      <c r="M80" s="359">
        <f t="shared" ca="1" si="45"/>
        <v>1.3697743091417893</v>
      </c>
      <c r="N80" s="357">
        <f t="shared" ca="1" si="46"/>
        <v>78.482286799272629</v>
      </c>
      <c r="O80" s="343"/>
      <c r="P80" s="363">
        <f t="shared" ca="1" si="47"/>
        <v>8</v>
      </c>
      <c r="Q80" s="357">
        <f t="shared" ca="1" si="48"/>
        <v>33.723305805396564</v>
      </c>
      <c r="R80" s="359">
        <f t="shared" ca="1" si="49"/>
        <v>1.9412765739479858E-2</v>
      </c>
      <c r="S80" s="360">
        <f t="shared" ca="1" si="50"/>
        <v>0.44541045662002671</v>
      </c>
      <c r="T80" s="357">
        <f t="shared" ca="1" si="30"/>
        <v>4.3694765794424626</v>
      </c>
      <c r="U80" s="364">
        <f t="shared" ca="1" si="31"/>
        <v>0</v>
      </c>
      <c r="V80" s="359">
        <f t="shared" ca="1" si="32"/>
        <v>1.2226454370730155</v>
      </c>
      <c r="W80" s="357">
        <f t="shared" ca="1" si="33"/>
        <v>2.787884035132818</v>
      </c>
      <c r="X80" s="343"/>
      <c r="Y80" s="367" t="str">
        <f t="shared" ca="1" si="51"/>
        <v/>
      </c>
      <c r="Z80" s="368" t="str">
        <f t="shared" ca="1" si="52"/>
        <v/>
      </c>
      <c r="AA80" s="369" t="str">
        <f t="shared" ca="1" si="53"/>
        <v/>
      </c>
      <c r="AB80" s="344"/>
      <c r="AC80" s="363" t="e">
        <f t="shared" ca="1" si="54"/>
        <v>#N/A</v>
      </c>
      <c r="AD80" s="376" t="e">
        <f t="shared" ca="1" si="55"/>
        <v>#N/A</v>
      </c>
      <c r="AE80" s="377">
        <f t="shared" ca="1" si="34"/>
        <v>19.239411814483692</v>
      </c>
      <c r="AF80" s="344"/>
      <c r="AG80" s="359">
        <f t="shared" ca="1" si="56"/>
        <v>59.987004951815521</v>
      </c>
      <c r="AH80" s="357">
        <f t="shared" ca="1" si="57"/>
        <v>69.600213448111063</v>
      </c>
    </row>
    <row r="81" spans="1:34">
      <c r="A81" s="402">
        <f t="shared" ca="1" si="35"/>
        <v>0.01</v>
      </c>
      <c r="B81" s="357">
        <f t="shared" ca="1" si="36"/>
        <v>0.77000000000000046</v>
      </c>
      <c r="C81" s="342"/>
      <c r="D81" s="359">
        <f t="shared" ca="1" si="37"/>
        <v>13.832173157158165</v>
      </c>
      <c r="E81" s="360">
        <f t="shared" ca="1" si="38"/>
        <v>58.069880761658396</v>
      </c>
      <c r="F81" s="357">
        <f t="shared" ca="1" si="39"/>
        <v>59.694556417841234</v>
      </c>
      <c r="G81" s="359">
        <f t="shared" ca="1" si="40"/>
        <v>10.293614049574897</v>
      </c>
      <c r="H81" s="360">
        <f t="shared" ca="1" si="41"/>
        <v>50.416687976759988</v>
      </c>
      <c r="I81" s="357">
        <f t="shared" ca="1" si="42"/>
        <v>51.456786887130654</v>
      </c>
      <c r="J81" s="359">
        <f t="shared" ca="1" si="43"/>
        <v>3.7878648104684833</v>
      </c>
      <c r="K81" s="360">
        <f t="shared" ca="1" si="44"/>
        <v>19.740675200213207</v>
      </c>
      <c r="L81" s="357">
        <f t="shared" ca="1" si="29"/>
        <v>20.100800411493523</v>
      </c>
      <c r="M81" s="359">
        <f t="shared" ca="1" si="45"/>
        <v>1.3693936457886815</v>
      </c>
      <c r="N81" s="357">
        <f t="shared" ca="1" si="46"/>
        <v>78.460476395724243</v>
      </c>
      <c r="O81" s="343"/>
      <c r="P81" s="363">
        <f t="shared" ca="1" si="47"/>
        <v>8</v>
      </c>
      <c r="Q81" s="357">
        <f t="shared" ca="1" si="48"/>
        <v>33.630223221586256</v>
      </c>
      <c r="R81" s="359">
        <f t="shared" ca="1" si="49"/>
        <v>1.9359182902602523E-2</v>
      </c>
      <c r="S81" s="360">
        <f t="shared" ca="1" si="50"/>
        <v>0.4452168647910007</v>
      </c>
      <c r="T81" s="357">
        <f t="shared" ca="1" si="30"/>
        <v>4.3675774435997168</v>
      </c>
      <c r="U81" s="364">
        <f t="shared" ca="1" si="31"/>
        <v>0</v>
      </c>
      <c r="V81" s="359">
        <f t="shared" ca="1" si="32"/>
        <v>1.2225841518116949</v>
      </c>
      <c r="W81" s="357">
        <f t="shared" ca="1" si="33"/>
        <v>2.8535325806551879</v>
      </c>
      <c r="X81" s="343"/>
      <c r="Y81" s="367" t="str">
        <f t="shared" ca="1" si="51"/>
        <v/>
      </c>
      <c r="Z81" s="368" t="str">
        <f t="shared" ca="1" si="52"/>
        <v/>
      </c>
      <c r="AA81" s="369" t="str">
        <f t="shared" ca="1" si="53"/>
        <v/>
      </c>
      <c r="AB81" s="344"/>
      <c r="AC81" s="363" t="e">
        <f t="shared" ca="1" si="54"/>
        <v>#N/A</v>
      </c>
      <c r="AD81" s="376" t="e">
        <f t="shared" ca="1" si="55"/>
        <v>#N/A</v>
      </c>
      <c r="AE81" s="377">
        <f t="shared" ca="1" si="34"/>
        <v>19.740675200213207</v>
      </c>
      <c r="AF81" s="344"/>
      <c r="AG81" s="359">
        <f t="shared" ca="1" si="56"/>
        <v>59.662410956045932</v>
      </c>
      <c r="AH81" s="357">
        <f t="shared" ca="1" si="57"/>
        <v>69.27486720641599</v>
      </c>
    </row>
    <row r="82" spans="1:34">
      <c r="A82" s="402">
        <f t="shared" ca="1" si="35"/>
        <v>0.01</v>
      </c>
      <c r="B82" s="357">
        <f t="shared" ca="1" si="36"/>
        <v>0.78000000000000047</v>
      </c>
      <c r="C82" s="342"/>
      <c r="D82" s="359">
        <f t="shared" ca="1" si="37"/>
        <v>13.792671629113807</v>
      </c>
      <c r="E82" s="360">
        <f t="shared" ca="1" si="38"/>
        <v>57.744584671810017</v>
      </c>
      <c r="F82" s="357">
        <f t="shared" ca="1" si="39"/>
        <v>59.368972111603867</v>
      </c>
      <c r="G82" s="359">
        <f t="shared" ca="1" si="40"/>
        <v>10.431540765866036</v>
      </c>
      <c r="H82" s="360">
        <f t="shared" ca="1" si="41"/>
        <v>50.994133823478087</v>
      </c>
      <c r="I82" s="357">
        <f t="shared" ca="1" si="42"/>
        <v>52.050155880234563</v>
      </c>
      <c r="J82" s="359">
        <f t="shared" ca="1" si="43"/>
        <v>3.891490584545688</v>
      </c>
      <c r="K82" s="360">
        <f t="shared" ca="1" si="44"/>
        <v>20.247729309214396</v>
      </c>
      <c r="L82" s="357">
        <f t="shared" ca="1" si="29"/>
        <v>20.618298696760299</v>
      </c>
      <c r="M82" s="359">
        <f t="shared" ca="1" si="45"/>
        <v>1.3690166190079769</v>
      </c>
      <c r="N82" s="357">
        <f t="shared" ca="1" si="46"/>
        <v>78.438874352426467</v>
      </c>
      <c r="O82" s="343"/>
      <c r="P82" s="363">
        <f t="shared" ca="1" si="47"/>
        <v>8</v>
      </c>
      <c r="Q82" s="357">
        <f t="shared" ca="1" si="48"/>
        <v>33.537140637775956</v>
      </c>
      <c r="R82" s="359">
        <f t="shared" ca="1" si="49"/>
        <v>1.9305600065725195E-2</v>
      </c>
      <c r="S82" s="360">
        <f t="shared" ca="1" si="50"/>
        <v>0.44502380879034342</v>
      </c>
      <c r="T82" s="357">
        <f t="shared" ca="1" si="30"/>
        <v>4.3656835642332688</v>
      </c>
      <c r="U82" s="364">
        <f t="shared" ca="1" si="31"/>
        <v>0</v>
      </c>
      <c r="V82" s="359">
        <f t="shared" ca="1" si="32"/>
        <v>1.22252216168959</v>
      </c>
      <c r="W82" s="357">
        <f t="shared" ca="1" si="33"/>
        <v>2.9195744555779881</v>
      </c>
      <c r="X82" s="343"/>
      <c r="Y82" s="367" t="str">
        <f t="shared" ca="1" si="51"/>
        <v/>
      </c>
      <c r="Z82" s="368" t="str">
        <f t="shared" ca="1" si="52"/>
        <v/>
      </c>
      <c r="AA82" s="369" t="str">
        <f t="shared" ca="1" si="53"/>
        <v/>
      </c>
      <c r="AB82" s="344"/>
      <c r="AC82" s="363" t="e">
        <f t="shared" ca="1" si="54"/>
        <v>#N/A</v>
      </c>
      <c r="AD82" s="376" t="e">
        <f t="shared" ca="1" si="55"/>
        <v>#N/A</v>
      </c>
      <c r="AE82" s="377">
        <f t="shared" ca="1" si="34"/>
        <v>20.247729309214396</v>
      </c>
      <c r="AF82" s="344"/>
      <c r="AG82" s="359">
        <f t="shared" ca="1" si="56"/>
        <v>59.336529366012257</v>
      </c>
      <c r="AH82" s="357">
        <f t="shared" ca="1" si="57"/>
        <v>68.948239287521403</v>
      </c>
    </row>
    <row r="83" spans="1:34">
      <c r="A83" s="402">
        <f t="shared" ca="1" si="35"/>
        <v>0.01</v>
      </c>
      <c r="B83" s="357">
        <f t="shared" ca="1" si="36"/>
        <v>0.79000000000000048</v>
      </c>
      <c r="C83" s="342"/>
      <c r="D83" s="359">
        <f t="shared" ca="1" si="37"/>
        <v>13.752429378628451</v>
      </c>
      <c r="E83" s="360">
        <f t="shared" ca="1" si="38"/>
        <v>57.418153527087199</v>
      </c>
      <c r="F83" s="357">
        <f t="shared" ca="1" si="39"/>
        <v>59.042134685953883</v>
      </c>
      <c r="G83" s="359">
        <f t="shared" ca="1" si="40"/>
        <v>10.569065059652321</v>
      </c>
      <c r="H83" s="360">
        <f t="shared" ca="1" si="41"/>
        <v>51.568315358748961</v>
      </c>
      <c r="I83" s="357">
        <f t="shared" ca="1" si="42"/>
        <v>52.640253467992984</v>
      </c>
      <c r="J83" s="359">
        <f t="shared" ca="1" si="43"/>
        <v>3.9964936136732798</v>
      </c>
      <c r="K83" s="360">
        <f t="shared" ca="1" si="44"/>
        <v>20.760541555125531</v>
      </c>
      <c r="L83" s="357">
        <f t="shared" ca="1" si="29"/>
        <v>21.14171343260109</v>
      </c>
      <c r="M83" s="359">
        <f t="shared" ca="1" si="45"/>
        <v>1.3686431303044004</v>
      </c>
      <c r="N83" s="357">
        <f t="shared" ca="1" si="46"/>
        <v>78.417475026015723</v>
      </c>
      <c r="O83" s="343"/>
      <c r="P83" s="363">
        <f t="shared" ca="1" si="47"/>
        <v>8</v>
      </c>
      <c r="Q83" s="357">
        <f t="shared" ca="1" si="48"/>
        <v>33.444058053965655</v>
      </c>
      <c r="R83" s="359">
        <f t="shared" ca="1" si="49"/>
        <v>1.9252017228847864E-2</v>
      </c>
      <c r="S83" s="360">
        <f t="shared" ca="1" si="50"/>
        <v>0.44483128861805493</v>
      </c>
      <c r="T83" s="357">
        <f t="shared" ca="1" si="30"/>
        <v>4.3637949413431194</v>
      </c>
      <c r="U83" s="364">
        <f t="shared" ca="1" si="31"/>
        <v>0</v>
      </c>
      <c r="V83" s="359">
        <f t="shared" ca="1" si="32"/>
        <v>1.2224594707976011</v>
      </c>
      <c r="W83" s="357">
        <f t="shared" ca="1" si="33"/>
        <v>2.9859955669273237</v>
      </c>
      <c r="X83" s="343"/>
      <c r="Y83" s="367" t="str">
        <f t="shared" ca="1" si="51"/>
        <v/>
      </c>
      <c r="Z83" s="368" t="str">
        <f t="shared" ca="1" si="52"/>
        <v/>
      </c>
      <c r="AA83" s="369" t="str">
        <f t="shared" ca="1" si="53"/>
        <v/>
      </c>
      <c r="AB83" s="344"/>
      <c r="AC83" s="363" t="e">
        <f t="shared" ca="1" si="54"/>
        <v>#N/A</v>
      </c>
      <c r="AD83" s="376" t="e">
        <f t="shared" ca="1" si="55"/>
        <v>#N/A</v>
      </c>
      <c r="AE83" s="377">
        <f t="shared" ca="1" si="34"/>
        <v>20.760541555125531</v>
      </c>
      <c r="AF83" s="344"/>
      <c r="AG83" s="359">
        <f t="shared" ca="1" si="56"/>
        <v>59.009391626365868</v>
      </c>
      <c r="AH83" s="357">
        <f t="shared" ca="1" si="57"/>
        <v>68.620360975994373</v>
      </c>
    </row>
    <row r="84" spans="1:34">
      <c r="A84" s="402">
        <f t="shared" ca="1" si="35"/>
        <v>0.01</v>
      </c>
      <c r="B84" s="357">
        <f t="shared" ca="1" si="36"/>
        <v>0.80000000000000049</v>
      </c>
      <c r="C84" s="342"/>
      <c r="D84" s="359">
        <f t="shared" ca="1" si="37"/>
        <v>13.711461470743123</v>
      </c>
      <c r="E84" s="360">
        <f t="shared" ca="1" si="38"/>
        <v>57.090616578840226</v>
      </c>
      <c r="F84" s="357">
        <f t="shared" ca="1" si="39"/>
        <v>58.714075629407809</v>
      </c>
      <c r="G84" s="359">
        <f t="shared" ca="1" si="40"/>
        <v>10.706179674359753</v>
      </c>
      <c r="H84" s="360">
        <f t="shared" ca="1" si="41"/>
        <v>52.139221524537362</v>
      </c>
      <c r="I84" s="357">
        <f t="shared" ca="1" si="42"/>
        <v>53.227067403760408</v>
      </c>
      <c r="J84" s="359">
        <f t="shared" ca="1" si="43"/>
        <v>4.1028698373433405</v>
      </c>
      <c r="K84" s="360">
        <f t="shared" ca="1" si="44"/>
        <v>21.279079239541964</v>
      </c>
      <c r="L84" s="357">
        <f t="shared" ca="1" si="29"/>
        <v>21.671011840356869</v>
      </c>
      <c r="M84" s="359">
        <f t="shared" ca="1" si="45"/>
        <v>1.3682730848465239</v>
      </c>
      <c r="N84" s="357">
        <f t="shared" ca="1" si="46"/>
        <v>78.396272983051418</v>
      </c>
      <c r="O84" s="343"/>
      <c r="P84" s="363">
        <f t="shared" ca="1" si="47"/>
        <v>8</v>
      </c>
      <c r="Q84" s="357">
        <f t="shared" ca="1" si="48"/>
        <v>33.350975470155348</v>
      </c>
      <c r="R84" s="359">
        <f t="shared" ca="1" si="49"/>
        <v>1.9198434391970533E-2</v>
      </c>
      <c r="S84" s="360">
        <f t="shared" ca="1" si="50"/>
        <v>0.44463930427413523</v>
      </c>
      <c r="T84" s="357">
        <f t="shared" ca="1" si="30"/>
        <v>4.361911574929267</v>
      </c>
      <c r="U84" s="364">
        <f t="shared" ca="1" si="31"/>
        <v>0</v>
      </c>
      <c r="V84" s="359">
        <f t="shared" ca="1" si="32"/>
        <v>1.2223960832407088</v>
      </c>
      <c r="W84" s="357">
        <f t="shared" ca="1" si="33"/>
        <v>3.0527818653086003</v>
      </c>
      <c r="X84" s="343"/>
      <c r="Y84" s="367" t="str">
        <f t="shared" ca="1" si="51"/>
        <v/>
      </c>
      <c r="Z84" s="368" t="str">
        <f t="shared" ca="1" si="52"/>
        <v/>
      </c>
      <c r="AA84" s="369" t="str">
        <f t="shared" ca="1" si="53"/>
        <v/>
      </c>
      <c r="AB84" s="344"/>
      <c r="AC84" s="363" t="e">
        <f t="shared" ca="1" si="54"/>
        <v>#N/A</v>
      </c>
      <c r="AD84" s="376" t="e">
        <f t="shared" ca="1" si="55"/>
        <v>#N/A</v>
      </c>
      <c r="AE84" s="377">
        <f t="shared" ca="1" si="34"/>
        <v>21.279079239541964</v>
      </c>
      <c r="AF84" s="344"/>
      <c r="AG84" s="359">
        <f t="shared" ca="1" si="56"/>
        <v>58.681029147940173</v>
      </c>
      <c r="AH84" s="357">
        <f t="shared" ca="1" si="57"/>
        <v>68.291263528306942</v>
      </c>
    </row>
    <row r="85" spans="1:34">
      <c r="A85" s="402">
        <f t="shared" ca="1" si="35"/>
        <v>0.01</v>
      </c>
      <c r="B85" s="357">
        <f t="shared" ca="1" si="36"/>
        <v>0.8100000000000005</v>
      </c>
      <c r="C85" s="342"/>
      <c r="D85" s="359">
        <f t="shared" ca="1" si="37"/>
        <v>13.669782660929879</v>
      </c>
      <c r="E85" s="360">
        <f t="shared" ca="1" si="38"/>
        <v>56.762003088779238</v>
      </c>
      <c r="F85" s="357">
        <f t="shared" ca="1" si="39"/>
        <v>58.384826390489877</v>
      </c>
      <c r="G85" s="359">
        <f t="shared" ca="1" si="40"/>
        <v>10.842877500969051</v>
      </c>
      <c r="H85" s="360">
        <f t="shared" ca="1" si="41"/>
        <v>52.706841555425157</v>
      </c>
      <c r="I85" s="357">
        <f t="shared" ca="1" si="42"/>
        <v>53.810585754567967</v>
      </c>
      <c r="J85" s="359">
        <f t="shared" ca="1" si="43"/>
        <v>4.2106151232199842</v>
      </c>
      <c r="K85" s="360">
        <f t="shared" ca="1" si="44"/>
        <v>21.803309554941777</v>
      </c>
      <c r="L85" s="357">
        <f t="shared" ca="1" si="29"/>
        <v>22.206161020412875</v>
      </c>
      <c r="M85" s="359">
        <f t="shared" ca="1" si="45"/>
        <v>1.3679063912836997</v>
      </c>
      <c r="N85" s="357">
        <f t="shared" ca="1" si="46"/>
        <v>78.375262989526973</v>
      </c>
      <c r="O85" s="343"/>
      <c r="P85" s="363">
        <f t="shared" ca="1" si="47"/>
        <v>8</v>
      </c>
      <c r="Q85" s="357">
        <f t="shared" ca="1" si="48"/>
        <v>33.257892886345047</v>
      </c>
      <c r="R85" s="359">
        <f t="shared" ca="1" si="49"/>
        <v>1.9144851555093201E-2</v>
      </c>
      <c r="S85" s="360">
        <f t="shared" ca="1" si="50"/>
        <v>0.44444785575858431</v>
      </c>
      <c r="T85" s="357">
        <f t="shared" ca="1" si="30"/>
        <v>4.3600334649917123</v>
      </c>
      <c r="U85" s="364">
        <f t="shared" ca="1" si="31"/>
        <v>0</v>
      </c>
      <c r="V85" s="359">
        <f t="shared" ca="1" si="32"/>
        <v>1.2223320031375937</v>
      </c>
      <c r="W85" s="357">
        <f t="shared" ca="1" si="33"/>
        <v>3.119919347805983</v>
      </c>
      <c r="X85" s="343"/>
      <c r="Y85" s="367" t="str">
        <f t="shared" ca="1" si="51"/>
        <v/>
      </c>
      <c r="Z85" s="368" t="str">
        <f t="shared" ca="1" si="52"/>
        <v/>
      </c>
      <c r="AA85" s="369" t="str">
        <f t="shared" ca="1" si="53"/>
        <v/>
      </c>
      <c r="AB85" s="344"/>
      <c r="AC85" s="363" t="e">
        <f t="shared" ca="1" si="54"/>
        <v>#N/A</v>
      </c>
      <c r="AD85" s="376" t="e">
        <f t="shared" ca="1" si="55"/>
        <v>#N/A</v>
      </c>
      <c r="AE85" s="377">
        <f t="shared" ca="1" si="34"/>
        <v>21.803309554941777</v>
      </c>
      <c r="AF85" s="344"/>
      <c r="AG85" s="359">
        <f t="shared" ca="1" si="56"/>
        <v>58.351473300974533</v>
      </c>
      <c r="AH85" s="357">
        <f t="shared" ca="1" si="57"/>
        <v>67.960978165779011</v>
      </c>
    </row>
    <row r="86" spans="1:34">
      <c r="A86" s="402">
        <f t="shared" ca="1" si="35"/>
        <v>0.01</v>
      </c>
      <c r="B86" s="357">
        <f t="shared" ca="1" si="36"/>
        <v>0.82000000000000051</v>
      </c>
      <c r="C86" s="342"/>
      <c r="D86" s="359">
        <f t="shared" ca="1" si="37"/>
        <v>13.627407409630306</v>
      </c>
      <c r="E86" s="360">
        <f t="shared" ca="1" si="38"/>
        <v>56.432342319778044</v>
      </c>
      <c r="F86" s="357">
        <f t="shared" ca="1" si="39"/>
        <v>58.054418371082306</v>
      </c>
      <c r="G86" s="359">
        <f t="shared" ca="1" si="40"/>
        <v>10.979151575065353</v>
      </c>
      <c r="H86" s="360">
        <f t="shared" ca="1" si="41"/>
        <v>53.271164978622934</v>
      </c>
      <c r="I86" s="357">
        <f t="shared" ca="1" si="42"/>
        <v>54.390796900651516</v>
      </c>
      <c r="J86" s="359">
        <f t="shared" ca="1" si="43"/>
        <v>4.3197252686001564</v>
      </c>
      <c r="K86" s="360">
        <f t="shared" ca="1" si="44"/>
        <v>22.333199587612018</v>
      </c>
      <c r="L86" s="357">
        <f t="shared" ca="1" si="29"/>
        <v>22.747127955333095</v>
      </c>
      <c r="M86" s="359">
        <f t="shared" ca="1" si="45"/>
        <v>1.3675429615743431</v>
      </c>
      <c r="N86" s="357">
        <f t="shared" ca="1" si="46"/>
        <v>78.354440001031179</v>
      </c>
      <c r="O86" s="343"/>
      <c r="P86" s="363">
        <f t="shared" ca="1" si="47"/>
        <v>8</v>
      </c>
      <c r="Q86" s="357">
        <f t="shared" ca="1" si="48"/>
        <v>33.164810302534747</v>
      </c>
      <c r="R86" s="359">
        <f t="shared" ca="1" si="49"/>
        <v>1.9091268718215874E-2</v>
      </c>
      <c r="S86" s="360">
        <f t="shared" ca="1" si="50"/>
        <v>0.44425694307140218</v>
      </c>
      <c r="T86" s="357">
        <f t="shared" ca="1" si="30"/>
        <v>4.3581606115304554</v>
      </c>
      <c r="U86" s="364">
        <f t="shared" ca="1" si="31"/>
        <v>0</v>
      </c>
      <c r="V86" s="359">
        <f t="shared" ca="1" si="32"/>
        <v>1.2222672346202503</v>
      </c>
      <c r="W86" s="357">
        <f t="shared" ca="1" si="33"/>
        <v>3.1873940608384883</v>
      </c>
      <c r="X86" s="343"/>
      <c r="Y86" s="367" t="str">
        <f t="shared" ca="1" si="51"/>
        <v/>
      </c>
      <c r="Z86" s="368" t="str">
        <f t="shared" ca="1" si="52"/>
        <v/>
      </c>
      <c r="AA86" s="369" t="str">
        <f t="shared" ca="1" si="53"/>
        <v/>
      </c>
      <c r="AB86" s="344"/>
      <c r="AC86" s="363" t="e">
        <f t="shared" ca="1" si="54"/>
        <v>#N/A</v>
      </c>
      <c r="AD86" s="376" t="e">
        <f t="shared" ca="1" si="55"/>
        <v>#N/A</v>
      </c>
      <c r="AE86" s="377">
        <f t="shared" ca="1" si="34"/>
        <v>22.333199587612018</v>
      </c>
      <c r="AF86" s="344"/>
      <c r="AG86" s="359">
        <f t="shared" ca="1" si="56"/>
        <v>58.020755408399125</v>
      </c>
      <c r="AH86" s="357">
        <f t="shared" ca="1" si="57"/>
        <v>67.629536067599219</v>
      </c>
    </row>
    <row r="87" spans="1:34">
      <c r="A87" s="402">
        <f t="shared" ca="1" si="35"/>
        <v>0.01</v>
      </c>
      <c r="B87" s="357">
        <f t="shared" ca="1" si="36"/>
        <v>0.83000000000000052</v>
      </c>
      <c r="C87" s="342"/>
      <c r="D87" s="359">
        <f t="shared" ca="1" si="37"/>
        <v>13.584349895801465</v>
      </c>
      <c r="E87" s="360">
        <f t="shared" ca="1" si="38"/>
        <v>56.101663526903408</v>
      </c>
      <c r="F87" s="357">
        <f t="shared" ca="1" si="39"/>
        <v>57.722882919839037</v>
      </c>
      <c r="G87" s="359">
        <f t="shared" ca="1" si="40"/>
        <v>11.114995074023367</v>
      </c>
      <c r="H87" s="360">
        <f t="shared" ca="1" si="41"/>
        <v>53.832181613891969</v>
      </c>
      <c r="I87" s="357">
        <f t="shared" ca="1" si="42"/>
        <v>54.967689534913255</v>
      </c>
      <c r="J87" s="359">
        <f t="shared" ca="1" si="43"/>
        <v>4.4301960018455997</v>
      </c>
      <c r="K87" s="360">
        <f t="shared" ca="1" si="44"/>
        <v>22.868716320574592</v>
      </c>
      <c r="L87" s="357">
        <f t="shared" ca="1" si="29"/>
        <v>23.293879512989744</v>
      </c>
      <c r="M87" s="359">
        <f t="shared" ca="1" si="45"/>
        <v>1.3671827108247223</v>
      </c>
      <c r="N87" s="357">
        <f t="shared" ca="1" si="46"/>
        <v>78.333799153511478</v>
      </c>
      <c r="O87" s="343"/>
      <c r="P87" s="363">
        <f t="shared" ca="1" si="47"/>
        <v>8</v>
      </c>
      <c r="Q87" s="357">
        <f t="shared" ca="1" si="48"/>
        <v>33.071727718724439</v>
      </c>
      <c r="R87" s="359">
        <f t="shared" ca="1" si="49"/>
        <v>1.9037685881338539E-2</v>
      </c>
      <c r="S87" s="360">
        <f t="shared" ca="1" si="50"/>
        <v>0.44406656621258878</v>
      </c>
      <c r="T87" s="357">
        <f t="shared" ca="1" si="30"/>
        <v>4.3562930145454963</v>
      </c>
      <c r="U87" s="364">
        <f t="shared" ca="1" si="31"/>
        <v>0</v>
      </c>
      <c r="V87" s="359">
        <f t="shared" ca="1" si="32"/>
        <v>1.2222017818336022</v>
      </c>
      <c r="W87" s="357">
        <f t="shared" ca="1" si="33"/>
        <v>3.2551921029720035</v>
      </c>
      <c r="X87" s="343"/>
      <c r="Y87" s="367" t="str">
        <f t="shared" ca="1" si="51"/>
        <v/>
      </c>
      <c r="Z87" s="368" t="str">
        <f t="shared" ca="1" si="52"/>
        <v/>
      </c>
      <c r="AA87" s="369" t="str">
        <f t="shared" ca="1" si="53"/>
        <v/>
      </c>
      <c r="AB87" s="344"/>
      <c r="AC87" s="363" t="e">
        <f t="shared" ca="1" si="54"/>
        <v>#N/A</v>
      </c>
      <c r="AD87" s="376" t="e">
        <f t="shared" ca="1" si="55"/>
        <v>#N/A</v>
      </c>
      <c r="AE87" s="377">
        <f t="shared" ca="1" si="34"/>
        <v>22.868716320574592</v>
      </c>
      <c r="AF87" s="344"/>
      <c r="AG87" s="359">
        <f t="shared" ca="1" si="56"/>
        <v>57.688906739184162</v>
      </c>
      <c r="AH87" s="357">
        <f t="shared" ca="1" si="57"/>
        <v>67.296968363926254</v>
      </c>
    </row>
    <row r="88" spans="1:34">
      <c r="A88" s="402">
        <f t="shared" ca="1" si="35"/>
        <v>0.01</v>
      </c>
      <c r="B88" s="357">
        <f t="shared" ca="1" si="36"/>
        <v>0.84000000000000052</v>
      </c>
      <c r="C88" s="342"/>
      <c r="D88" s="359">
        <f t="shared" ca="1" si="37"/>
        <v>13.540624029543999</v>
      </c>
      <c r="E88" s="360">
        <f t="shared" ca="1" si="38"/>
        <v>55.769995948661247</v>
      </c>
      <c r="F88" s="357">
        <f t="shared" ca="1" si="39"/>
        <v>57.390251325666419</v>
      </c>
      <c r="G88" s="359">
        <f t="shared" ca="1" si="40"/>
        <v>11.250401314318808</v>
      </c>
      <c r="H88" s="360">
        <f t="shared" ca="1" si="41"/>
        <v>54.389881573378581</v>
      </c>
      <c r="I88" s="357">
        <f t="shared" ca="1" si="42"/>
        <v>55.541252662317341</v>
      </c>
      <c r="J88" s="359">
        <f t="shared" ca="1" si="43"/>
        <v>4.5420229837873105</v>
      </c>
      <c r="K88" s="360">
        <f t="shared" ca="1" si="44"/>
        <v>23.409826636510946</v>
      </c>
      <c r="L88" s="357">
        <f t="shared" ca="1" si="29"/>
        <v>23.846382449687198</v>
      </c>
      <c r="M88" s="359">
        <f t="shared" ca="1" si="45"/>
        <v>1.3668255571374948</v>
      </c>
      <c r="N88" s="357">
        <f t="shared" ca="1" si="46"/>
        <v>78.313335754595798</v>
      </c>
      <c r="O88" s="343"/>
      <c r="P88" s="363">
        <f t="shared" ca="1" si="47"/>
        <v>8</v>
      </c>
      <c r="Q88" s="357">
        <f t="shared" ca="1" si="48"/>
        <v>32.978645134914139</v>
      </c>
      <c r="R88" s="359">
        <f t="shared" ca="1" si="49"/>
        <v>1.8984103044461211E-2</v>
      </c>
      <c r="S88" s="360">
        <f t="shared" ca="1" si="50"/>
        <v>0.44387672518214416</v>
      </c>
      <c r="T88" s="357">
        <f t="shared" ca="1" si="30"/>
        <v>4.3544306740368341</v>
      </c>
      <c r="U88" s="364">
        <f t="shared" ca="1" si="31"/>
        <v>0</v>
      </c>
      <c r="V88" s="359">
        <f t="shared" ca="1" si="32"/>
        <v>1.2221356489351203</v>
      </c>
      <c r="W88" s="357">
        <f t="shared" ca="1" si="33"/>
        <v>3.3232996276864859</v>
      </c>
      <c r="X88" s="343"/>
      <c r="Y88" s="367" t="str">
        <f t="shared" ca="1" si="51"/>
        <v/>
      </c>
      <c r="Z88" s="368" t="str">
        <f t="shared" ca="1" si="52"/>
        <v/>
      </c>
      <c r="AA88" s="369" t="str">
        <f t="shared" ca="1" si="53"/>
        <v/>
      </c>
      <c r="AB88" s="344"/>
      <c r="AC88" s="363" t="e">
        <f t="shared" ca="1" si="54"/>
        <v>#N/A</v>
      </c>
      <c r="AD88" s="376" t="e">
        <f t="shared" ca="1" si="55"/>
        <v>#N/A</v>
      </c>
      <c r="AE88" s="377">
        <f t="shared" ca="1" si="34"/>
        <v>23.409826636510946</v>
      </c>
      <c r="AF88" s="344"/>
      <c r="AG88" s="359">
        <f t="shared" ca="1" si="56"/>
        <v>57.355958501756781</v>
      </c>
      <c r="AH88" s="357">
        <f t="shared" ca="1" si="57"/>
        <v>66.963306129072578</v>
      </c>
    </row>
    <row r="89" spans="1:34">
      <c r="A89" s="402">
        <f t="shared" ca="1" si="35"/>
        <v>0.01</v>
      </c>
      <c r="B89" s="357">
        <f t="shared" ca="1" si="36"/>
        <v>0.85000000000000053</v>
      </c>
      <c r="C89" s="342"/>
      <c r="D89" s="359">
        <f t="shared" ca="1" si="37"/>
        <v>13.496243463880488</v>
      </c>
      <c r="E89" s="360">
        <f t="shared" ca="1" si="38"/>
        <v>55.437368798451644</v>
      </c>
      <c r="F89" s="357">
        <f t="shared" ca="1" si="39"/>
        <v>57.056554811273671</v>
      </c>
      <c r="G89" s="359">
        <f t="shared" ca="1" si="40"/>
        <v>11.385363748957612</v>
      </c>
      <c r="H89" s="360">
        <f t="shared" ca="1" si="41"/>
        <v>54.944255261363097</v>
      </c>
      <c r="I89" s="357">
        <f t="shared" ca="1" si="42"/>
        <v>56.111475599220384</v>
      </c>
      <c r="J89" s="359">
        <f t="shared" ca="1" si="43"/>
        <v>4.6552018091036924</v>
      </c>
      <c r="K89" s="360">
        <f t="shared" ca="1" si="44"/>
        <v>23.956497320684655</v>
      </c>
      <c r="L89" s="357">
        <f t="shared" ca="1" si="29"/>
        <v>24.404603413279499</v>
      </c>
      <c r="M89" s="359">
        <f t="shared" ca="1" si="45"/>
        <v>1.3664714214692846</v>
      </c>
      <c r="N89" s="357">
        <f t="shared" ca="1" si="46"/>
        <v>78.29304527543232</v>
      </c>
      <c r="O89" s="343"/>
      <c r="P89" s="363">
        <f t="shared" ca="1" si="47"/>
        <v>8</v>
      </c>
      <c r="Q89" s="357">
        <f t="shared" ca="1" si="48"/>
        <v>32.885562551103838</v>
      </c>
      <c r="R89" s="359">
        <f t="shared" ca="1" si="49"/>
        <v>1.893052020758388E-2</v>
      </c>
      <c r="S89" s="360">
        <f t="shared" ca="1" si="50"/>
        <v>0.44368741998006833</v>
      </c>
      <c r="T89" s="357">
        <f t="shared" ca="1" si="30"/>
        <v>4.3525735900044706</v>
      </c>
      <c r="U89" s="364">
        <f t="shared" ca="1" si="31"/>
        <v>0</v>
      </c>
      <c r="V89" s="359">
        <f t="shared" ca="1" si="32"/>
        <v>1.2220688400944375</v>
      </c>
      <c r="W89" s="357">
        <f t="shared" ca="1" si="33"/>
        <v>3.391702846097675</v>
      </c>
      <c r="X89" s="343"/>
      <c r="Y89" s="367" t="str">
        <f t="shared" ca="1" si="51"/>
        <v/>
      </c>
      <c r="Z89" s="368" t="str">
        <f t="shared" ca="1" si="52"/>
        <v/>
      </c>
      <c r="AA89" s="369" t="str">
        <f t="shared" ca="1" si="53"/>
        <v/>
      </c>
      <c r="AB89" s="344"/>
      <c r="AC89" s="363" t="e">
        <f t="shared" ca="1" si="54"/>
        <v>#N/A</v>
      </c>
      <c r="AD89" s="376" t="e">
        <f t="shared" ca="1" si="55"/>
        <v>#N/A</v>
      </c>
      <c r="AE89" s="377">
        <f t="shared" ca="1" si="34"/>
        <v>23.956497320684655</v>
      </c>
      <c r="AF89" s="344"/>
      <c r="AG89" s="359">
        <f t="shared" ca="1" si="56"/>
        <v>57.02194183748837</v>
      </c>
      <c r="AH89" s="357">
        <f t="shared" ca="1" si="57"/>
        <v>66.628580374772341</v>
      </c>
    </row>
    <row r="90" spans="1:34">
      <c r="A90" s="402">
        <f t="shared" ca="1" si="35"/>
        <v>0.01</v>
      </c>
      <c r="B90" s="357">
        <f t="shared" ca="1" si="36"/>
        <v>0.86000000000000054</v>
      </c>
      <c r="C90" s="342"/>
      <c r="D90" s="359">
        <f t="shared" ca="1" si="37"/>
        <v>13.451221605746888</v>
      </c>
      <c r="E90" s="360">
        <f t="shared" ca="1" si="38"/>
        <v>55.103811256226663</v>
      </c>
      <c r="F90" s="357">
        <f t="shared" ca="1" si="39"/>
        <v>56.721824526797128</v>
      </c>
      <c r="G90" s="359">
        <f t="shared" ca="1" si="40"/>
        <v>11.519875965015082</v>
      </c>
      <c r="H90" s="360">
        <f t="shared" ca="1" si="41"/>
        <v>55.495293373925364</v>
      </c>
      <c r="I90" s="357">
        <f t="shared" ca="1" si="42"/>
        <v>56.678347972637461</v>
      </c>
      <c r="J90" s="359">
        <f t="shared" ca="1" si="43"/>
        <v>4.7697280076735558</v>
      </c>
      <c r="K90" s="360">
        <f t="shared" ca="1" si="44"/>
        <v>24.508695063861097</v>
      </c>
      <c r="L90" s="357">
        <f t="shared" ca="1" si="29"/>
        <v>24.968508946281009</v>
      </c>
      <c r="M90" s="359">
        <f t="shared" ca="1" si="45"/>
        <v>1.3661202274966608</v>
      </c>
      <c r="N90" s="357">
        <f t="shared" ca="1" si="46"/>
        <v>78.272923343010547</v>
      </c>
      <c r="O90" s="343"/>
      <c r="P90" s="363">
        <f t="shared" ca="1" si="47"/>
        <v>8</v>
      </c>
      <c r="Q90" s="357">
        <f t="shared" ca="1" si="48"/>
        <v>32.792479967293531</v>
      </c>
      <c r="R90" s="359">
        <f t="shared" ca="1" si="49"/>
        <v>1.8876937370706545E-2</v>
      </c>
      <c r="S90" s="360">
        <f t="shared" ca="1" si="50"/>
        <v>0.44349865060636129</v>
      </c>
      <c r="T90" s="357">
        <f t="shared" ca="1" si="30"/>
        <v>4.350721762448404</v>
      </c>
      <c r="U90" s="364">
        <f t="shared" ca="1" si="31"/>
        <v>0</v>
      </c>
      <c r="V90" s="359">
        <f t="shared" ca="1" si="32"/>
        <v>1.2220013594929668</v>
      </c>
      <c r="W90" s="357">
        <f t="shared" ca="1" si="33"/>
        <v>3.4603880296326586</v>
      </c>
      <c r="X90" s="343"/>
      <c r="Y90" s="367" t="str">
        <f t="shared" ca="1" si="51"/>
        <v/>
      </c>
      <c r="Z90" s="368" t="str">
        <f t="shared" ca="1" si="52"/>
        <v/>
      </c>
      <c r="AA90" s="369" t="str">
        <f t="shared" ca="1" si="53"/>
        <v/>
      </c>
      <c r="AB90" s="344"/>
      <c r="AC90" s="363" t="e">
        <f t="shared" ca="1" si="54"/>
        <v>#N/A</v>
      </c>
      <c r="AD90" s="376" t="e">
        <f t="shared" ca="1" si="55"/>
        <v>#N/A</v>
      </c>
      <c r="AE90" s="377">
        <f t="shared" ca="1" si="34"/>
        <v>24.508695063861097</v>
      </c>
      <c r="AF90" s="344"/>
      <c r="AG90" s="359">
        <f t="shared" ca="1" si="56"/>
        <v>56.68688781425579</v>
      </c>
      <c r="AH90" s="357">
        <f t="shared" ca="1" si="57"/>
        <v>66.292822043535992</v>
      </c>
    </row>
    <row r="91" spans="1:34">
      <c r="A91" s="402">
        <f t="shared" ca="1" si="35"/>
        <v>0.01</v>
      </c>
      <c r="B91" s="357">
        <f t="shared" ca="1" si="36"/>
        <v>0.87000000000000055</v>
      </c>
      <c r="C91" s="342"/>
      <c r="D91" s="359">
        <f t="shared" ca="1" si="37"/>
        <v>13.405571626254304</v>
      </c>
      <c r="E91" s="360">
        <f t="shared" ca="1" si="38"/>
        <v>54.769352460343782</v>
      </c>
      <c r="F91" s="357">
        <f t="shared" ca="1" si="39"/>
        <v>56.386091543500335</v>
      </c>
      <c r="G91" s="359">
        <f t="shared" ca="1" si="40"/>
        <v>11.653931681277625</v>
      </c>
      <c r="H91" s="360">
        <f t="shared" ca="1" si="41"/>
        <v>56.042986898528802</v>
      </c>
      <c r="I91" s="357">
        <f t="shared" ca="1" si="42"/>
        <v>57.241859719444456</v>
      </c>
      <c r="J91" s="359">
        <f t="shared" ca="1" si="43"/>
        <v>4.8855970459050191</v>
      </c>
      <c r="K91" s="360">
        <f t="shared" ca="1" si="44"/>
        <v>25.066386465223367</v>
      </c>
      <c r="L91" s="357">
        <f t="shared" ca="1" si="29"/>
        <v>25.538065488969384</v>
      </c>
      <c r="M91" s="359">
        <f t="shared" ca="1" si="45"/>
        <v>1.365771901489927</v>
      </c>
      <c r="N91" s="357">
        <f t="shared" ca="1" si="46"/>
        <v>78.252965732930051</v>
      </c>
      <c r="O91" s="343"/>
      <c r="P91" s="363">
        <f t="shared" ca="1" si="47"/>
        <v>8</v>
      </c>
      <c r="Q91" s="357">
        <f t="shared" ca="1" si="48"/>
        <v>32.69939738348323</v>
      </c>
      <c r="R91" s="359">
        <f t="shared" ca="1" si="49"/>
        <v>1.8823354533829217E-2</v>
      </c>
      <c r="S91" s="360">
        <f t="shared" ca="1" si="50"/>
        <v>0.44331041706102298</v>
      </c>
      <c r="T91" s="357">
        <f t="shared" ca="1" si="30"/>
        <v>4.3488751913686352</v>
      </c>
      <c r="U91" s="364">
        <f t="shared" ca="1" si="31"/>
        <v>0</v>
      </c>
      <c r="V91" s="359">
        <f t="shared" ca="1" si="32"/>
        <v>1.2219332113235188</v>
      </c>
      <c r="W91" s="357">
        <f t="shared" ca="1" si="33"/>
        <v>3.5293415126586876</v>
      </c>
      <c r="X91" s="343"/>
      <c r="Y91" s="367" t="str">
        <f t="shared" ca="1" si="51"/>
        <v/>
      </c>
      <c r="Z91" s="368" t="str">
        <f t="shared" ca="1" si="52"/>
        <v/>
      </c>
      <c r="AA91" s="369" t="str">
        <f t="shared" ca="1" si="53"/>
        <v/>
      </c>
      <c r="AB91" s="344"/>
      <c r="AC91" s="363" t="e">
        <f t="shared" ca="1" si="54"/>
        <v>#N/A</v>
      </c>
      <c r="AD91" s="376" t="e">
        <f t="shared" ca="1" si="55"/>
        <v>#N/A</v>
      </c>
      <c r="AE91" s="377">
        <f t="shared" ca="1" si="34"/>
        <v>25.066386465223367</v>
      </c>
      <c r="AF91" s="344"/>
      <c r="AG91" s="359">
        <f t="shared" ca="1" si="56"/>
        <v>56.350827420078943</v>
      </c>
      <c r="AH91" s="357">
        <f t="shared" ca="1" si="57"/>
        <v>65.956062002093077</v>
      </c>
    </row>
    <row r="92" spans="1:34">
      <c r="A92" s="402">
        <f t="shared" ca="1" si="35"/>
        <v>0.01</v>
      </c>
      <c r="B92" s="357">
        <f t="shared" ca="1" si="36"/>
        <v>0.88000000000000056</v>
      </c>
      <c r="C92" s="342"/>
      <c r="D92" s="359">
        <f t="shared" ca="1" si="37"/>
        <v>13.359306470273721</v>
      </c>
      <c r="E92" s="360">
        <f t="shared" ca="1" si="38"/>
        <v>54.434021499609571</v>
      </c>
      <c r="F92" s="357">
        <f t="shared" ca="1" si="39"/>
        <v>56.049386847553066</v>
      </c>
      <c r="G92" s="359">
        <f t="shared" ca="1" si="40"/>
        <v>11.787524745980361</v>
      </c>
      <c r="H92" s="360">
        <f t="shared" ca="1" si="41"/>
        <v>56.5873271135249</v>
      </c>
      <c r="I92" s="357">
        <f t="shared" ca="1" si="42"/>
        <v>57.802001085517531</v>
      </c>
      <c r="J92" s="359">
        <f t="shared" ca="1" si="43"/>
        <v>5.002804328041309</v>
      </c>
      <c r="K92" s="360">
        <f t="shared" ca="1" si="44"/>
        <v>25.629538035283634</v>
      </c>
      <c r="L92" s="357">
        <f t="shared" ca="1" si="29"/>
        <v>26.113239382480284</v>
      </c>
      <c r="M92" s="359">
        <f t="shared" ca="1" si="45"/>
        <v>1.365426372194176</v>
      </c>
      <c r="N92" s="357">
        <f t="shared" ca="1" si="46"/>
        <v>78.233168362585388</v>
      </c>
      <c r="O92" s="343"/>
      <c r="P92" s="363">
        <f t="shared" ca="1" si="47"/>
        <v>8</v>
      </c>
      <c r="Q92" s="357">
        <f t="shared" ca="1" si="48"/>
        <v>32.60631479967293</v>
      </c>
      <c r="R92" s="359">
        <f t="shared" ca="1" si="49"/>
        <v>1.8769771696951886E-2</v>
      </c>
      <c r="S92" s="360">
        <f t="shared" ca="1" si="50"/>
        <v>0.44312271934405345</v>
      </c>
      <c r="T92" s="357">
        <f t="shared" ca="1" si="30"/>
        <v>4.3470338767651642</v>
      </c>
      <c r="U92" s="364">
        <f t="shared" ca="1" si="31"/>
        <v>0</v>
      </c>
      <c r="V92" s="359">
        <f t="shared" ca="1" si="32"/>
        <v>1.2218643997899203</v>
      </c>
      <c r="W92" s="357">
        <f t="shared" ca="1" si="33"/>
        <v>3.5985496950646536</v>
      </c>
      <c r="X92" s="343"/>
      <c r="Y92" s="367" t="str">
        <f t="shared" ca="1" si="51"/>
        <v/>
      </c>
      <c r="Z92" s="368" t="str">
        <f t="shared" ca="1" si="52"/>
        <v/>
      </c>
      <c r="AA92" s="369" t="str">
        <f t="shared" ca="1" si="53"/>
        <v/>
      </c>
      <c r="AB92" s="344"/>
      <c r="AC92" s="363" t="e">
        <f t="shared" ca="1" si="54"/>
        <v>#N/A</v>
      </c>
      <c r="AD92" s="376" t="e">
        <f t="shared" ca="1" si="55"/>
        <v>#N/A</v>
      </c>
      <c r="AE92" s="377">
        <f t="shared" ca="1" si="34"/>
        <v>25.629538035283634</v>
      </c>
      <c r="AF92" s="344"/>
      <c r="AG92" s="359">
        <f t="shared" ca="1" si="56"/>
        <v>56.013791556837162</v>
      </c>
      <c r="AH92" s="357">
        <f t="shared" ca="1" si="57"/>
        <v>65.61833103492495</v>
      </c>
    </row>
    <row r="93" spans="1:34">
      <c r="A93" s="402">
        <f t="shared" ca="1" si="35"/>
        <v>0.01</v>
      </c>
      <c r="B93" s="357">
        <f t="shared" ca="1" si="36"/>
        <v>0.89000000000000057</v>
      </c>
      <c r="C93" s="342"/>
      <c r="D93" s="359">
        <f t="shared" ca="1" si="37"/>
        <v>13.312438865392519</v>
      </c>
      <c r="E93" s="360">
        <f t="shared" ca="1" si="38"/>
        <v>54.097847405508567</v>
      </c>
      <c r="F93" s="357">
        <f t="shared" ca="1" si="39"/>
        <v>55.711741333892114</v>
      </c>
      <c r="G93" s="359">
        <f t="shared" ca="1" si="40"/>
        <v>11.920649134634287</v>
      </c>
      <c r="H93" s="360">
        <f t="shared" ca="1" si="41"/>
        <v>57.128305587579987</v>
      </c>
      <c r="I93" s="357">
        <f t="shared" ca="1" si="42"/>
        <v>58.35876262481051</v>
      </c>
      <c r="J93" s="359">
        <f t="shared" ca="1" si="43"/>
        <v>5.1213451974443824</v>
      </c>
      <c r="K93" s="360">
        <f t="shared" ca="1" si="44"/>
        <v>26.198116198789158</v>
      </c>
      <c r="L93" s="357">
        <f t="shared" ca="1" si="29"/>
        <v>26.69399687189323</v>
      </c>
      <c r="M93" s="359">
        <f t="shared" ca="1" si="45"/>
        <v>1.3650835707171156</v>
      </c>
      <c r="N93" s="357">
        <f t="shared" ca="1" si="46"/>
        <v>78.213527284738973</v>
      </c>
      <c r="O93" s="343"/>
      <c r="P93" s="363">
        <f t="shared" ca="1" si="47"/>
        <v>8</v>
      </c>
      <c r="Q93" s="357">
        <f t="shared" ca="1" si="48"/>
        <v>32.513232215862629</v>
      </c>
      <c r="R93" s="359">
        <f t="shared" ca="1" si="49"/>
        <v>1.8716188860074558E-2</v>
      </c>
      <c r="S93" s="360">
        <f t="shared" ca="1" si="50"/>
        <v>0.44293555745545271</v>
      </c>
      <c r="T93" s="357">
        <f t="shared" ca="1" si="30"/>
        <v>4.3451978186379909</v>
      </c>
      <c r="U93" s="364">
        <f t="shared" ca="1" si="31"/>
        <v>0</v>
      </c>
      <c r="V93" s="359">
        <f t="shared" ca="1" si="32"/>
        <v>1.2217949291066328</v>
      </c>
      <c r="W93" s="357">
        <f t="shared" ca="1" si="33"/>
        <v>3.667999044794668</v>
      </c>
      <c r="X93" s="343"/>
      <c r="Y93" s="367" t="str">
        <f t="shared" ca="1" si="51"/>
        <v/>
      </c>
      <c r="Z93" s="368" t="str">
        <f t="shared" ca="1" si="52"/>
        <v/>
      </c>
      <c r="AA93" s="369" t="str">
        <f t="shared" ca="1" si="53"/>
        <v/>
      </c>
      <c r="AB93" s="344"/>
      <c r="AC93" s="363" t="e">
        <f t="shared" ca="1" si="54"/>
        <v>#N/A</v>
      </c>
      <c r="AD93" s="376" t="e">
        <f t="shared" ca="1" si="55"/>
        <v>#N/A</v>
      </c>
      <c r="AE93" s="377">
        <f t="shared" ca="1" si="34"/>
        <v>26.198116198789158</v>
      </c>
      <c r="AF93" s="344"/>
      <c r="AG93" s="359">
        <f t="shared" ca="1" si="56"/>
        <v>55.675811034067401</v>
      </c>
      <c r="AH93" s="357">
        <f t="shared" ca="1" si="57"/>
        <v>65.279659837889639</v>
      </c>
    </row>
    <row r="94" spans="1:34">
      <c r="A94" s="402">
        <f t="shared" ca="1" si="35"/>
        <v>0.01</v>
      </c>
      <c r="B94" s="357">
        <f t="shared" ca="1" si="36"/>
        <v>0.90000000000000058</v>
      </c>
      <c r="C94" s="342"/>
      <c r="D94" s="359">
        <f t="shared" ca="1" si="37"/>
        <v>13.264981330287043</v>
      </c>
      <c r="E94" s="360">
        <f t="shared" ca="1" si="38"/>
        <v>53.760859144612397</v>
      </c>
      <c r="F94" s="357">
        <f t="shared" ca="1" si="39"/>
        <v>55.373185800166112</v>
      </c>
      <c r="G94" s="359">
        <f t="shared" ca="1" si="40"/>
        <v>12.053298947937158</v>
      </c>
      <c r="H94" s="360">
        <f t="shared" ca="1" si="41"/>
        <v>57.66591417902611</v>
      </c>
      <c r="I94" s="357">
        <f t="shared" ca="1" si="42"/>
        <v>58.91213519837104</v>
      </c>
      <c r="J94" s="359">
        <f t="shared" ca="1" si="43"/>
        <v>5.2412149378572392</v>
      </c>
      <c r="K94" s="360">
        <f t="shared" ca="1" si="44"/>
        <v>26.772087297622189</v>
      </c>
      <c r="L94" s="357">
        <f t="shared" ca="1" si="29"/>
        <v>27.280304109307895</v>
      </c>
      <c r="M94" s="359">
        <f t="shared" ca="1" si="45"/>
        <v>1.3647434304232056</v>
      </c>
      <c r="N94" s="357">
        <f t="shared" ca="1" si="46"/>
        <v>78.194038681455595</v>
      </c>
      <c r="O94" s="343"/>
      <c r="P94" s="363">
        <f t="shared" ca="1" si="47"/>
        <v>8</v>
      </c>
      <c r="Q94" s="357">
        <f t="shared" ca="1" si="48"/>
        <v>32.420149632052322</v>
      </c>
      <c r="R94" s="359">
        <f t="shared" ca="1" si="49"/>
        <v>1.8662606023197224E-2</v>
      </c>
      <c r="S94" s="360">
        <f t="shared" ca="1" si="50"/>
        <v>0.44274893139522076</v>
      </c>
      <c r="T94" s="357">
        <f t="shared" ca="1" si="30"/>
        <v>4.3433670169871155</v>
      </c>
      <c r="U94" s="364">
        <f t="shared" ca="1" si="31"/>
        <v>0</v>
      </c>
      <c r="V94" s="359">
        <f t="shared" ca="1" si="32"/>
        <v>1.2217248034983745</v>
      </c>
      <c r="W94" s="357">
        <f t="shared" ca="1" si="33"/>
        <v>3.7376761003332519</v>
      </c>
      <c r="X94" s="343"/>
      <c r="Y94" s="367" t="str">
        <f t="shared" ca="1" si="51"/>
        <v/>
      </c>
      <c r="Z94" s="368" t="str">
        <f t="shared" ca="1" si="52"/>
        <v/>
      </c>
      <c r="AA94" s="369" t="str">
        <f t="shared" ca="1" si="53"/>
        <v/>
      </c>
      <c r="AB94" s="344"/>
      <c r="AC94" s="363" t="e">
        <f t="shared" ca="1" si="54"/>
        <v>#N/A</v>
      </c>
      <c r="AD94" s="376" t="e">
        <f t="shared" ca="1" si="55"/>
        <v>#N/A</v>
      </c>
      <c r="AE94" s="377">
        <f t="shared" ca="1" si="34"/>
        <v>26.772087297622189</v>
      </c>
      <c r="AF94" s="344"/>
      <c r="AG94" s="359">
        <f t="shared" ca="1" si="56"/>
        <v>55.336916562846213</v>
      </c>
      <c r="AH94" s="357">
        <f t="shared" ca="1" si="57"/>
        <v>64.940079011940028</v>
      </c>
    </row>
    <row r="95" spans="1:34">
      <c r="A95" s="402">
        <f t="shared" ca="1" si="35"/>
        <v>0.01</v>
      </c>
      <c r="B95" s="357">
        <f t="shared" ca="1" si="36"/>
        <v>0.91000000000000059</v>
      </c>
      <c r="C95" s="342"/>
      <c r="D95" s="359">
        <f t="shared" ca="1" si="37"/>
        <v>13.216946182552455</v>
      </c>
      <c r="E95" s="360">
        <f t="shared" ca="1" si="38"/>
        <v>53.423085611165092</v>
      </c>
      <c r="F95" s="357">
        <f t="shared" ca="1" si="39"/>
        <v>55.033750940766907</v>
      </c>
      <c r="G95" s="359">
        <f t="shared" ca="1" si="40"/>
        <v>12.185468409762683</v>
      </c>
      <c r="H95" s="360">
        <f t="shared" ca="1" si="41"/>
        <v>58.200145035137758</v>
      </c>
      <c r="I95" s="357">
        <f t="shared" ca="1" si="42"/>
        <v>59.462109973296393</v>
      </c>
      <c r="J95" s="359">
        <f t="shared" ca="1" si="43"/>
        <v>5.3624087746457381</v>
      </c>
      <c r="K95" s="360">
        <f t="shared" ca="1" si="44"/>
        <v>27.351417593693007</v>
      </c>
      <c r="L95" s="357">
        <f t="shared" ca="1" si="29"/>
        <v>27.872127156910306</v>
      </c>
      <c r="M95" s="359">
        <f t="shared" ca="1" si="45"/>
        <v>1.3644058868336799</v>
      </c>
      <c r="N95" s="357">
        <f t="shared" ca="1" si="46"/>
        <v>78.174698858374072</v>
      </c>
      <c r="O95" s="343"/>
      <c r="P95" s="363">
        <f t="shared" ca="1" si="47"/>
        <v>8</v>
      </c>
      <c r="Q95" s="357">
        <f t="shared" ca="1" si="48"/>
        <v>32.327067048242021</v>
      </c>
      <c r="R95" s="359">
        <f t="shared" ca="1" si="49"/>
        <v>1.8609023186319896E-2</v>
      </c>
      <c r="S95" s="360">
        <f t="shared" ca="1" si="50"/>
        <v>0.44256284116335753</v>
      </c>
      <c r="T95" s="357">
        <f t="shared" ca="1" si="30"/>
        <v>4.3415414718125378</v>
      </c>
      <c r="U95" s="364">
        <f t="shared" ca="1" si="31"/>
        <v>0</v>
      </c>
      <c r="V95" s="359">
        <f t="shared" ca="1" si="32"/>
        <v>1.2216540271997385</v>
      </c>
      <c r="W95" s="357">
        <f t="shared" ca="1" si="33"/>
        <v>3.8075674731416256</v>
      </c>
      <c r="X95" s="343"/>
      <c r="Y95" s="367" t="str">
        <f t="shared" ca="1" si="51"/>
        <v/>
      </c>
      <c r="Z95" s="368" t="str">
        <f t="shared" ca="1" si="52"/>
        <v/>
      </c>
      <c r="AA95" s="369" t="str">
        <f t="shared" ca="1" si="53"/>
        <v/>
      </c>
      <c r="AB95" s="344"/>
      <c r="AC95" s="363" t="e">
        <f t="shared" ca="1" si="54"/>
        <v>#N/A</v>
      </c>
      <c r="AD95" s="376" t="e">
        <f t="shared" ca="1" si="55"/>
        <v>#N/A</v>
      </c>
      <c r="AE95" s="377">
        <f t="shared" ca="1" si="34"/>
        <v>27.351417593693007</v>
      </c>
      <c r="AF95" s="344"/>
      <c r="AG95" s="359">
        <f t="shared" ca="1" si="56"/>
        <v>54.99713874975798</v>
      </c>
      <c r="AH95" s="357">
        <f t="shared" ca="1" si="57"/>
        <v>64.599619056937343</v>
      </c>
    </row>
    <row r="96" spans="1:34">
      <c r="A96" s="402">
        <f t="shared" ca="1" si="35"/>
        <v>0.01</v>
      </c>
      <c r="B96" s="357">
        <f t="shared" ca="1" si="36"/>
        <v>0.9200000000000006</v>
      </c>
      <c r="C96" s="342"/>
      <c r="D96" s="359">
        <f t="shared" ca="1" si="37"/>
        <v>13.168345546027766</v>
      </c>
      <c r="E96" s="360">
        <f t="shared" ca="1" si="38"/>
        <v>53.084555619840295</v>
      </c>
      <c r="F96" s="357">
        <f t="shared" ca="1" si="39"/>
        <v>54.693467340949475</v>
      </c>
      <c r="G96" s="359">
        <f t="shared" ca="1" si="40"/>
        <v>12.317151865222961</v>
      </c>
      <c r="H96" s="360">
        <f t="shared" ca="1" si="41"/>
        <v>58.730990591336159</v>
      </c>
      <c r="I96" s="357">
        <f t="shared" ca="1" si="42"/>
        <v>60.008678421629838</v>
      </c>
      <c r="J96" s="359">
        <f t="shared" ca="1" si="43"/>
        <v>5.4849218760206666</v>
      </c>
      <c r="K96" s="360">
        <f t="shared" ca="1" si="44"/>
        <v>27.936073271825379</v>
      </c>
      <c r="L96" s="357">
        <f t="shared" ca="1" si="29"/>
        <v>28.469431990028294</v>
      </c>
      <c r="M96" s="359">
        <f t="shared" ca="1" si="45"/>
        <v>1.3640708775320669</v>
      </c>
      <c r="N96" s="357">
        <f t="shared" ca="1" si="46"/>
        <v>78.155504239294032</v>
      </c>
      <c r="O96" s="343"/>
      <c r="P96" s="363">
        <f t="shared" ca="1" si="47"/>
        <v>8</v>
      </c>
      <c r="Q96" s="357">
        <f t="shared" ca="1" si="48"/>
        <v>32.233984464431721</v>
      </c>
      <c r="R96" s="359">
        <f t="shared" ca="1" si="49"/>
        <v>1.8555440349442565E-2</v>
      </c>
      <c r="S96" s="360">
        <f t="shared" ca="1" si="50"/>
        <v>0.4423772867598631</v>
      </c>
      <c r="T96" s="357">
        <f t="shared" ca="1" si="30"/>
        <v>4.339721183114257</v>
      </c>
      <c r="U96" s="364">
        <f t="shared" ca="1" si="31"/>
        <v>0</v>
      </c>
      <c r="V96" s="359">
        <f t="shared" ca="1" si="32"/>
        <v>1.2215826044548188</v>
      </c>
      <c r="W96" s="357">
        <f t="shared" ca="1" si="33"/>
        <v>3.8776598500446955</v>
      </c>
      <c r="X96" s="343"/>
      <c r="Y96" s="367" t="str">
        <f t="shared" ca="1" si="51"/>
        <v/>
      </c>
      <c r="Z96" s="368" t="str">
        <f t="shared" ca="1" si="52"/>
        <v/>
      </c>
      <c r="AA96" s="369" t="str">
        <f t="shared" ca="1" si="53"/>
        <v/>
      </c>
      <c r="AB96" s="344"/>
      <c r="AC96" s="363" t="e">
        <f t="shared" ca="1" si="54"/>
        <v>#N/A</v>
      </c>
      <c r="AD96" s="376" t="e">
        <f t="shared" ca="1" si="55"/>
        <v>#N/A</v>
      </c>
      <c r="AE96" s="377">
        <f t="shared" ca="1" si="34"/>
        <v>27.936073271825379</v>
      </c>
      <c r="AF96" s="344"/>
      <c r="AG96" s="359">
        <f t="shared" ca="1" si="56"/>
        <v>54.656508090951171</v>
      </c>
      <c r="AH96" s="357">
        <f t="shared" ca="1" si="57"/>
        <v>64.258310365561073</v>
      </c>
    </row>
    <row r="97" spans="1:34">
      <c r="A97" s="402">
        <f t="shared" ca="1" si="35"/>
        <v>0.01</v>
      </c>
      <c r="B97" s="357">
        <f t="shared" ca="1" si="36"/>
        <v>0.9300000000000006</v>
      </c>
      <c r="C97" s="342"/>
      <c r="D97" s="359">
        <f t="shared" ca="1" si="37"/>
        <v>13.119191357651109</v>
      </c>
      <c r="E97" s="360">
        <f t="shared" ca="1" si="38"/>
        <v>52.745297898667111</v>
      </c>
      <c r="F97" s="357">
        <f t="shared" ca="1" si="39"/>
        <v>54.352365471042795</v>
      </c>
      <c r="G97" s="359">
        <f t="shared" ca="1" si="40"/>
        <v>12.448343778799472</v>
      </c>
      <c r="H97" s="360">
        <f t="shared" ca="1" si="41"/>
        <v>59.258443570322832</v>
      </c>
      <c r="I97" s="357">
        <f t="shared" ca="1" si="42"/>
        <v>60.551832319198326</v>
      </c>
      <c r="J97" s="359">
        <f t="shared" ca="1" si="43"/>
        <v>5.6087493542407785</v>
      </c>
      <c r="K97" s="360">
        <f t="shared" ca="1" si="44"/>
        <v>28.526020442633673</v>
      </c>
      <c r="L97" s="357">
        <f t="shared" ca="1" si="29"/>
        <v>29.072184500175602</v>
      </c>
      <c r="M97" s="359">
        <f t="shared" ca="1" si="45"/>
        <v>1.3637383420748461</v>
      </c>
      <c r="N97" s="357">
        <f t="shared" ca="1" si="46"/>
        <v>78.136451361056828</v>
      </c>
      <c r="O97" s="343"/>
      <c r="P97" s="363">
        <f t="shared" ca="1" si="47"/>
        <v>8</v>
      </c>
      <c r="Q97" s="357">
        <f t="shared" ca="1" si="48"/>
        <v>32.140901880621414</v>
      </c>
      <c r="R97" s="359">
        <f t="shared" ca="1" si="49"/>
        <v>1.8501857512565233E-2</v>
      </c>
      <c r="S97" s="360">
        <f t="shared" ca="1" si="50"/>
        <v>0.44219226818473745</v>
      </c>
      <c r="T97" s="357">
        <f t="shared" ca="1" si="30"/>
        <v>4.3379061508922749</v>
      </c>
      <c r="U97" s="364">
        <f t="shared" ca="1" si="31"/>
        <v>0</v>
      </c>
      <c r="V97" s="359">
        <f t="shared" ca="1" si="32"/>
        <v>1.2215105395168313</v>
      </c>
      <c r="W97" s="357">
        <f t="shared" ca="1" si="33"/>
        <v>3.9479399955682482</v>
      </c>
      <c r="X97" s="343"/>
      <c r="Y97" s="367" t="str">
        <f t="shared" ca="1" si="51"/>
        <v/>
      </c>
      <c r="Z97" s="368" t="str">
        <f t="shared" ca="1" si="52"/>
        <v/>
      </c>
      <c r="AA97" s="369" t="str">
        <f t="shared" ca="1" si="53"/>
        <v/>
      </c>
      <c r="AB97" s="344"/>
      <c r="AC97" s="363" t="e">
        <f t="shared" ca="1" si="54"/>
        <v>#N/A</v>
      </c>
      <c r="AD97" s="376" t="e">
        <f t="shared" ca="1" si="55"/>
        <v>#N/A</v>
      </c>
      <c r="AE97" s="377">
        <f t="shared" ca="1" si="34"/>
        <v>28.526020442633673</v>
      </c>
      <c r="AF97" s="344"/>
      <c r="AG97" s="359">
        <f t="shared" ca="1" si="56"/>
        <v>54.315054966285096</v>
      </c>
      <c r="AH97" s="357">
        <f t="shared" ca="1" si="57"/>
        <v>63.916183217317148</v>
      </c>
    </row>
    <row r="98" spans="1:34">
      <c r="A98" s="402">
        <f t="shared" ca="1" si="35"/>
        <v>0.01</v>
      </c>
      <c r="B98" s="357">
        <f t="shared" ca="1" si="36"/>
        <v>0.94000000000000061</v>
      </c>
      <c r="C98" s="342"/>
      <c r="D98" s="359">
        <f t="shared" ca="1" si="37"/>
        <v>13.069495373877471</v>
      </c>
      <c r="E98" s="360">
        <f t="shared" ca="1" si="38"/>
        <v>52.405341082121438</v>
      </c>
      <c r="F98" s="357">
        <f t="shared" ca="1" si="39"/>
        <v>54.010475680753729</v>
      </c>
      <c r="G98" s="359">
        <f t="shared" ca="1" si="40"/>
        <v>12.579038732538248</v>
      </c>
      <c r="H98" s="360">
        <f t="shared" ca="1" si="41"/>
        <v>59.78249698114405</v>
      </c>
      <c r="I98" s="357">
        <f t="shared" ca="1" si="42"/>
        <v>61.091563744392687</v>
      </c>
      <c r="J98" s="359">
        <f t="shared" ca="1" si="43"/>
        <v>5.7338862667974668</v>
      </c>
      <c r="K98" s="360">
        <f t="shared" ca="1" si="44"/>
        <v>29.121225145391008</v>
      </c>
      <c r="L98" s="357">
        <f t="shared" ca="1" si="29"/>
        <v>29.680350498084117</v>
      </c>
      <c r="M98" s="359">
        <f t="shared" ca="1" si="45"/>
        <v>1.3634082219069084</v>
      </c>
      <c r="N98" s="357">
        <f t="shared" ca="1" si="46"/>
        <v>78.117536868701833</v>
      </c>
      <c r="O98" s="343"/>
      <c r="P98" s="363">
        <f t="shared" ca="1" si="47"/>
        <v>8</v>
      </c>
      <c r="Q98" s="357">
        <f t="shared" ca="1" si="48"/>
        <v>32.047819296811113</v>
      </c>
      <c r="R98" s="359">
        <f t="shared" ca="1" si="49"/>
        <v>1.8448274675687902E-2</v>
      </c>
      <c r="S98" s="360">
        <f t="shared" ca="1" si="50"/>
        <v>0.44200778543798058</v>
      </c>
      <c r="T98" s="357">
        <f t="shared" ca="1" si="30"/>
        <v>4.3360963751465897</v>
      </c>
      <c r="U98" s="364">
        <f t="shared" ca="1" si="31"/>
        <v>0</v>
      </c>
      <c r="V98" s="359">
        <f t="shared" ca="1" si="32"/>
        <v>1.221437836647739</v>
      </c>
      <c r="W98" s="357">
        <f t="shared" ca="1" si="33"/>
        <v>4.0183947542260618</v>
      </c>
      <c r="X98" s="343"/>
      <c r="Y98" s="367" t="str">
        <f t="shared" ca="1" si="51"/>
        <v/>
      </c>
      <c r="Z98" s="368" t="str">
        <f t="shared" ca="1" si="52"/>
        <v/>
      </c>
      <c r="AA98" s="369" t="str">
        <f t="shared" ca="1" si="53"/>
        <v/>
      </c>
      <c r="AB98" s="344"/>
      <c r="AC98" s="363" t="e">
        <f t="shared" ca="1" si="54"/>
        <v>#N/A</v>
      </c>
      <c r="AD98" s="376" t="e">
        <f t="shared" ca="1" si="55"/>
        <v>#N/A</v>
      </c>
      <c r="AE98" s="377">
        <f t="shared" ca="1" si="34"/>
        <v>29.121225145391008</v>
      </c>
      <c r="AF98" s="344"/>
      <c r="AG98" s="359">
        <f t="shared" ca="1" si="56"/>
        <v>53.972809633568801</v>
      </c>
      <c r="AH98" s="357">
        <f t="shared" ca="1" si="57"/>
        <v>63.5732677726457</v>
      </c>
    </row>
    <row r="99" spans="1:34">
      <c r="A99" s="402">
        <f t="shared" ca="1" si="35"/>
        <v>0.01</v>
      </c>
      <c r="B99" s="357">
        <f t="shared" ca="1" si="36"/>
        <v>0.95000000000000062</v>
      </c>
      <c r="C99" s="342"/>
      <c r="D99" s="359">
        <f t="shared" ca="1" si="37"/>
        <v>13.019269176688796</v>
      </c>
      <c r="E99" s="360">
        <f t="shared" ca="1" si="38"/>
        <v>52.064713704379123</v>
      </c>
      <c r="F99" s="357">
        <f t="shared" ca="1" si="39"/>
        <v>53.667828193565299</v>
      </c>
      <c r="G99" s="359">
        <f t="shared" ca="1" si="40"/>
        <v>12.709231424305136</v>
      </c>
      <c r="H99" s="360">
        <f t="shared" ca="1" si="41"/>
        <v>60.303144118187838</v>
      </c>
      <c r="I99" s="357">
        <f t="shared" ca="1" si="42"/>
        <v>61.62786507689097</v>
      </c>
      <c r="J99" s="359">
        <f t="shared" ca="1" si="43"/>
        <v>5.8603276175816834</v>
      </c>
      <c r="K99" s="360">
        <f t="shared" ca="1" si="44"/>
        <v>29.721653350887667</v>
      </c>
      <c r="L99" s="357">
        <f t="shared" ca="1" si="29"/>
        <v>30.293895716723572</v>
      </c>
      <c r="M99" s="359">
        <f t="shared" ca="1" si="45"/>
        <v>1.3630804602815125</v>
      </c>
      <c r="N99" s="357">
        <f t="shared" ca="1" si="46"/>
        <v>78.098757510880304</v>
      </c>
      <c r="O99" s="343"/>
      <c r="P99" s="363">
        <f t="shared" ca="1" si="47"/>
        <v>8</v>
      </c>
      <c r="Q99" s="357">
        <f t="shared" ca="1" si="48"/>
        <v>31.954736713000809</v>
      </c>
      <c r="R99" s="359">
        <f t="shared" ca="1" si="49"/>
        <v>1.8394691838810571E-2</v>
      </c>
      <c r="S99" s="360">
        <f t="shared" ca="1" si="50"/>
        <v>0.4418238385195925</v>
      </c>
      <c r="T99" s="357">
        <f t="shared" ca="1" si="30"/>
        <v>4.3342918558772023</v>
      </c>
      <c r="U99" s="364">
        <f t="shared" ca="1" si="31"/>
        <v>0</v>
      </c>
      <c r="V99" s="359">
        <f t="shared" ca="1" si="32"/>
        <v>1.221364500117879</v>
      </c>
      <c r="W99" s="357">
        <f t="shared" ca="1" si="33"/>
        <v>4.0890110527565025</v>
      </c>
      <c r="X99" s="343"/>
      <c r="Y99" s="367" t="str">
        <f t="shared" ca="1" si="51"/>
        <v/>
      </c>
      <c r="Z99" s="368" t="str">
        <f t="shared" ca="1" si="52"/>
        <v/>
      </c>
      <c r="AA99" s="369" t="str">
        <f t="shared" ca="1" si="53"/>
        <v/>
      </c>
      <c r="AB99" s="344"/>
      <c r="AC99" s="363" t="e">
        <f t="shared" ca="1" si="54"/>
        <v>#N/A</v>
      </c>
      <c r="AD99" s="376" t="e">
        <f t="shared" ca="1" si="55"/>
        <v>#N/A</v>
      </c>
      <c r="AE99" s="377">
        <f t="shared" ca="1" si="34"/>
        <v>29.721653350887667</v>
      </c>
      <c r="AF99" s="344"/>
      <c r="AG99" s="359">
        <f t="shared" ca="1" si="56"/>
        <v>53.629802222893716</v>
      </c>
      <c r="AH99" s="357">
        <f t="shared" ca="1" si="57"/>
        <v>63.229594067129362</v>
      </c>
    </row>
    <row r="100" spans="1:34">
      <c r="A100" s="402">
        <f t="shared" ca="1" si="35"/>
        <v>0.01</v>
      </c>
      <c r="B100" s="357">
        <f t="shared" ca="1" si="36"/>
        <v>0.96000000000000063</v>
      </c>
      <c r="C100" s="342"/>
      <c r="D100" s="359">
        <f t="shared" ca="1" si="37"/>
        <v>12.96852417922417</v>
      </c>
      <c r="E100" s="360">
        <f t="shared" ca="1" si="38"/>
        <v>51.72344419272904</v>
      </c>
      <c r="F100" s="357">
        <f t="shared" ca="1" si="39"/>
        <v>53.324453101231875</v>
      </c>
      <c r="G100" s="359">
        <f t="shared" ca="1" si="40"/>
        <v>12.838916666097377</v>
      </c>
      <c r="H100" s="360">
        <f t="shared" ca="1" si="41"/>
        <v>60.820378560115131</v>
      </c>
      <c r="I100" s="357">
        <f t="shared" ca="1" si="42"/>
        <v>62.160728996326171</v>
      </c>
      <c r="J100" s="359">
        <f t="shared" ca="1" si="43"/>
        <v>5.9880683580336962</v>
      </c>
      <c r="K100" s="360">
        <f t="shared" ca="1" si="44"/>
        <v>30.327270964279183</v>
      </c>
      <c r="L100" s="357">
        <f t="shared" ca="1" si="29"/>
        <v>30.912785814308219</v>
      </c>
      <c r="M100" s="359">
        <f t="shared" ca="1" si="45"/>
        <v>1.3627550021844528</v>
      </c>
      <c r="N100" s="357">
        <f t="shared" ca="1" si="46"/>
        <v>78.080110135510424</v>
      </c>
      <c r="O100" s="343"/>
      <c r="P100" s="363">
        <f t="shared" ca="1" si="47"/>
        <v>8</v>
      </c>
      <c r="Q100" s="357">
        <f t="shared" ca="1" si="48"/>
        <v>31.861654129190509</v>
      </c>
      <c r="R100" s="359">
        <f t="shared" ca="1" si="49"/>
        <v>1.8341109001933243E-2</v>
      </c>
      <c r="S100" s="360">
        <f t="shared" ca="1" si="50"/>
        <v>0.44164042742957316</v>
      </c>
      <c r="T100" s="357">
        <f t="shared" ca="1" si="30"/>
        <v>4.3324925930841127</v>
      </c>
      <c r="U100" s="364">
        <f t="shared" ca="1" si="31"/>
        <v>0</v>
      </c>
      <c r="V100" s="359">
        <f t="shared" ca="1" si="32"/>
        <v>1.2212905342055898</v>
      </c>
      <c r="W100" s="357">
        <f t="shared" ca="1" si="33"/>
        <v>4.1597759023083443</v>
      </c>
      <c r="X100" s="343"/>
      <c r="Y100" s="367" t="str">
        <f t="shared" ca="1" si="51"/>
        <v/>
      </c>
      <c r="Z100" s="368" t="str">
        <f t="shared" ca="1" si="52"/>
        <v/>
      </c>
      <c r="AA100" s="369" t="str">
        <f t="shared" ca="1" si="53"/>
        <v/>
      </c>
      <c r="AB100" s="344"/>
      <c r="AC100" s="363" t="e">
        <f t="shared" ca="1" si="54"/>
        <v>#N/A</v>
      </c>
      <c r="AD100" s="376" t="e">
        <f t="shared" ca="1" si="55"/>
        <v>#N/A</v>
      </c>
      <c r="AE100" s="377">
        <f t="shared" ca="1" si="34"/>
        <v>30.327270964279183</v>
      </c>
      <c r="AF100" s="344"/>
      <c r="AG100" s="359">
        <f t="shared" ca="1" si="56"/>
        <v>53.286062731062081</v>
      </c>
      <c r="AH100" s="357">
        <f t="shared" ca="1" si="57"/>
        <v>62.885192005803894</v>
      </c>
    </row>
    <row r="101" spans="1:34">
      <c r="A101" s="402">
        <f t="shared" ca="1" si="35"/>
        <v>0.01</v>
      </c>
      <c r="B101" s="357">
        <f t="shared" ca="1" si="36"/>
        <v>0.97000000000000064</v>
      </c>
      <c r="C101" s="342"/>
      <c r="D101" s="359">
        <f t="shared" ca="1" si="37"/>
        <v>12.917271631055614</v>
      </c>
      <c r="E101" s="360">
        <f t="shared" ca="1" si="38"/>
        <v>51.381560861142795</v>
      </c>
      <c r="F101" s="357">
        <f t="shared" ca="1" si="39"/>
        <v>52.980380358372237</v>
      </c>
      <c r="G101" s="359">
        <f t="shared" ca="1" si="40"/>
        <v>12.968089382407934</v>
      </c>
      <c r="H101" s="360">
        <f t="shared" ca="1" si="41"/>
        <v>61.334194168726562</v>
      </c>
      <c r="I101" s="357">
        <f t="shared" ca="1" si="42"/>
        <v>62.690148480899076</v>
      </c>
      <c r="J101" s="359">
        <f t="shared" ca="1" si="43"/>
        <v>6.1171033882762229</v>
      </c>
      <c r="K101" s="360">
        <f t="shared" ca="1" si="44"/>
        <v>30.938043827923391</v>
      </c>
      <c r="L101" s="357">
        <f t="shared" ca="1" si="29"/>
        <v>31.536986377289903</v>
      </c>
      <c r="M101" s="359">
        <f t="shared" ca="1" si="45"/>
        <v>1.3624317942621704</v>
      </c>
      <c r="N101" s="357">
        <f t="shared" ca="1" si="46"/>
        <v>78.061591685658456</v>
      </c>
      <c r="O101" s="343"/>
      <c r="P101" s="363">
        <f t="shared" ca="1" si="47"/>
        <v>8</v>
      </c>
      <c r="Q101" s="357">
        <f t="shared" ca="1" si="48"/>
        <v>31.768571545380205</v>
      </c>
      <c r="R101" s="359">
        <f t="shared" ca="1" si="49"/>
        <v>1.8287526165055908E-2</v>
      </c>
      <c r="S101" s="360">
        <f t="shared" ca="1" si="50"/>
        <v>0.4414575521679226</v>
      </c>
      <c r="T101" s="357">
        <f t="shared" ca="1" si="30"/>
        <v>4.3306985867673209</v>
      </c>
      <c r="U101" s="364">
        <f t="shared" ca="1" si="31"/>
        <v>0</v>
      </c>
      <c r="V101" s="359">
        <f t="shared" ca="1" si="32"/>
        <v>1.2212159431968408</v>
      </c>
      <c r="W101" s="357">
        <f t="shared" ca="1" si="33"/>
        <v>4.2306764005755051</v>
      </c>
      <c r="X101" s="343"/>
      <c r="Y101" s="367" t="str">
        <f t="shared" ca="1" si="51"/>
        <v/>
      </c>
      <c r="Z101" s="368" t="str">
        <f t="shared" ca="1" si="52"/>
        <v/>
      </c>
      <c r="AA101" s="369" t="str">
        <f t="shared" ca="1" si="53"/>
        <v/>
      </c>
      <c r="AB101" s="344"/>
      <c r="AC101" s="363" t="e">
        <f t="shared" ca="1" si="54"/>
        <v>#N/A</v>
      </c>
      <c r="AD101" s="376" t="e">
        <f t="shared" ca="1" si="55"/>
        <v>#N/A</v>
      </c>
      <c r="AE101" s="377">
        <f t="shared" ca="1" si="34"/>
        <v>30.938043827923391</v>
      </c>
      <c r="AF101" s="344"/>
      <c r="AG101" s="359">
        <f t="shared" ca="1" si="56"/>
        <v>52.941621016112357</v>
      </c>
      <c r="AH101" s="357">
        <f t="shared" ca="1" si="57"/>
        <v>62.540091357571718</v>
      </c>
    </row>
    <row r="102" spans="1:34">
      <c r="A102" s="402">
        <f t="shared" ca="1" si="35"/>
        <v>0.01</v>
      </c>
      <c r="B102" s="357">
        <f t="shared" ca="1" si="36"/>
        <v>0.98000000000000065</v>
      </c>
      <c r="C102" s="342"/>
      <c r="D102" s="359">
        <f t="shared" ca="1" si="37"/>
        <v>12.865522623133522</v>
      </c>
      <c r="E102" s="360">
        <f t="shared" ca="1" si="38"/>
        <v>51.039091903999157</v>
      </c>
      <c r="F102" s="357">
        <f t="shared" ca="1" si="39"/>
        <v>52.635639777162702</v>
      </c>
      <c r="G102" s="359">
        <f t="shared" ca="1" si="40"/>
        <v>13.09674460863927</v>
      </c>
      <c r="H102" s="360">
        <f t="shared" ca="1" si="41"/>
        <v>61.844585087766553</v>
      </c>
      <c r="I102" s="357">
        <f t="shared" ca="1" si="42"/>
        <v>63.216116805937382</v>
      </c>
      <c r="J102" s="359">
        <f t="shared" ca="1" si="43"/>
        <v>6.2474275582314593</v>
      </c>
      <c r="K102" s="360">
        <f t="shared" ca="1" si="44"/>
        <v>31.553937724205856</v>
      </c>
      <c r="L102" s="357">
        <f t="shared" ca="1" si="29"/>
        <v>32.166462923336958</v>
      </c>
      <c r="M102" s="359">
        <f t="shared" ca="1" si="45"/>
        <v>1.3621107847535692</v>
      </c>
      <c r="N102" s="357">
        <f t="shared" ca="1" si="46"/>
        <v>78.043199195632027</v>
      </c>
      <c r="O102" s="343"/>
      <c r="P102" s="363">
        <f t="shared" ca="1" si="47"/>
        <v>8</v>
      </c>
      <c r="Q102" s="357">
        <f t="shared" ca="1" si="48"/>
        <v>31.675488961569904</v>
      </c>
      <c r="R102" s="359">
        <f t="shared" ca="1" si="49"/>
        <v>1.8233943328178581E-2</v>
      </c>
      <c r="S102" s="360">
        <f t="shared" ca="1" si="50"/>
        <v>0.44127521273464082</v>
      </c>
      <c r="T102" s="357">
        <f t="shared" ca="1" si="30"/>
        <v>4.3289098369268268</v>
      </c>
      <c r="U102" s="364">
        <f t="shared" ca="1" si="31"/>
        <v>0</v>
      </c>
      <c r="V102" s="359">
        <f t="shared" ca="1" si="32"/>
        <v>1.2211407313848621</v>
      </c>
      <c r="W102" s="357">
        <f t="shared" ca="1" si="33"/>
        <v>4.3016997338804277</v>
      </c>
      <c r="X102" s="343"/>
      <c r="Y102" s="367" t="str">
        <f t="shared" ca="1" si="51"/>
        <v/>
      </c>
      <c r="Z102" s="368" t="str">
        <f t="shared" ca="1" si="52"/>
        <v/>
      </c>
      <c r="AA102" s="369" t="str">
        <f t="shared" ca="1" si="53"/>
        <v/>
      </c>
      <c r="AB102" s="344"/>
      <c r="AC102" s="363" t="e">
        <f t="shared" ca="1" si="54"/>
        <v>#N/A</v>
      </c>
      <c r="AD102" s="376" t="e">
        <f t="shared" ca="1" si="55"/>
        <v>#N/A</v>
      </c>
      <c r="AE102" s="377">
        <f t="shared" ca="1" si="34"/>
        <v>31.553937724205856</v>
      </c>
      <c r="AF102" s="344"/>
      <c r="AG102" s="359">
        <f t="shared" ca="1" si="56"/>
        <v>52.59650679194344</v>
      </c>
      <c r="AH102" s="357">
        <f t="shared" ca="1" si="57"/>
        <v>62.194321749720018</v>
      </c>
    </row>
    <row r="103" spans="1:34">
      <c r="A103" s="402">
        <f t="shared" ca="1" si="35"/>
        <v>0.01</v>
      </c>
      <c r="B103" s="357">
        <f t="shared" ca="1" si="36"/>
        <v>0.99000000000000066</v>
      </c>
      <c r="C103" s="342"/>
      <c r="D103" s="359">
        <f t="shared" ca="1" si="37"/>
        <v>12.813288092423413</v>
      </c>
      <c r="E103" s="360">
        <f t="shared" ca="1" si="38"/>
        <v>50.696065389960893</v>
      </c>
      <c r="F103" s="357">
        <f t="shared" ca="1" si="39"/>
        <v>52.290261022131361</v>
      </c>
      <c r="G103" s="359">
        <f t="shared" ca="1" si="40"/>
        <v>13.224877489563504</v>
      </c>
      <c r="H103" s="360">
        <f t="shared" ca="1" si="41"/>
        <v>62.351545741666165</v>
      </c>
      <c r="I103" s="357">
        <f t="shared" ca="1" si="42"/>
        <v>63.738627542402035</v>
      </c>
      <c r="J103" s="359">
        <f t="shared" ca="1" si="43"/>
        <v>6.379035668722473</v>
      </c>
      <c r="K103" s="360">
        <f t="shared" ca="1" si="44"/>
        <v>32.17491837835302</v>
      </c>
      <c r="L103" s="357">
        <f t="shared" ca="1" si="29"/>
        <v>32.801180904298441</v>
      </c>
      <c r="M103" s="359">
        <f t="shared" ca="1" si="45"/>
        <v>1.3617919234253042</v>
      </c>
      <c r="N103" s="357">
        <f t="shared" ca="1" si="46"/>
        <v>78.024929787272512</v>
      </c>
      <c r="O103" s="343"/>
      <c r="P103" s="363">
        <f t="shared" ca="1" si="47"/>
        <v>8</v>
      </c>
      <c r="Q103" s="357">
        <f t="shared" ca="1" si="48"/>
        <v>31.5824063777596</v>
      </c>
      <c r="R103" s="359">
        <f t="shared" ca="1" si="49"/>
        <v>1.8180360491301249E-2</v>
      </c>
      <c r="S103" s="360">
        <f t="shared" ca="1" si="50"/>
        <v>0.44109340912972783</v>
      </c>
      <c r="T103" s="357">
        <f t="shared" ca="1" si="30"/>
        <v>4.3271263435626306</v>
      </c>
      <c r="U103" s="364">
        <f t="shared" ca="1" si="31"/>
        <v>0</v>
      </c>
      <c r="V103" s="359">
        <f t="shared" ca="1" si="32"/>
        <v>1.2210649030697789</v>
      </c>
      <c r="W103" s="357">
        <f t="shared" ca="1" si="33"/>
        <v>4.3728331792059407</v>
      </c>
      <c r="X103" s="343"/>
      <c r="Y103" s="367" t="str">
        <f t="shared" ca="1" si="51"/>
        <v/>
      </c>
      <c r="Z103" s="368" t="str">
        <f t="shared" ca="1" si="52"/>
        <v/>
      </c>
      <c r="AA103" s="369" t="str">
        <f t="shared" ca="1" si="53"/>
        <v/>
      </c>
      <c r="AB103" s="344"/>
      <c r="AC103" s="363" t="e">
        <f t="shared" ca="1" si="54"/>
        <v>#N/A</v>
      </c>
      <c r="AD103" s="376" t="e">
        <f t="shared" ca="1" si="55"/>
        <v>#N/A</v>
      </c>
      <c r="AE103" s="377">
        <f t="shared" ca="1" si="34"/>
        <v>32.17491837835302</v>
      </c>
      <c r="AF103" s="344"/>
      <c r="AG103" s="359">
        <f t="shared" ca="1" si="56"/>
        <v>52.250749623038679</v>
      </c>
      <c r="AH103" s="357">
        <f t="shared" ca="1" si="57"/>
        <v>61.847912662543948</v>
      </c>
    </row>
    <row r="104" spans="1:34">
      <c r="A104" s="402">
        <f t="shared" ca="1" si="35"/>
        <v>0.01</v>
      </c>
      <c r="B104" s="357">
        <f t="shared" ca="1" si="36"/>
        <v>1.0000000000000007</v>
      </c>
      <c r="C104" s="342"/>
      <c r="D104" s="359">
        <f t="shared" ca="1" si="37"/>
        <v>12.76057882625469</v>
      </c>
      <c r="E104" s="360">
        <f t="shared" ca="1" si="38"/>
        <v>50.352509256001923</v>
      </c>
      <c r="F104" s="357">
        <f t="shared" ca="1" si="39"/>
        <v>51.944273605055052</v>
      </c>
      <c r="G104" s="359">
        <f t="shared" ca="1" si="40"/>
        <v>13.352483277826051</v>
      </c>
      <c r="H104" s="360">
        <f t="shared" ca="1" si="41"/>
        <v>62.855070834226183</v>
      </c>
      <c r="I104" s="357">
        <f t="shared" ca="1" si="42"/>
        <v>64.257674555341751</v>
      </c>
      <c r="J104" s="359">
        <f t="shared" ca="1" si="43"/>
        <v>6.5119224725594211</v>
      </c>
      <c r="K104" s="360">
        <f t="shared" ca="1" si="44"/>
        <v>32.800951461232479</v>
      </c>
      <c r="L104" s="357">
        <f t="shared" ca="1" si="29"/>
        <v>33.441105709153121</v>
      </c>
      <c r="M104" s="359">
        <f t="shared" ca="1" si="45"/>
        <v>1.3614751615103324</v>
      </c>
      <c r="N104" s="357">
        <f t="shared" ca="1" si="46"/>
        <v>78.006780666434153</v>
      </c>
      <c r="O104" s="343"/>
      <c r="P104" s="363">
        <f t="shared" ca="1" si="47"/>
        <v>8</v>
      </c>
      <c r="Q104" s="357">
        <f t="shared" ca="1" si="48"/>
        <v>31.489323793949296</v>
      </c>
      <c r="R104" s="359">
        <f t="shared" ca="1" si="49"/>
        <v>1.8126777654423918E-2</v>
      </c>
      <c r="S104" s="360">
        <f t="shared" ca="1" si="50"/>
        <v>0.44091214135318357</v>
      </c>
      <c r="T104" s="357">
        <f t="shared" ca="1" si="30"/>
        <v>4.3253481066747312</v>
      </c>
      <c r="U104" s="364">
        <f t="shared" ca="1" si="31"/>
        <v>0</v>
      </c>
      <c r="V104" s="359">
        <f t="shared" ca="1" si="32"/>
        <v>1.220988462558245</v>
      </c>
      <c r="W104" s="357">
        <f t="shared" ca="1" si="33"/>
        <v>4.4440641061753396</v>
      </c>
      <c r="X104" s="343"/>
      <c r="Y104" s="367" t="str">
        <f t="shared" ca="1" si="51"/>
        <v/>
      </c>
      <c r="Z104" s="368" t="str">
        <f t="shared" ca="1" si="52"/>
        <v/>
      </c>
      <c r="AA104" s="369" t="str">
        <f t="shared" ca="1" si="53"/>
        <v/>
      </c>
      <c r="AB104" s="344"/>
      <c r="AC104" s="363">
        <f t="shared" ca="1" si="54"/>
        <v>1.0000000000000007</v>
      </c>
      <c r="AD104" s="376">
        <f t="shared" ca="1" si="55"/>
        <v>6.5119224725594211</v>
      </c>
      <c r="AE104" s="377">
        <f t="shared" ca="1" si="34"/>
        <v>32.800951461232479</v>
      </c>
      <c r="AF104" s="344"/>
      <c r="AG104" s="359">
        <f t="shared" ca="1" si="56"/>
        <v>51.904378919291254</v>
      </c>
      <c r="AH104" s="357">
        <f t="shared" ca="1" si="57"/>
        <v>61.500893424076182</v>
      </c>
    </row>
    <row r="105" spans="1:34">
      <c r="A105" s="402">
        <f t="shared" ca="1" si="35"/>
        <v>0.01</v>
      </c>
      <c r="B105" s="357">
        <f t="shared" ca="1" si="36"/>
        <v>1.0100000000000007</v>
      </c>
      <c r="C105" s="342"/>
      <c r="D105" s="359">
        <f t="shared" ca="1" si="37"/>
        <v>12.707405466400511</v>
      </c>
      <c r="E105" s="360">
        <f t="shared" ca="1" si="38"/>
        <v>50.008451301582859</v>
      </c>
      <c r="F105" s="357">
        <f t="shared" ca="1" si="39"/>
        <v>51.597706879960178</v>
      </c>
      <c r="G105" s="359">
        <f t="shared" ca="1" si="40"/>
        <v>13.479557332490057</v>
      </c>
      <c r="H105" s="360">
        <f t="shared" ca="1" si="41"/>
        <v>63.355155347242011</v>
      </c>
      <c r="I105" s="357">
        <f t="shared" ca="1" si="42"/>
        <v>64.773252002296857</v>
      </c>
      <c r="J105" s="359">
        <f t="shared" ca="1" si="43"/>
        <v>6.6460826756110016</v>
      </c>
      <c r="K105" s="360">
        <f t="shared" ca="1" si="44"/>
        <v>33.432002592139817</v>
      </c>
      <c r="L105" s="357">
        <f t="shared" ca="1" si="29"/>
        <v>34.086202666942825</v>
      </c>
      <c r="M105" s="359">
        <f t="shared" ca="1" si="45"/>
        <v>1.3611604516495304</v>
      </c>
      <c r="N105" s="357">
        <f t="shared" ca="1" si="46"/>
        <v>77.988749119639039</v>
      </c>
      <c r="O105" s="343"/>
      <c r="P105" s="363">
        <f t="shared" ca="1" si="47"/>
        <v>8</v>
      </c>
      <c r="Q105" s="357">
        <f t="shared" ca="1" si="48"/>
        <v>31.396241210138992</v>
      </c>
      <c r="R105" s="359">
        <f t="shared" ca="1" si="49"/>
        <v>1.8073194817546587E-2</v>
      </c>
      <c r="S105" s="360">
        <f t="shared" ca="1" si="50"/>
        <v>0.4407314094050081</v>
      </c>
      <c r="T105" s="357">
        <f t="shared" ca="1" si="30"/>
        <v>4.3235751262631297</v>
      </c>
      <c r="U105" s="364">
        <f t="shared" ca="1" si="31"/>
        <v>0</v>
      </c>
      <c r="V105" s="359">
        <f t="shared" ca="1" si="32"/>
        <v>1.2209114141630777</v>
      </c>
      <c r="W105" s="357">
        <f t="shared" ca="1" si="33"/>
        <v>4.5153799789805715</v>
      </c>
      <c r="X105" s="343"/>
      <c r="Y105" s="367" t="str">
        <f t="shared" ca="1" si="51"/>
        <v/>
      </c>
      <c r="Z105" s="368" t="str">
        <f t="shared" ca="1" si="52"/>
        <v/>
      </c>
      <c r="AA105" s="369" t="str">
        <f t="shared" ca="1" si="53"/>
        <v/>
      </c>
      <c r="AB105" s="344"/>
      <c r="AC105" s="363" t="e">
        <f t="shared" ca="1" si="54"/>
        <v>#N/A</v>
      </c>
      <c r="AD105" s="376" t="e">
        <f t="shared" ca="1" si="55"/>
        <v>#N/A</v>
      </c>
      <c r="AE105" s="377">
        <f t="shared" ca="1" si="34"/>
        <v>33.432002592139817</v>
      </c>
      <c r="AF105" s="344"/>
      <c r="AG105" s="359">
        <f t="shared" ca="1" si="56"/>
        <v>51.557423930931883</v>
      </c>
      <c r="AH105" s="357">
        <f t="shared" ca="1" si="57"/>
        <v>61.153293204923528</v>
      </c>
    </row>
    <row r="106" spans="1:34">
      <c r="A106" s="402">
        <f t="shared" ca="1" si="35"/>
        <v>0.01</v>
      </c>
      <c r="B106" s="357">
        <f t="shared" ca="1" si="36"/>
        <v>1.0200000000000007</v>
      </c>
      <c r="C106" s="342"/>
      <c r="D106" s="359">
        <f t="shared" ca="1" si="37"/>
        <v>12.653778512906282</v>
      </c>
      <c r="E106" s="360">
        <f t="shared" ca="1" si="38"/>
        <v>49.663919182973437</v>
      </c>
      <c r="F106" s="357">
        <f t="shared" ca="1" si="39"/>
        <v>51.250590038228886</v>
      </c>
      <c r="G106" s="359">
        <f t="shared" ca="1" si="40"/>
        <v>13.60609511761912</v>
      </c>
      <c r="H106" s="360">
        <f t="shared" ca="1" si="41"/>
        <v>63.851794539071747</v>
      </c>
      <c r="I106" s="357">
        <f t="shared" ca="1" si="42"/>
        <v>65.285354331653366</v>
      </c>
      <c r="J106" s="359">
        <f t="shared" ca="1" si="43"/>
        <v>6.7815109378615475</v>
      </c>
      <c r="K106" s="360">
        <f t="shared" ca="1" si="44"/>
        <v>34.068037341571383</v>
      </c>
      <c r="L106" s="357">
        <f t="shared" ca="1" si="29"/>
        <v>34.736437049689449</v>
      </c>
      <c r="M106" s="359">
        <f t="shared" ca="1" si="45"/>
        <v>1.3608477478361956</v>
      </c>
      <c r="N106" s="357">
        <f t="shared" ca="1" si="46"/>
        <v>77.97083251089731</v>
      </c>
      <c r="O106" s="343"/>
      <c r="P106" s="363">
        <f t="shared" ca="1" si="47"/>
        <v>8</v>
      </c>
      <c r="Q106" s="357">
        <f t="shared" ca="1" si="48"/>
        <v>31.303158626328692</v>
      </c>
      <c r="R106" s="359">
        <f t="shared" ca="1" si="49"/>
        <v>1.8019611980669255E-2</v>
      </c>
      <c r="S106" s="360">
        <f t="shared" ca="1" si="50"/>
        <v>0.44055121328520142</v>
      </c>
      <c r="T106" s="357">
        <f t="shared" ca="1" si="30"/>
        <v>4.3218074023278259</v>
      </c>
      <c r="U106" s="364">
        <f t="shared" ca="1" si="31"/>
        <v>0</v>
      </c>
      <c r="V106" s="359">
        <f t="shared" ca="1" si="32"/>
        <v>1.2208337622029</v>
      </c>
      <c r="W106" s="357">
        <f t="shared" ca="1" si="33"/>
        <v>4.5867683582584071</v>
      </c>
      <c r="X106" s="343"/>
      <c r="Y106" s="367" t="str">
        <f t="shared" ca="1" si="51"/>
        <v/>
      </c>
      <c r="Z106" s="368" t="str">
        <f t="shared" ca="1" si="52"/>
        <v/>
      </c>
      <c r="AA106" s="369" t="str">
        <f t="shared" ca="1" si="53"/>
        <v/>
      </c>
      <c r="AB106" s="344"/>
      <c r="AC106" s="363" t="e">
        <f t="shared" ca="1" si="54"/>
        <v>#N/A</v>
      </c>
      <c r="AD106" s="376" t="e">
        <f t="shared" ca="1" si="55"/>
        <v>#N/A</v>
      </c>
      <c r="AE106" s="377">
        <f t="shared" ca="1" si="34"/>
        <v>34.068037341571383</v>
      </c>
      <c r="AF106" s="344"/>
      <c r="AG106" s="359">
        <f t="shared" ca="1" si="56"/>
        <v>51.209913743560122</v>
      </c>
      <c r="AH106" s="357">
        <f t="shared" ca="1" si="57"/>
        <v>60.805141013211575</v>
      </c>
    </row>
    <row r="107" spans="1:34">
      <c r="A107" s="402">
        <f t="shared" ca="1" si="35"/>
        <v>0.01</v>
      </c>
      <c r="B107" s="357">
        <f t="shared" ca="1" si="36"/>
        <v>1.0300000000000007</v>
      </c>
      <c r="C107" s="342"/>
      <c r="D107" s="359">
        <f t="shared" ca="1" si="37"/>
        <v>12.599708327683317</v>
      </c>
      <c r="E107" s="360">
        <f t="shared" ca="1" si="38"/>
        <v>49.318940407719637</v>
      </c>
      <c r="F107" s="357">
        <f t="shared" ca="1" si="39"/>
        <v>50.90295210381116</v>
      </c>
      <c r="G107" s="359">
        <f t="shared" ca="1" si="40"/>
        <v>13.732092200895952</v>
      </c>
      <c r="H107" s="360">
        <f t="shared" ca="1" si="41"/>
        <v>64.344983943148947</v>
      </c>
      <c r="I107" s="357">
        <f t="shared" ca="1" si="42"/>
        <v>65.793976280948414</v>
      </c>
      <c r="J107" s="359">
        <f t="shared" ca="1" si="43"/>
        <v>6.9182018744541232</v>
      </c>
      <c r="K107" s="360">
        <f t="shared" ca="1" si="44"/>
        <v>34.709021233982483</v>
      </c>
      <c r="L107" s="357">
        <f t="shared" ca="1" si="29"/>
        <v>35.391774075295345</v>
      </c>
      <c r="M107" s="359">
        <f t="shared" ca="1" si="45"/>
        <v>1.3605370053632617</v>
      </c>
      <c r="N107" s="357">
        <f t="shared" ca="1" si="46"/>
        <v>77.953028278682751</v>
      </c>
      <c r="O107" s="343"/>
      <c r="P107" s="363">
        <f t="shared" ca="1" si="47"/>
        <v>8</v>
      </c>
      <c r="Q107" s="357">
        <f t="shared" ca="1" si="48"/>
        <v>31.210076042518388</v>
      </c>
      <c r="R107" s="359">
        <f t="shared" ca="1" si="49"/>
        <v>1.7966029143791924E-2</v>
      </c>
      <c r="S107" s="360">
        <f t="shared" ca="1" si="50"/>
        <v>0.44037155299376352</v>
      </c>
      <c r="T107" s="357">
        <f t="shared" ca="1" si="30"/>
        <v>4.3200449348688199</v>
      </c>
      <c r="U107" s="364">
        <f t="shared" ca="1" si="31"/>
        <v>0</v>
      </c>
      <c r="V107" s="359">
        <f t="shared" ca="1" si="32"/>
        <v>1.2207555110017756</v>
      </c>
      <c r="W107" s="357">
        <f t="shared" ca="1" si="33"/>
        <v>4.6582169029144271</v>
      </c>
      <c r="X107" s="343"/>
      <c r="Y107" s="367" t="str">
        <f t="shared" ca="1" si="51"/>
        <v/>
      </c>
      <c r="Z107" s="368" t="str">
        <f t="shared" ca="1" si="52"/>
        <v/>
      </c>
      <c r="AA107" s="369" t="str">
        <f t="shared" ca="1" si="53"/>
        <v/>
      </c>
      <c r="AB107" s="344"/>
      <c r="AC107" s="363" t="e">
        <f t="shared" ca="1" si="54"/>
        <v>#N/A</v>
      </c>
      <c r="AD107" s="376" t="e">
        <f t="shared" ca="1" si="55"/>
        <v>#N/A</v>
      </c>
      <c r="AE107" s="377">
        <f t="shared" ca="1" si="34"/>
        <v>34.709021233982483</v>
      </c>
      <c r="AF107" s="344"/>
      <c r="AG107" s="359">
        <f t="shared" ca="1" si="56"/>
        <v>50.861877273280037</v>
      </c>
      <c r="AH107" s="357">
        <f t="shared" ca="1" si="57"/>
        <v>60.456465689637803</v>
      </c>
    </row>
    <row r="108" spans="1:34">
      <c r="A108" s="402">
        <f t="shared" ca="1" si="35"/>
        <v>0.01</v>
      </c>
      <c r="B108" s="357">
        <f t="shared" ca="1" si="36"/>
        <v>1.0400000000000007</v>
      </c>
      <c r="C108" s="342"/>
      <c r="D108" s="359">
        <f t="shared" ca="1" si="37"/>
        <v>12.545205137883062</v>
      </c>
      <c r="E108" s="360">
        <f t="shared" ca="1" si="38"/>
        <v>48.973542329254663</v>
      </c>
      <c r="F108" s="357">
        <f t="shared" ca="1" si="39"/>
        <v>50.554821928544719</v>
      </c>
      <c r="G108" s="359">
        <f t="shared" ca="1" si="40"/>
        <v>13.857544252274783</v>
      </c>
      <c r="H108" s="360">
        <f t="shared" ca="1" si="41"/>
        <v>64.83471936644149</v>
      </c>
      <c r="I108" s="357">
        <f t="shared" ca="1" si="42"/>
        <v>66.299112875128102</v>
      </c>
      <c r="J108" s="359">
        <f t="shared" ca="1" si="43"/>
        <v>7.0561500567199769</v>
      </c>
      <c r="K108" s="360">
        <f t="shared" ca="1" si="44"/>
        <v>35.354919750530435</v>
      </c>
      <c r="L108" s="357">
        <f t="shared" ca="1" si="29"/>
        <v>36.052178910426427</v>
      </c>
      <c r="M108" s="359">
        <f t="shared" ca="1" si="45"/>
        <v>1.3602281807730683</v>
      </c>
      <c r="N108" s="357">
        <f t="shared" ca="1" si="46"/>
        <v>77.935333933054807</v>
      </c>
      <c r="O108" s="343"/>
      <c r="P108" s="363">
        <f t="shared" ca="1" si="47"/>
        <v>8</v>
      </c>
      <c r="Q108" s="357">
        <f t="shared" ca="1" si="48"/>
        <v>31.116993458708087</v>
      </c>
      <c r="R108" s="359">
        <f t="shared" ca="1" si="49"/>
        <v>1.7912446306914596E-2</v>
      </c>
      <c r="S108" s="360">
        <f t="shared" ca="1" si="50"/>
        <v>0.44019242853069435</v>
      </c>
      <c r="T108" s="357">
        <f t="shared" ca="1" si="30"/>
        <v>4.3182877238861117</v>
      </c>
      <c r="U108" s="364">
        <f t="shared" ca="1" si="31"/>
        <v>0</v>
      </c>
      <c r="V108" s="359">
        <f t="shared" ca="1" si="32"/>
        <v>1.2206766648888556</v>
      </c>
      <c r="W108" s="357">
        <f t="shared" ca="1" si="33"/>
        <v>4.7297133718948636</v>
      </c>
      <c r="X108" s="343"/>
      <c r="Y108" s="367" t="str">
        <f t="shared" ca="1" si="51"/>
        <v/>
      </c>
      <c r="Z108" s="368" t="str">
        <f t="shared" ca="1" si="52"/>
        <v/>
      </c>
      <c r="AA108" s="369" t="str">
        <f t="shared" ca="1" si="53"/>
        <v/>
      </c>
      <c r="AB108" s="344"/>
      <c r="AC108" s="363" t="e">
        <f t="shared" ca="1" si="54"/>
        <v>#N/A</v>
      </c>
      <c r="AD108" s="376" t="e">
        <f t="shared" ca="1" si="55"/>
        <v>#N/A</v>
      </c>
      <c r="AE108" s="377">
        <f t="shared" ca="1" si="34"/>
        <v>35.354919750530435</v>
      </c>
      <c r="AF108" s="344"/>
      <c r="AG108" s="359">
        <f t="shared" ca="1" si="56"/>
        <v>50.513343261941429</v>
      </c>
      <c r="AH108" s="357">
        <f t="shared" ca="1" si="57"/>
        <v>60.107295902634334</v>
      </c>
    </row>
    <row r="109" spans="1:34">
      <c r="A109" s="402">
        <f t="shared" ca="1" si="35"/>
        <v>0.01</v>
      </c>
      <c r="B109" s="357">
        <f t="shared" ca="1" si="36"/>
        <v>1.0500000000000007</v>
      </c>
      <c r="C109" s="342"/>
      <c r="D109" s="359">
        <f t="shared" ca="1" si="37"/>
        <v>12.490279039066115</v>
      </c>
      <c r="E109" s="360">
        <f t="shared" ca="1" si="38"/>
        <v>48.627752141651285</v>
      </c>
      <c r="F109" s="357">
        <f t="shared" ca="1" si="39"/>
        <v>50.206228187582518</v>
      </c>
      <c r="G109" s="359">
        <f t="shared" ca="1" si="40"/>
        <v>13.982447042665445</v>
      </c>
      <c r="H109" s="360">
        <f t="shared" ca="1" si="41"/>
        <v>65.320996887858001</v>
      </c>
      <c r="I109" s="357">
        <f t="shared" ca="1" si="42"/>
        <v>66.80075942475878</v>
      </c>
      <c r="J109" s="359">
        <f t="shared" ca="1" si="43"/>
        <v>7.1953500131946777</v>
      </c>
      <c r="K109" s="360">
        <f t="shared" ca="1" si="44"/>
        <v>36.005698331801931</v>
      </c>
      <c r="L109" s="357">
        <f t="shared" ca="1" si="29"/>
        <v>36.717616673377712</v>
      </c>
      <c r="M109" s="359">
        <f t="shared" ca="1" si="45"/>
        <v>1.3599212318095379</v>
      </c>
      <c r="N109" s="357">
        <f t="shared" ca="1" si="46"/>
        <v>77.9177470529186</v>
      </c>
      <c r="O109" s="343"/>
      <c r="P109" s="363">
        <f t="shared" ca="1" si="47"/>
        <v>8</v>
      </c>
      <c r="Q109" s="357">
        <f t="shared" ca="1" si="48"/>
        <v>31.023910874897783</v>
      </c>
      <c r="R109" s="359">
        <f t="shared" ca="1" si="49"/>
        <v>1.7858863470037265E-2</v>
      </c>
      <c r="S109" s="360">
        <f t="shared" ca="1" si="50"/>
        <v>0.44001383989599396</v>
      </c>
      <c r="T109" s="357">
        <f t="shared" ca="1" si="30"/>
        <v>4.3165357693797013</v>
      </c>
      <c r="U109" s="364">
        <f t="shared" ca="1" si="31"/>
        <v>0</v>
      </c>
      <c r="V109" s="359">
        <f t="shared" ca="1" si="32"/>
        <v>1.2205972281980204</v>
      </c>
      <c r="W109" s="357">
        <f t="shared" ca="1" si="33"/>
        <v>4.8012456259061569</v>
      </c>
      <c r="X109" s="343"/>
      <c r="Y109" s="367" t="str">
        <f t="shared" ca="1" si="51"/>
        <v/>
      </c>
      <c r="Z109" s="368" t="str">
        <f t="shared" ca="1" si="52"/>
        <v/>
      </c>
      <c r="AA109" s="369" t="str">
        <f t="shared" ca="1" si="53"/>
        <v/>
      </c>
      <c r="AB109" s="344"/>
      <c r="AC109" s="363" t="e">
        <f t="shared" ca="1" si="54"/>
        <v>#N/A</v>
      </c>
      <c r="AD109" s="376" t="e">
        <f t="shared" ca="1" si="55"/>
        <v>#N/A</v>
      </c>
      <c r="AE109" s="377">
        <f t="shared" ca="1" si="34"/>
        <v>36.005698331801931</v>
      </c>
      <c r="AF109" s="344"/>
      <c r="AG109" s="359">
        <f t="shared" ca="1" si="56"/>
        <v>50.164340272487067</v>
      </c>
      <c r="AH109" s="357">
        <f t="shared" ca="1" si="57"/>
        <v>59.757660143640202</v>
      </c>
    </row>
    <row r="110" spans="1:34">
      <c r="A110" s="402">
        <f t="shared" ca="1" si="35"/>
        <v>0.01</v>
      </c>
      <c r="B110" s="357">
        <f t="shared" ca="1" si="36"/>
        <v>1.0600000000000007</v>
      </c>
      <c r="C110" s="342"/>
      <c r="D110" s="359">
        <f t="shared" ca="1" si="37"/>
        <v>12.434939998179415</v>
      </c>
      <c r="E110" s="360">
        <f t="shared" ca="1" si="38"/>
        <v>48.281596874515238</v>
      </c>
      <c r="F110" s="357">
        <f t="shared" ca="1" si="39"/>
        <v>49.857199374930012</v>
      </c>
      <c r="G110" s="359">
        <f t="shared" ca="1" si="40"/>
        <v>14.106796442647239</v>
      </c>
      <c r="H110" s="360">
        <f t="shared" ca="1" si="41"/>
        <v>65.803812856603159</v>
      </c>
      <c r="I110" s="357">
        <f t="shared" ca="1" si="42"/>
        <v>67.298911524192846</v>
      </c>
      <c r="J110" s="359">
        <f t="shared" ca="1" si="43"/>
        <v>7.3357962306212414</v>
      </c>
      <c r="K110" s="360">
        <f t="shared" ca="1" si="44"/>
        <v>36.66132238052424</v>
      </c>
      <c r="L110" s="357">
        <f t="shared" ca="1" si="29"/>
        <v>37.388052436920596</v>
      </c>
      <c r="M110" s="359">
        <f t="shared" ca="1" si="45"/>
        <v>1.3596161173726242</v>
      </c>
      <c r="N110" s="357">
        <f t="shared" ca="1" si="46"/>
        <v>77.900265283414939</v>
      </c>
      <c r="O110" s="343"/>
      <c r="P110" s="363">
        <f t="shared" ca="1" si="47"/>
        <v>8</v>
      </c>
      <c r="Q110" s="357">
        <f t="shared" ca="1" si="48"/>
        <v>30.930828291087479</v>
      </c>
      <c r="R110" s="359">
        <f t="shared" ca="1" si="49"/>
        <v>1.780528063315993E-2</v>
      </c>
      <c r="S110" s="360">
        <f t="shared" ca="1" si="50"/>
        <v>0.43983578708966237</v>
      </c>
      <c r="T110" s="357">
        <f t="shared" ca="1" si="30"/>
        <v>4.3147890713495878</v>
      </c>
      <c r="U110" s="364">
        <f t="shared" ca="1" si="31"/>
        <v>0</v>
      </c>
      <c r="V110" s="359">
        <f t="shared" ca="1" si="32"/>
        <v>1.2205172052675284</v>
      </c>
      <c r="W110" s="357">
        <f t="shared" ca="1" si="33"/>
        <v>4.8728016290822724</v>
      </c>
      <c r="X110" s="343"/>
      <c r="Y110" s="367" t="str">
        <f t="shared" ca="1" si="51"/>
        <v/>
      </c>
      <c r="Z110" s="368" t="str">
        <f t="shared" ca="1" si="52"/>
        <v/>
      </c>
      <c r="AA110" s="369" t="str">
        <f t="shared" ca="1" si="53"/>
        <v/>
      </c>
      <c r="AB110" s="344"/>
      <c r="AC110" s="363" t="e">
        <f t="shared" ca="1" si="54"/>
        <v>#N/A</v>
      </c>
      <c r="AD110" s="376" t="e">
        <f t="shared" ca="1" si="55"/>
        <v>#N/A</v>
      </c>
      <c r="AE110" s="377">
        <f t="shared" ca="1" si="34"/>
        <v>36.66132238052424</v>
      </c>
      <c r="AF110" s="344"/>
      <c r="AG110" s="359">
        <f t="shared" ca="1" si="56"/>
        <v>49.814896684407074</v>
      </c>
      <c r="AH110" s="357">
        <f t="shared" ca="1" si="57"/>
        <v>59.407586722484453</v>
      </c>
    </row>
    <row r="111" spans="1:34">
      <c r="A111" s="402">
        <f t="shared" ca="1" si="35"/>
        <v>0.01</v>
      </c>
      <c r="B111" s="357">
        <f t="shared" ca="1" si="36"/>
        <v>1.0700000000000007</v>
      </c>
      <c r="C111" s="342"/>
      <c r="D111" s="359">
        <f t="shared" ca="1" si="37"/>
        <v>12.379197856353963</v>
      </c>
      <c r="E111" s="360">
        <f t="shared" ca="1" si="38"/>
        <v>47.935103388017254</v>
      </c>
      <c r="F111" s="357">
        <f t="shared" ca="1" si="39"/>
        <v>49.507763799091769</v>
      </c>
      <c r="G111" s="359">
        <f t="shared" ca="1" si="40"/>
        <v>14.230588421210779</v>
      </c>
      <c r="H111" s="360">
        <f t="shared" ca="1" si="41"/>
        <v>66.283163890483337</v>
      </c>
      <c r="I111" s="357">
        <f t="shared" ca="1" si="42"/>
        <v>67.793565049690159</v>
      </c>
      <c r="J111" s="359">
        <f t="shared" ca="1" si="43"/>
        <v>7.4774831549405318</v>
      </c>
      <c r="K111" s="360">
        <f t="shared" ca="1" si="44"/>
        <v>37.321757264259674</v>
      </c>
      <c r="L111" s="357">
        <f t="shared" ca="1" si="29"/>
        <v>38.063451231131666</v>
      </c>
      <c r="M111" s="359">
        <f t="shared" ca="1" si="45"/>
        <v>1.3593127974748997</v>
      </c>
      <c r="N111" s="357">
        <f t="shared" ca="1" si="46"/>
        <v>77.882886333432978</v>
      </c>
      <c r="O111" s="343"/>
      <c r="P111" s="363">
        <f t="shared" ca="1" si="47"/>
        <v>8</v>
      </c>
      <c r="Q111" s="357">
        <f t="shared" ca="1" si="48"/>
        <v>30.837745707277179</v>
      </c>
      <c r="R111" s="359">
        <f t="shared" ca="1" si="49"/>
        <v>1.7751697796282603E-2</v>
      </c>
      <c r="S111" s="360">
        <f t="shared" ca="1" si="50"/>
        <v>0.43965827011169956</v>
      </c>
      <c r="T111" s="357">
        <f t="shared" ca="1" si="30"/>
        <v>4.3130476297957729</v>
      </c>
      <c r="U111" s="364">
        <f t="shared" ca="1" si="31"/>
        <v>0</v>
      </c>
      <c r="V111" s="359">
        <f t="shared" ca="1" si="32"/>
        <v>1.2204366004396627</v>
      </c>
      <c r="W111" s="357">
        <f t="shared" ca="1" si="33"/>
        <v>4.9443694505997788</v>
      </c>
      <c r="X111" s="343"/>
      <c r="Y111" s="367" t="str">
        <f t="shared" ca="1" si="51"/>
        <v/>
      </c>
      <c r="Z111" s="368" t="str">
        <f t="shared" ca="1" si="52"/>
        <v/>
      </c>
      <c r="AA111" s="369" t="str">
        <f t="shared" ca="1" si="53"/>
        <v/>
      </c>
      <c r="AB111" s="344"/>
      <c r="AC111" s="363" t="e">
        <f t="shared" ca="1" si="54"/>
        <v>#N/A</v>
      </c>
      <c r="AD111" s="376" t="e">
        <f t="shared" ca="1" si="55"/>
        <v>#N/A</v>
      </c>
      <c r="AE111" s="377">
        <f t="shared" ca="1" si="34"/>
        <v>37.321757264259674</v>
      </c>
      <c r="AF111" s="344"/>
      <c r="AG111" s="359">
        <f t="shared" ca="1" si="56"/>
        <v>49.465040689300778</v>
      </c>
      <c r="AH111" s="357">
        <f t="shared" ca="1" si="57"/>
        <v>59.057103762879876</v>
      </c>
    </row>
    <row r="112" spans="1:34">
      <c r="A112" s="402">
        <f t="shared" ca="1" si="35"/>
        <v>0.01</v>
      </c>
      <c r="B112" s="357">
        <f t="shared" ca="1" si="36"/>
        <v>1.0800000000000007</v>
      </c>
      <c r="C112" s="342"/>
      <c r="D112" s="359">
        <f t="shared" ca="1" si="37"/>
        <v>12.323062331534786</v>
      </c>
      <c r="E112" s="360">
        <f t="shared" ca="1" si="38"/>
        <v>47.588298368063192</v>
      </c>
      <c r="F112" s="357">
        <f t="shared" ca="1" si="39"/>
        <v>49.157949578829033</v>
      </c>
      <c r="G112" s="359">
        <f t="shared" ca="1" si="40"/>
        <v>14.353819044526126</v>
      </c>
      <c r="H112" s="360">
        <f t="shared" ca="1" si="41"/>
        <v>66.759046874163971</v>
      </c>
      <c r="I112" s="357">
        <f t="shared" ca="1" si="42"/>
        <v>68.284716157496206</v>
      </c>
      <c r="J112" s="359">
        <f t="shared" ca="1" si="43"/>
        <v>7.6204051922692164</v>
      </c>
      <c r="K112" s="360">
        <f t="shared" ca="1" si="44"/>
        <v>37.986968318082909</v>
      </c>
      <c r="L112" s="357">
        <f t="shared" ca="1" si="29"/>
        <v>38.743778046202443</v>
      </c>
      <c r="M112" s="359">
        <f t="shared" ca="1" si="45"/>
        <v>1.359011233200164</v>
      </c>
      <c r="N112" s="357">
        <f t="shared" ca="1" si="46"/>
        <v>77.865607973238696</v>
      </c>
      <c r="O112" s="343"/>
      <c r="P112" s="363">
        <f t="shared" ca="1" si="47"/>
        <v>8</v>
      </c>
      <c r="Q112" s="357">
        <f t="shared" ca="1" si="48"/>
        <v>30.744663123466875</v>
      </c>
      <c r="R112" s="359">
        <f t="shared" ca="1" si="49"/>
        <v>1.7698114959405271E-2</v>
      </c>
      <c r="S112" s="360">
        <f t="shared" ca="1" si="50"/>
        <v>0.43948128896210548</v>
      </c>
      <c r="T112" s="357">
        <f t="shared" ca="1" si="30"/>
        <v>4.311311444718255</v>
      </c>
      <c r="U112" s="364">
        <f t="shared" ca="1" si="31"/>
        <v>0</v>
      </c>
      <c r="V112" s="359">
        <f t="shared" ca="1" si="32"/>
        <v>1.2203554180603842</v>
      </c>
      <c r="W112" s="357">
        <f t="shared" ca="1" si="33"/>
        <v>5.0159372662407353</v>
      </c>
      <c r="X112" s="343"/>
      <c r="Y112" s="367" t="str">
        <f t="shared" ca="1" si="51"/>
        <v/>
      </c>
      <c r="Z112" s="368" t="str">
        <f t="shared" ca="1" si="52"/>
        <v/>
      </c>
      <c r="AA112" s="369" t="str">
        <f t="shared" ca="1" si="53"/>
        <v/>
      </c>
      <c r="AB112" s="344"/>
      <c r="AC112" s="363" t="e">
        <f t="shared" ca="1" si="54"/>
        <v>#N/A</v>
      </c>
      <c r="AD112" s="376" t="e">
        <f t="shared" ca="1" si="55"/>
        <v>#N/A</v>
      </c>
      <c r="AE112" s="377">
        <f t="shared" ca="1" si="34"/>
        <v>37.986968318082909</v>
      </c>
      <c r="AF112" s="344"/>
      <c r="AG112" s="359">
        <f t="shared" ca="1" si="56"/>
        <v>49.114800286546789</v>
      </c>
      <c r="AH112" s="357">
        <f t="shared" ca="1" si="57"/>
        <v>58.706239198028157</v>
      </c>
    </row>
    <row r="113" spans="1:34">
      <c r="A113" s="402">
        <f t="shared" ca="1" si="35"/>
        <v>0.01</v>
      </c>
      <c r="B113" s="357">
        <f t="shared" ca="1" si="36"/>
        <v>1.0900000000000007</v>
      </c>
      <c r="C113" s="342"/>
      <c r="D113" s="359">
        <f t="shared" ca="1" si="37"/>
        <v>12.266543020954005</v>
      </c>
      <c r="E113" s="360">
        <f t="shared" ca="1" si="38"/>
        <v>47.241208321600567</v>
      </c>
      <c r="F113" s="357">
        <f t="shared" ca="1" si="39"/>
        <v>48.807784639028412</v>
      </c>
      <c r="G113" s="359">
        <f t="shared" ca="1" si="40"/>
        <v>14.476484474735667</v>
      </c>
      <c r="H113" s="360">
        <f t="shared" ca="1" si="41"/>
        <v>67.231458957379971</v>
      </c>
      <c r="I113" s="357">
        <f t="shared" ca="1" si="42"/>
        <v>68.772361281877849</v>
      </c>
      <c r="J113" s="359">
        <f t="shared" ca="1" si="43"/>
        <v>7.7645567098655253</v>
      </c>
      <c r="K113" s="360">
        <f t="shared" ca="1" si="44"/>
        <v>38.656920847240627</v>
      </c>
      <c r="L113" s="357">
        <f t="shared" ca="1" si="29"/>
        <v>39.428997835229652</v>
      </c>
      <c r="M113" s="359">
        <f t="shared" ca="1" si="45"/>
        <v>1.3587113866639609</v>
      </c>
      <c r="N113" s="357">
        <f t="shared" ca="1" si="46"/>
        <v>77.848428032212638</v>
      </c>
      <c r="O113" s="343"/>
      <c r="P113" s="363">
        <f t="shared" ca="1" si="47"/>
        <v>8</v>
      </c>
      <c r="Q113" s="357">
        <f t="shared" ca="1" si="48"/>
        <v>30.651580539656571</v>
      </c>
      <c r="R113" s="359">
        <f t="shared" ca="1" si="49"/>
        <v>1.764453212252794E-2</v>
      </c>
      <c r="S113" s="360">
        <f t="shared" ca="1" si="50"/>
        <v>0.43930484364088018</v>
      </c>
      <c r="T113" s="357">
        <f t="shared" ca="1" si="30"/>
        <v>4.3095805161170349</v>
      </c>
      <c r="U113" s="364">
        <f t="shared" ca="1" si="31"/>
        <v>0</v>
      </c>
      <c r="V113" s="359">
        <f t="shared" ca="1" si="32"/>
        <v>1.2202736624789856</v>
      </c>
      <c r="W113" s="357">
        <f t="shared" ca="1" si="33"/>
        <v>5.0874933599034451</v>
      </c>
      <c r="X113" s="343"/>
      <c r="Y113" s="367" t="str">
        <f t="shared" ca="1" si="51"/>
        <v/>
      </c>
      <c r="Z113" s="368" t="str">
        <f t="shared" ca="1" si="52"/>
        <v/>
      </c>
      <c r="AA113" s="369" t="str">
        <f t="shared" ca="1" si="53"/>
        <v/>
      </c>
      <c r="AB113" s="344"/>
      <c r="AC113" s="363" t="e">
        <f t="shared" ca="1" si="54"/>
        <v>#N/A</v>
      </c>
      <c r="AD113" s="376" t="e">
        <f t="shared" ca="1" si="55"/>
        <v>#N/A</v>
      </c>
      <c r="AE113" s="377">
        <f t="shared" ca="1" si="34"/>
        <v>38.656920847240627</v>
      </c>
      <c r="AF113" s="344"/>
      <c r="AG113" s="359">
        <f t="shared" ca="1" si="56"/>
        <v>48.764203279081798</v>
      </c>
      <c r="AH113" s="357">
        <f t="shared" ca="1" si="57"/>
        <v>58.355020766336651</v>
      </c>
    </row>
    <row r="114" spans="1:34">
      <c r="A114" s="402">
        <f t="shared" ca="1" si="35"/>
        <v>0.01</v>
      </c>
      <c r="B114" s="357">
        <f t="shared" ca="1" si="36"/>
        <v>1.1000000000000008</v>
      </c>
      <c r="C114" s="342"/>
      <c r="D114" s="359">
        <f t="shared" ca="1" si="37"/>
        <v>12.209649403457064</v>
      </c>
      <c r="E114" s="360">
        <f t="shared" ca="1" si="38"/>
        <v>46.893859572060315</v>
      </c>
      <c r="F114" s="357">
        <f t="shared" ca="1" si="39"/>
        <v>48.457296706682392</v>
      </c>
      <c r="G114" s="359">
        <f t="shared" ca="1" si="40"/>
        <v>14.598580968770237</v>
      </c>
      <c r="H114" s="360">
        <f t="shared" ca="1" si="41"/>
        <v>67.700397553100572</v>
      </c>
      <c r="I114" s="357">
        <f t="shared" ca="1" si="42"/>
        <v>69.256497133118174</v>
      </c>
      <c r="J114" s="359">
        <f t="shared" ca="1" si="43"/>
        <v>7.9099320370830544</v>
      </c>
      <c r="K114" s="360">
        <f t="shared" ca="1" si="44"/>
        <v>39.331580129793032</v>
      </c>
      <c r="L114" s="357">
        <f t="shared" ca="1" si="29"/>
        <v>40.119075516985717</v>
      </c>
      <c r="M114" s="359">
        <f t="shared" ca="1" si="45"/>
        <v>1.358413220975899</v>
      </c>
      <c r="N114" s="357">
        <f t="shared" ca="1" si="46"/>
        <v>77.83134439669108</v>
      </c>
      <c r="O114" s="343"/>
      <c r="P114" s="363">
        <f t="shared" ca="1" si="47"/>
        <v>8</v>
      </c>
      <c r="Q114" s="357">
        <f t="shared" ca="1" si="48"/>
        <v>30.558497955846271</v>
      </c>
      <c r="R114" s="359">
        <f t="shared" ca="1" si="49"/>
        <v>1.7590949285650609E-2</v>
      </c>
      <c r="S114" s="360">
        <f t="shared" ca="1" si="50"/>
        <v>0.43912893414802368</v>
      </c>
      <c r="T114" s="357">
        <f t="shared" ca="1" si="30"/>
        <v>4.3078548439921125</v>
      </c>
      <c r="U114" s="364">
        <f t="shared" ca="1" si="31"/>
        <v>0</v>
      </c>
      <c r="V114" s="359">
        <f t="shared" ca="1" si="32"/>
        <v>1.2201913380477449</v>
      </c>
      <c r="W114" s="357">
        <f t="shared" ca="1" si="33"/>
        <v>5.1590261250611995</v>
      </c>
      <c r="X114" s="343"/>
      <c r="Y114" s="367" t="str">
        <f t="shared" ca="1" si="51"/>
        <v/>
      </c>
      <c r="Z114" s="368" t="str">
        <f t="shared" ca="1" si="52"/>
        <v/>
      </c>
      <c r="AA114" s="369" t="str">
        <f t="shared" ca="1" si="53"/>
        <v/>
      </c>
      <c r="AB114" s="344"/>
      <c r="AC114" s="363" t="e">
        <f t="shared" ca="1" si="54"/>
        <v>#N/A</v>
      </c>
      <c r="AD114" s="376" t="e">
        <f t="shared" ca="1" si="55"/>
        <v>#N/A</v>
      </c>
      <c r="AE114" s="377">
        <f t="shared" ca="1" si="34"/>
        <v>39.331580129793032</v>
      </c>
      <c r="AF114" s="344"/>
      <c r="AG114" s="359">
        <f t="shared" ca="1" si="56"/>
        <v>48.413277269288372</v>
      </c>
      <c r="AH114" s="357">
        <f t="shared" ca="1" si="57"/>
        <v>58.003476007246974</v>
      </c>
    </row>
    <row r="115" spans="1:34">
      <c r="A115" s="402">
        <f t="shared" ca="1" si="35"/>
        <v>0.01</v>
      </c>
      <c r="B115" s="357">
        <f t="shared" ca="1" si="36"/>
        <v>1.1100000000000008</v>
      </c>
      <c r="C115" s="342"/>
      <c r="D115" s="359">
        <f t="shared" ca="1" si="37"/>
        <v>12.152390841691604</v>
      </c>
      <c r="E115" s="360">
        <f t="shared" ca="1" si="38"/>
        <v>46.546278254932673</v>
      </c>
      <c r="F115" s="357">
        <f t="shared" ca="1" si="39"/>
        <v>48.106513306982123</v>
      </c>
      <c r="G115" s="359">
        <f t="shared" ca="1" si="40"/>
        <v>14.720104877187154</v>
      </c>
      <c r="H115" s="360">
        <f t="shared" ca="1" si="41"/>
        <v>68.165860335649896</v>
      </c>
      <c r="I115" s="357">
        <f t="shared" ca="1" si="42"/>
        <v>69.737120695471191</v>
      </c>
      <c r="J115" s="359">
        <f t="shared" ca="1" si="43"/>
        <v>8.0565254663128414</v>
      </c>
      <c r="K115" s="360">
        <f t="shared" ca="1" si="44"/>
        <v>40.010911419236784</v>
      </c>
      <c r="L115" s="357">
        <f t="shared" ca="1" si="29"/>
        <v>40.813975978668871</v>
      </c>
      <c r="M115" s="359">
        <f t="shared" ca="1" si="45"/>
        <v>1.3581167002036763</v>
      </c>
      <c r="N115" s="357">
        <f t="shared" ca="1" si="46"/>
        <v>77.814355007904766</v>
      </c>
      <c r="O115" s="343"/>
      <c r="P115" s="363">
        <f t="shared" ca="1" si="47"/>
        <v>8</v>
      </c>
      <c r="Q115" s="357">
        <f t="shared" ca="1" si="48"/>
        <v>30.465415372035967</v>
      </c>
      <c r="R115" s="359">
        <f t="shared" ca="1" si="49"/>
        <v>1.7537366448773278E-2</v>
      </c>
      <c r="S115" s="360">
        <f t="shared" ca="1" si="50"/>
        <v>0.43895356048353595</v>
      </c>
      <c r="T115" s="357">
        <f t="shared" ca="1" si="30"/>
        <v>4.3061344283434879</v>
      </c>
      <c r="U115" s="364">
        <f t="shared" ca="1" si="31"/>
        <v>0</v>
      </c>
      <c r="V115" s="359">
        <f t="shared" ca="1" si="32"/>
        <v>1.2201084491215883</v>
      </c>
      <c r="W115" s="357">
        <f t="shared" ca="1" si="33"/>
        <v>5.2305240661691323</v>
      </c>
      <c r="X115" s="343"/>
      <c r="Y115" s="367" t="str">
        <f t="shared" ca="1" si="51"/>
        <v/>
      </c>
      <c r="Z115" s="368" t="str">
        <f t="shared" ca="1" si="52"/>
        <v/>
      </c>
      <c r="AA115" s="369" t="str">
        <f t="shared" ca="1" si="53"/>
        <v/>
      </c>
      <c r="AB115" s="344"/>
      <c r="AC115" s="363" t="e">
        <f t="shared" ca="1" si="54"/>
        <v>#N/A</v>
      </c>
      <c r="AD115" s="376" t="e">
        <f t="shared" ca="1" si="55"/>
        <v>#N/A</v>
      </c>
      <c r="AE115" s="377">
        <f t="shared" ca="1" si="34"/>
        <v>40.010911419236784</v>
      </c>
      <c r="AF115" s="344"/>
      <c r="AG115" s="359">
        <f t="shared" ca="1" si="56"/>
        <v>48.062049654992322</v>
      </c>
      <c r="AH115" s="357">
        <f t="shared" ca="1" si="57"/>
        <v>57.651632257175748</v>
      </c>
    </row>
    <row r="116" spans="1:34">
      <c r="A116" s="402">
        <f t="shared" ca="1" si="35"/>
        <v>0.01</v>
      </c>
      <c r="B116" s="357">
        <f t="shared" ca="1" si="36"/>
        <v>1.1200000000000008</v>
      </c>
      <c r="C116" s="342"/>
      <c r="D116" s="359">
        <f t="shared" ca="1" si="37"/>
        <v>12.094776584168036</v>
      </c>
      <c r="E116" s="360">
        <f t="shared" ca="1" si="38"/>
        <v>46.198490313475965</v>
      </c>
      <c r="F116" s="357">
        <f t="shared" ca="1" si="39"/>
        <v>47.755461759523087</v>
      </c>
      <c r="G116" s="359">
        <f t="shared" ca="1" si="40"/>
        <v>14.841052643028835</v>
      </c>
      <c r="H116" s="360">
        <f t="shared" ca="1" si="41"/>
        <v>68.627845238784658</v>
      </c>
      <c r="I116" s="357">
        <f t="shared" ca="1" si="42"/>
        <v>70.214229225077531</v>
      </c>
      <c r="J116" s="359">
        <f t="shared" ca="1" si="43"/>
        <v>8.2043312539139208</v>
      </c>
      <c r="K116" s="360">
        <f t="shared" ca="1" si="44"/>
        <v>40.694879947108959</v>
      </c>
      <c r="L116" s="357">
        <f t="shared" ca="1" si="29"/>
        <v>41.513664078632708</v>
      </c>
      <c r="M116" s="359">
        <f t="shared" ca="1" si="45"/>
        <v>1.3578217893387168</v>
      </c>
      <c r="N116" s="357">
        <f t="shared" ca="1" si="46"/>
        <v>77.797457860010027</v>
      </c>
      <c r="O116" s="343"/>
      <c r="P116" s="363">
        <f t="shared" ca="1" si="47"/>
        <v>8</v>
      </c>
      <c r="Q116" s="357">
        <f t="shared" ca="1" si="48"/>
        <v>30.372332788225663</v>
      </c>
      <c r="R116" s="359">
        <f t="shared" ca="1" si="49"/>
        <v>1.7483783611895946E-2</v>
      </c>
      <c r="S116" s="360">
        <f t="shared" ca="1" si="50"/>
        <v>0.43877872264741702</v>
      </c>
      <c r="T116" s="357">
        <f t="shared" ca="1" si="30"/>
        <v>4.3044192691711611</v>
      </c>
      <c r="U116" s="364">
        <f t="shared" ca="1" si="31"/>
        <v>0</v>
      </c>
      <c r="V116" s="359">
        <f t="shared" ca="1" si="32"/>
        <v>1.2200250000577484</v>
      </c>
      <c r="W116" s="357">
        <f t="shared" ca="1" si="33"/>
        <v>5.3019758000193047</v>
      </c>
      <c r="X116" s="343"/>
      <c r="Y116" s="367" t="str">
        <f t="shared" ca="1" si="51"/>
        <v/>
      </c>
      <c r="Z116" s="368" t="str">
        <f t="shared" ca="1" si="52"/>
        <v/>
      </c>
      <c r="AA116" s="369" t="str">
        <f t="shared" ca="1" si="53"/>
        <v/>
      </c>
      <c r="AB116" s="344"/>
      <c r="AC116" s="363" t="e">
        <f t="shared" ca="1" si="54"/>
        <v>#N/A</v>
      </c>
      <c r="AD116" s="376" t="e">
        <f t="shared" ca="1" si="55"/>
        <v>#N/A</v>
      </c>
      <c r="AE116" s="377">
        <f t="shared" ca="1" si="34"/>
        <v>40.694879947108959</v>
      </c>
      <c r="AF116" s="344"/>
      <c r="AG116" s="359">
        <f t="shared" ca="1" si="56"/>
        <v>47.710547625569667</v>
      </c>
      <c r="AH116" s="357">
        <f t="shared" ca="1" si="57"/>
        <v>57.299516645567536</v>
      </c>
    </row>
    <row r="117" spans="1:34">
      <c r="A117" s="402">
        <f t="shared" ca="1" si="35"/>
        <v>0.01</v>
      </c>
      <c r="B117" s="357">
        <f t="shared" ca="1" si="36"/>
        <v>1.1300000000000008</v>
      </c>
      <c r="C117" s="342"/>
      <c r="D117" s="359">
        <f t="shared" ca="1" si="37"/>
        <v>12.036815767199906</v>
      </c>
      <c r="E117" s="360">
        <f t="shared" ca="1" si="38"/>
        <v>45.850521494557015</v>
      </c>
      <c r="F117" s="357">
        <f t="shared" ca="1" si="39"/>
        <v>47.404169174623732</v>
      </c>
      <c r="G117" s="359">
        <f t="shared" ca="1" si="40"/>
        <v>14.961420800700834</v>
      </c>
      <c r="H117" s="360">
        <f t="shared" ca="1" si="41"/>
        <v>69.086350453730233</v>
      </c>
      <c r="I117" s="357">
        <f t="shared" ca="1" si="42"/>
        <v>70.687820247842382</v>
      </c>
      <c r="J117" s="359">
        <f t="shared" ca="1" si="43"/>
        <v>8.35334362113257</v>
      </c>
      <c r="K117" s="360">
        <f t="shared" ca="1" si="44"/>
        <v>41.38345092557153</v>
      </c>
      <c r="L117" s="357">
        <f t="shared" ca="1" si="29"/>
        <v>42.218104649094599</v>
      </c>
      <c r="M117" s="359">
        <f t="shared" ca="1" si="45"/>
        <v>1.3575284542633339</v>
      </c>
      <c r="N117" s="357">
        <f t="shared" ca="1" si="46"/>
        <v>77.780650998207435</v>
      </c>
      <c r="O117" s="343"/>
      <c r="P117" s="363">
        <f t="shared" ca="1" si="47"/>
        <v>8</v>
      </c>
      <c r="Q117" s="357">
        <f t="shared" ca="1" si="48"/>
        <v>30.279250204415362</v>
      </c>
      <c r="R117" s="359">
        <f t="shared" ca="1" si="49"/>
        <v>1.7430200775018619E-2</v>
      </c>
      <c r="S117" s="360">
        <f t="shared" ca="1" si="50"/>
        <v>0.43860442063966681</v>
      </c>
      <c r="T117" s="357">
        <f t="shared" ca="1" si="30"/>
        <v>4.3027093664751312</v>
      </c>
      <c r="U117" s="364">
        <f t="shared" ca="1" si="31"/>
        <v>0</v>
      </c>
      <c r="V117" s="359">
        <f t="shared" ca="1" si="32"/>
        <v>1.2199409952154292</v>
      </c>
      <c r="W117" s="357">
        <f t="shared" ca="1" si="33"/>
        <v>5.3733700570442311</v>
      </c>
      <c r="X117" s="343"/>
      <c r="Y117" s="367" t="str">
        <f t="shared" ca="1" si="51"/>
        <v/>
      </c>
      <c r="Z117" s="368" t="str">
        <f t="shared" ca="1" si="52"/>
        <v/>
      </c>
      <c r="AA117" s="369" t="str">
        <f t="shared" ca="1" si="53"/>
        <v/>
      </c>
      <c r="AB117" s="344"/>
      <c r="AC117" s="363" t="e">
        <f t="shared" ca="1" si="54"/>
        <v>#N/A</v>
      </c>
      <c r="AD117" s="376" t="e">
        <f t="shared" ca="1" si="55"/>
        <v>#N/A</v>
      </c>
      <c r="AE117" s="377">
        <f t="shared" ca="1" si="34"/>
        <v>41.38345092557153</v>
      </c>
      <c r="AF117" s="344"/>
      <c r="AG117" s="359">
        <f t="shared" ca="1" si="56"/>
        <v>47.358798158163637</v>
      </c>
      <c r="AH117" s="357">
        <f t="shared" ca="1" si="57"/>
        <v>56.947156091060023</v>
      </c>
    </row>
    <row r="118" spans="1:34">
      <c r="A118" s="402">
        <f t="shared" ca="1" si="35"/>
        <v>0.01</v>
      </c>
      <c r="B118" s="357">
        <f t="shared" ca="1" si="36"/>
        <v>1.1400000000000008</v>
      </c>
      <c r="C118" s="342"/>
      <c r="D118" s="359">
        <f t="shared" ca="1" si="37"/>
        <v>11.978517416732011</v>
      </c>
      <c r="E118" s="360">
        <f t="shared" ca="1" si="38"/>
        <v>45.502397344622118</v>
      </c>
      <c r="F118" s="357">
        <f t="shared" ca="1" si="39"/>
        <v>47.05266244975757</v>
      </c>
      <c r="G118" s="359">
        <f t="shared" ca="1" si="40"/>
        <v>15.081205974868155</v>
      </c>
      <c r="H118" s="360">
        <f t="shared" ca="1" si="41"/>
        <v>69.54137442717645</v>
      </c>
      <c r="I118" s="357">
        <f t="shared" ca="1" si="42"/>
        <v>71.157891557276699</v>
      </c>
      <c r="J118" s="359">
        <f t="shared" ca="1" si="43"/>
        <v>8.5035567550104147</v>
      </c>
      <c r="K118" s="360">
        <f t="shared" ca="1" si="44"/>
        <v>42.076589549976063</v>
      </c>
      <c r="L118" s="357">
        <f t="shared" ca="1" si="29"/>
        <v>42.927262498822799</v>
      </c>
      <c r="M118" s="359">
        <f t="shared" ca="1" si="45"/>
        <v>1.357236661719339</v>
      </c>
      <c r="N118" s="357">
        <f t="shared" ca="1" si="46"/>
        <v>77.763932516943143</v>
      </c>
      <c r="O118" s="343"/>
      <c r="P118" s="363">
        <f t="shared" ca="1" si="47"/>
        <v>8</v>
      </c>
      <c r="Q118" s="357">
        <f t="shared" ca="1" si="48"/>
        <v>30.186167620605058</v>
      </c>
      <c r="R118" s="359">
        <f t="shared" ca="1" si="49"/>
        <v>1.7376617938141287E-2</v>
      </c>
      <c r="S118" s="360">
        <f t="shared" ca="1" si="50"/>
        <v>0.4384306544602854</v>
      </c>
      <c r="T118" s="357">
        <f t="shared" ca="1" si="30"/>
        <v>4.3010047202554</v>
      </c>
      <c r="U118" s="364">
        <f t="shared" ca="1" si="31"/>
        <v>0</v>
      </c>
      <c r="V118" s="359">
        <f t="shared" ca="1" si="32"/>
        <v>1.2198564389554729</v>
      </c>
      <c r="W118" s="357">
        <f t="shared" ca="1" si="33"/>
        <v>5.4446956825690531</v>
      </c>
      <c r="X118" s="343"/>
      <c r="Y118" s="367" t="str">
        <f t="shared" ca="1" si="51"/>
        <v/>
      </c>
      <c r="Z118" s="368" t="str">
        <f t="shared" ca="1" si="52"/>
        <v/>
      </c>
      <c r="AA118" s="369" t="str">
        <f t="shared" ca="1" si="53"/>
        <v/>
      </c>
      <c r="AB118" s="344"/>
      <c r="AC118" s="363" t="e">
        <f t="shared" ca="1" si="54"/>
        <v>#N/A</v>
      </c>
      <c r="AD118" s="376" t="e">
        <f t="shared" ca="1" si="55"/>
        <v>#N/A</v>
      </c>
      <c r="AE118" s="377">
        <f t="shared" ca="1" si="34"/>
        <v>42.076589549976063</v>
      </c>
      <c r="AF118" s="344"/>
      <c r="AG118" s="359">
        <f t="shared" ca="1" si="56"/>
        <v>47.006828014011681</v>
      </c>
      <c r="AH118" s="357">
        <f t="shared" ca="1" si="57"/>
        <v>56.594577297761596</v>
      </c>
    </row>
    <row r="119" spans="1:34">
      <c r="A119" s="402">
        <f t="shared" ca="1" si="35"/>
        <v>0.01</v>
      </c>
      <c r="B119" s="357">
        <f t="shared" ca="1" si="36"/>
        <v>1.1500000000000008</v>
      </c>
      <c r="C119" s="342"/>
      <c r="D119" s="359">
        <f t="shared" ca="1" si="37"/>
        <v>11.919890450063399</v>
      </c>
      <c r="E119" s="360">
        <f t="shared" ca="1" si="38"/>
        <v>45.15414320579756</v>
      </c>
      <c r="F119" s="357">
        <f t="shared" ca="1" si="39"/>
        <v>46.700968266099011</v>
      </c>
      <c r="G119" s="359">
        <f t="shared" ca="1" si="40"/>
        <v>15.200404879368788</v>
      </c>
      <c r="H119" s="360">
        <f t="shared" ca="1" si="41"/>
        <v>69.992915859234429</v>
      </c>
      <c r="I119" s="357">
        <f t="shared" ca="1" si="42"/>
        <v>71.624441212302727</v>
      </c>
      <c r="J119" s="359">
        <f t="shared" ca="1" si="43"/>
        <v>8.6549648092815996</v>
      </c>
      <c r="K119" s="360">
        <f t="shared" ca="1" si="44"/>
        <v>42.774261001408121</v>
      </c>
      <c r="L119" s="357">
        <f t="shared" ca="1" si="29"/>
        <v>43.641102415801626</v>
      </c>
      <c r="M119" s="359">
        <f t="shared" ca="1" si="45"/>
        <v>1.3569463792780179</v>
      </c>
      <c r="N119" s="357">
        <f t="shared" ca="1" si="46"/>
        <v>77.747300558188698</v>
      </c>
      <c r="O119" s="343"/>
      <c r="P119" s="363">
        <f t="shared" ca="1" si="47"/>
        <v>8</v>
      </c>
      <c r="Q119" s="357">
        <f t="shared" ca="1" si="48"/>
        <v>30.093085036794758</v>
      </c>
      <c r="R119" s="359">
        <f t="shared" ca="1" si="49"/>
        <v>1.7323035101263956E-2</v>
      </c>
      <c r="S119" s="360">
        <f t="shared" ca="1" si="50"/>
        <v>0.43825742410927276</v>
      </c>
      <c r="T119" s="357">
        <f t="shared" ca="1" si="30"/>
        <v>4.2993053305119657</v>
      </c>
      <c r="U119" s="364">
        <f t="shared" ca="1" si="31"/>
        <v>0</v>
      </c>
      <c r="V119" s="359">
        <f t="shared" ca="1" si="32"/>
        <v>1.2197713356400288</v>
      </c>
      <c r="W119" s="357">
        <f t="shared" ca="1" si="33"/>
        <v>5.5159416380125386</v>
      </c>
      <c r="X119" s="343"/>
      <c r="Y119" s="367" t="str">
        <f t="shared" ca="1" si="51"/>
        <v/>
      </c>
      <c r="Z119" s="368" t="str">
        <f t="shared" ca="1" si="52"/>
        <v/>
      </c>
      <c r="AA119" s="369" t="str">
        <f t="shared" ca="1" si="53"/>
        <v/>
      </c>
      <c r="AB119" s="344"/>
      <c r="AC119" s="363" t="e">
        <f t="shared" ca="1" si="54"/>
        <v>#N/A</v>
      </c>
      <c r="AD119" s="376" t="e">
        <f t="shared" ca="1" si="55"/>
        <v>#N/A</v>
      </c>
      <c r="AE119" s="377">
        <f t="shared" ca="1" si="34"/>
        <v>42.774261001408121</v>
      </c>
      <c r="AF119" s="344"/>
      <c r="AG119" s="359">
        <f t="shared" ca="1" si="56"/>
        <v>46.654663734882575</v>
      </c>
      <c r="AH119" s="357">
        <f t="shared" ca="1" si="57"/>
        <v>56.241806751641036</v>
      </c>
    </row>
    <row r="120" spans="1:34">
      <c r="A120" s="402">
        <f t="shared" ca="1" si="35"/>
        <v>0.01</v>
      </c>
      <c r="B120" s="357">
        <f t="shared" ca="1" si="36"/>
        <v>1.1600000000000008</v>
      </c>
      <c r="C120" s="342"/>
      <c r="D120" s="359">
        <f t="shared" ca="1" si="37"/>
        <v>11.860943677472264</v>
      </c>
      <c r="E120" s="360">
        <f t="shared" ca="1" si="38"/>
        <v>44.80578421211824</v>
      </c>
      <c r="F120" s="357">
        <f t="shared" ca="1" si="39"/>
        <v>46.349113085182907</v>
      </c>
      <c r="G120" s="359">
        <f t="shared" ca="1" si="40"/>
        <v>15.319014316143511</v>
      </c>
      <c r="H120" s="360">
        <f t="shared" ca="1" si="41"/>
        <v>70.440973701355617</v>
      </c>
      <c r="I120" s="357">
        <f t="shared" ca="1" si="42"/>
        <v>72.087467535024999</v>
      </c>
      <c r="J120" s="359">
        <f t="shared" ca="1" si="43"/>
        <v>8.8075619052591616</v>
      </c>
      <c r="K120" s="360">
        <f t="shared" ca="1" si="44"/>
        <v>43.476430449211072</v>
      </c>
      <c r="L120" s="357">
        <f t="shared" ca="1" si="29"/>
        <v>44.359589169874646</v>
      </c>
      <c r="M120" s="359">
        <f t="shared" ca="1" si="45"/>
        <v>1.3566575753114045</v>
      </c>
      <c r="N120" s="357">
        <f t="shared" ca="1" si="46"/>
        <v>77.730753309795105</v>
      </c>
      <c r="O120" s="343"/>
      <c r="P120" s="363">
        <f t="shared" ca="1" si="47"/>
        <v>8</v>
      </c>
      <c r="Q120" s="357">
        <f t="shared" ca="1" si="48"/>
        <v>30.000002452984454</v>
      </c>
      <c r="R120" s="359">
        <f t="shared" ca="1" si="49"/>
        <v>1.7269452264386625E-2</v>
      </c>
      <c r="S120" s="360">
        <f t="shared" ca="1" si="50"/>
        <v>0.43808472958662892</v>
      </c>
      <c r="T120" s="357">
        <f t="shared" ca="1" si="30"/>
        <v>4.2976111972448301</v>
      </c>
      <c r="U120" s="364">
        <f t="shared" ca="1" si="31"/>
        <v>0</v>
      </c>
      <c r="V120" s="359">
        <f t="shared" ca="1" si="32"/>
        <v>1.2196856896322259</v>
      </c>
      <c r="W120" s="357">
        <f t="shared" ca="1" si="33"/>
        <v>5.5870970020372113</v>
      </c>
      <c r="X120" s="343"/>
      <c r="Y120" s="367" t="str">
        <f t="shared" ca="1" si="51"/>
        <v/>
      </c>
      <c r="Z120" s="368" t="str">
        <f t="shared" ca="1" si="52"/>
        <v/>
      </c>
      <c r="AA120" s="369" t="str">
        <f t="shared" ca="1" si="53"/>
        <v/>
      </c>
      <c r="AB120" s="344"/>
      <c r="AC120" s="363" t="e">
        <f t="shared" ca="1" si="54"/>
        <v>#N/A</v>
      </c>
      <c r="AD120" s="376" t="e">
        <f t="shared" ca="1" si="55"/>
        <v>#N/A</v>
      </c>
      <c r="AE120" s="377">
        <f t="shared" ca="1" si="34"/>
        <v>43.476430449211072</v>
      </c>
      <c r="AF120" s="344"/>
      <c r="AG120" s="359">
        <f t="shared" ca="1" si="56"/>
        <v>46.302331639623731</v>
      </c>
      <c r="AH120" s="357">
        <f t="shared" ca="1" si="57"/>
        <v>55.888870717029462</v>
      </c>
    </row>
    <row r="121" spans="1:34">
      <c r="A121" s="402">
        <f t="shared" ca="1" si="35"/>
        <v>0.01</v>
      </c>
      <c r="B121" s="357">
        <f t="shared" ca="1" si="36"/>
        <v>1.1700000000000008</v>
      </c>
      <c r="C121" s="342"/>
      <c r="D121" s="359">
        <f t="shared" ca="1" si="37"/>
        <v>11.801685803749114</v>
      </c>
      <c r="E121" s="360">
        <f t="shared" ca="1" si="38"/>
        <v>44.457345285883591</v>
      </c>
      <c r="F121" s="357">
        <f t="shared" ca="1" si="39"/>
        <v>45.997123145678245</v>
      </c>
      <c r="G121" s="359">
        <f t="shared" ca="1" si="40"/>
        <v>15.437031174181001</v>
      </c>
      <c r="H121" s="360">
        <f t="shared" ca="1" si="41"/>
        <v>70.88554715421445</v>
      </c>
      <c r="I121" s="357">
        <f t="shared" ca="1" si="42"/>
        <v>72.546969108467906</v>
      </c>
      <c r="J121" s="359">
        <f t="shared" ca="1" si="43"/>
        <v>8.9613421327107847</v>
      </c>
      <c r="K121" s="360">
        <f t="shared" ca="1" si="44"/>
        <v>44.183063053488922</v>
      </c>
      <c r="L121" s="357">
        <f t="shared" ca="1" si="29"/>
        <v>45.082687515365315</v>
      </c>
      <c r="M121" s="359">
        <f t="shared" ca="1" si="45"/>
        <v>1.3563702189647864</v>
      </c>
      <c r="N121" s="357">
        <f t="shared" ca="1" si="46"/>
        <v>77.714289003917585</v>
      </c>
      <c r="O121" s="343"/>
      <c r="P121" s="363">
        <f t="shared" ca="1" si="47"/>
        <v>8</v>
      </c>
      <c r="Q121" s="357">
        <f t="shared" ca="1" si="48"/>
        <v>29.906919869174153</v>
      </c>
      <c r="R121" s="359">
        <f t="shared" ca="1" si="49"/>
        <v>1.7215869427509297E-2</v>
      </c>
      <c r="S121" s="360">
        <f t="shared" ca="1" si="50"/>
        <v>0.4379125708923538</v>
      </c>
      <c r="T121" s="357">
        <f t="shared" ca="1" si="30"/>
        <v>4.2959223204539914</v>
      </c>
      <c r="U121" s="364">
        <f t="shared" ca="1" si="31"/>
        <v>0</v>
      </c>
      <c r="V121" s="359">
        <f t="shared" ca="1" si="32"/>
        <v>1.2195995052958493</v>
      </c>
      <c r="W121" s="357">
        <f t="shared" ca="1" si="33"/>
        <v>5.6581509716488529</v>
      </c>
      <c r="X121" s="343"/>
      <c r="Y121" s="367" t="str">
        <f t="shared" ca="1" si="51"/>
        <v/>
      </c>
      <c r="Z121" s="368" t="str">
        <f t="shared" ca="1" si="52"/>
        <v/>
      </c>
      <c r="AA121" s="369" t="str">
        <f t="shared" ca="1" si="53"/>
        <v/>
      </c>
      <c r="AB121" s="344"/>
      <c r="AC121" s="363" t="e">
        <f t="shared" ca="1" si="54"/>
        <v>#N/A</v>
      </c>
      <c r="AD121" s="376" t="e">
        <f t="shared" ca="1" si="55"/>
        <v>#N/A</v>
      </c>
      <c r="AE121" s="377">
        <f t="shared" ca="1" si="34"/>
        <v>44.183063053488922</v>
      </c>
      <c r="AF121" s="344"/>
      <c r="AG121" s="359">
        <f t="shared" ca="1" si="56"/>
        <v>45.949857820818558</v>
      </c>
      <c r="AH121" s="357">
        <f t="shared" ca="1" si="57"/>
        <v>55.535795233234261</v>
      </c>
    </row>
    <row r="122" spans="1:34">
      <c r="A122" s="402">
        <f t="shared" ca="1" si="35"/>
        <v>0.01</v>
      </c>
      <c r="B122" s="357">
        <f t="shared" ca="1" si="36"/>
        <v>1.1800000000000008</v>
      </c>
      <c r="C122" s="342"/>
      <c r="D122" s="359">
        <f t="shared" ca="1" si="37"/>
        <v>11.742125429644057</v>
      </c>
      <c r="E122" s="360">
        <f t="shared" ca="1" si="38"/>
        <v>44.108851134139371</v>
      </c>
      <c r="F122" s="357">
        <f t="shared" ca="1" si="39"/>
        <v>45.645024460275643</v>
      </c>
      <c r="G122" s="359">
        <f t="shared" ca="1" si="40"/>
        <v>15.554452428477441</v>
      </c>
      <c r="H122" s="360">
        <f t="shared" ca="1" si="41"/>
        <v>71.326635665555841</v>
      </c>
      <c r="I122" s="357">
        <f t="shared" ca="1" si="42"/>
        <v>73.00294477428092</v>
      </c>
      <c r="J122" s="359">
        <f t="shared" ca="1" si="43"/>
        <v>9.1162995507240776</v>
      </c>
      <c r="K122" s="360">
        <f t="shared" ca="1" si="44"/>
        <v>44.894123967587774</v>
      </c>
      <c r="L122" s="357">
        <f t="shared" ca="1" si="29"/>
        <v>45.81036219367482</v>
      </c>
      <c r="M122" s="359">
        <f t="shared" ca="1" si="45"/>
        <v>1.356084280130377</v>
      </c>
      <c r="N122" s="357">
        <f t="shared" ca="1" si="46"/>
        <v>77.697905915507036</v>
      </c>
      <c r="O122" s="343"/>
      <c r="P122" s="363">
        <f t="shared" ca="1" si="47"/>
        <v>8</v>
      </c>
      <c r="Q122" s="357">
        <f t="shared" ca="1" si="48"/>
        <v>29.813837285363849</v>
      </c>
      <c r="R122" s="359">
        <f t="shared" ca="1" si="49"/>
        <v>1.7162286590631962E-2</v>
      </c>
      <c r="S122" s="360">
        <f t="shared" ca="1" si="50"/>
        <v>0.43774094802644747</v>
      </c>
      <c r="T122" s="357">
        <f t="shared" ca="1" si="30"/>
        <v>4.2942387001394495</v>
      </c>
      <c r="U122" s="364">
        <f t="shared" ca="1" si="31"/>
        <v>0</v>
      </c>
      <c r="V122" s="359">
        <f t="shared" ca="1" si="32"/>
        <v>1.2195127869950146</v>
      </c>
      <c r="W122" s="357">
        <f t="shared" ca="1" si="33"/>
        <v>5.7290928632456497</v>
      </c>
      <c r="X122" s="343"/>
      <c r="Y122" s="367" t="str">
        <f t="shared" ca="1" si="51"/>
        <v/>
      </c>
      <c r="Z122" s="368" t="str">
        <f t="shared" ca="1" si="52"/>
        <v/>
      </c>
      <c r="AA122" s="369" t="str">
        <f t="shared" ca="1" si="53"/>
        <v/>
      </c>
      <c r="AB122" s="344"/>
      <c r="AC122" s="363" t="e">
        <f t="shared" ca="1" si="54"/>
        <v>#N/A</v>
      </c>
      <c r="AD122" s="376" t="e">
        <f t="shared" ca="1" si="55"/>
        <v>#N/A</v>
      </c>
      <c r="AE122" s="377">
        <f t="shared" ca="1" si="34"/>
        <v>44.894123967587774</v>
      </c>
      <c r="AF122" s="344"/>
      <c r="AG122" s="359">
        <f t="shared" ca="1" si="56"/>
        <v>45.597268141553656</v>
      </c>
      <c r="AH122" s="357">
        <f t="shared" ca="1" si="57"/>
        <v>55.18260611126459</v>
      </c>
    </row>
    <row r="123" spans="1:34">
      <c r="A123" s="402">
        <f t="shared" ca="1" si="35"/>
        <v>0.01</v>
      </c>
      <c r="B123" s="357">
        <f t="shared" ca="1" si="36"/>
        <v>1.1900000000000008</v>
      </c>
      <c r="C123" s="342"/>
      <c r="D123" s="359">
        <f t="shared" ca="1" si="37"/>
        <v>11.682271053234064</v>
      </c>
      <c r="E123" s="360">
        <f t="shared" ca="1" si="38"/>
        <v>43.760326245284581</v>
      </c>
      <c r="F123" s="357">
        <f t="shared" ca="1" si="39"/>
        <v>45.292842812689216</v>
      </c>
      <c r="G123" s="359">
        <f t="shared" ca="1" si="40"/>
        <v>15.671275139009783</v>
      </c>
      <c r="H123" s="360">
        <f t="shared" ca="1" si="41"/>
        <v>71.76423892800868</v>
      </c>
      <c r="I123" s="357">
        <f t="shared" ca="1" si="42"/>
        <v>73.455393630412615</v>
      </c>
      <c r="J123" s="359">
        <f t="shared" ca="1" si="43"/>
        <v>9.2724281885615145</v>
      </c>
      <c r="K123" s="360">
        <f t="shared" ca="1" si="44"/>
        <v>45.609578340555593</v>
      </c>
      <c r="L123" s="357">
        <f t="shared" ca="1" si="29"/>
        <v>46.542577935856848</v>
      </c>
      <c r="M123" s="359">
        <f t="shared" ca="1" si="45"/>
        <v>1.3557997294220934</v>
      </c>
      <c r="N123" s="357">
        <f t="shared" ca="1" si="46"/>
        <v>77.681602360864929</v>
      </c>
      <c r="O123" s="343"/>
      <c r="P123" s="363">
        <f t="shared" ca="1" si="47"/>
        <v>8</v>
      </c>
      <c r="Q123" s="357">
        <f t="shared" ca="1" si="48"/>
        <v>29.720754701553545</v>
      </c>
      <c r="R123" s="359">
        <f t="shared" ca="1" si="49"/>
        <v>1.7108703753754631E-2</v>
      </c>
      <c r="S123" s="360">
        <f t="shared" ca="1" si="50"/>
        <v>0.43756986098890993</v>
      </c>
      <c r="T123" s="357">
        <f t="shared" ca="1" si="30"/>
        <v>4.2925603363012064</v>
      </c>
      <c r="U123" s="364">
        <f t="shared" ca="1" si="31"/>
        <v>0</v>
      </c>
      <c r="V123" s="359">
        <f t="shared" ca="1" si="32"/>
        <v>1.2194255390938524</v>
      </c>
      <c r="W123" s="357">
        <f t="shared" ca="1" si="33"/>
        <v>5.7999121136173608</v>
      </c>
      <c r="X123" s="343"/>
      <c r="Y123" s="367" t="str">
        <f t="shared" ca="1" si="51"/>
        <v/>
      </c>
      <c r="Z123" s="368" t="str">
        <f t="shared" ca="1" si="52"/>
        <v/>
      </c>
      <c r="AA123" s="369" t="str">
        <f t="shared" ca="1" si="53"/>
        <v/>
      </c>
      <c r="AB123" s="344"/>
      <c r="AC123" s="363" t="e">
        <f t="shared" ca="1" si="54"/>
        <v>#N/A</v>
      </c>
      <c r="AD123" s="376" t="e">
        <f t="shared" ca="1" si="55"/>
        <v>#N/A</v>
      </c>
      <c r="AE123" s="377">
        <f t="shared" ca="1" si="34"/>
        <v>45.609578340555593</v>
      </c>
      <c r="AF123" s="344"/>
      <c r="AG123" s="359">
        <f t="shared" ca="1" si="56"/>
        <v>45.244588232295968</v>
      </c>
      <c r="AH123" s="357">
        <f t="shared" ca="1" si="57"/>
        <v>54.829328930668638</v>
      </c>
    </row>
    <row r="124" spans="1:34">
      <c r="A124" s="402">
        <f t="shared" ca="1" si="35"/>
        <v>0.01</v>
      </c>
      <c r="B124" s="357">
        <f t="shared" ca="1" si="36"/>
        <v>1.2000000000000008</v>
      </c>
      <c r="C124" s="342"/>
      <c r="D124" s="359">
        <f t="shared" ca="1" si="37"/>
        <v>11.622131071215545</v>
      </c>
      <c r="E124" s="360">
        <f t="shared" ca="1" si="38"/>
        <v>43.411794885801918</v>
      </c>
      <c r="F124" s="357">
        <f t="shared" ca="1" si="39"/>
        <v>44.940603754772269</v>
      </c>
      <c r="G124" s="359">
        <f t="shared" ca="1" si="40"/>
        <v>15.787496449721939</v>
      </c>
      <c r="H124" s="360">
        <f t="shared" ca="1" si="41"/>
        <v>72.198356876866697</v>
      </c>
      <c r="I124" s="357">
        <f t="shared" ca="1" si="42"/>
        <v>73.904315028754496</v>
      </c>
      <c r="J124" s="359">
        <f t="shared" ca="1" si="43"/>
        <v>9.429722046505173</v>
      </c>
      <c r="K124" s="360">
        <f t="shared" ca="1" si="44"/>
        <v>46.329391319579969</v>
      </c>
      <c r="L124" s="357">
        <f t="shared" ca="1" si="29"/>
        <v>47.279299465168869</v>
      </c>
      <c r="M124" s="359">
        <f t="shared" ca="1" si="45"/>
        <v>1.3555165381513903</v>
      </c>
      <c r="N124" s="357">
        <f t="shared" ca="1" si="46"/>
        <v>77.665376696258704</v>
      </c>
      <c r="O124" s="343"/>
      <c r="P124" s="363">
        <f t="shared" ca="1" si="47"/>
        <v>8</v>
      </c>
      <c r="Q124" s="357">
        <f t="shared" ca="1" si="48"/>
        <v>29.627672117743245</v>
      </c>
      <c r="R124" s="359">
        <f t="shared" ca="1" si="49"/>
        <v>1.7055120916877303E-2</v>
      </c>
      <c r="S124" s="360">
        <f t="shared" ca="1" si="50"/>
        <v>0.43739930977974117</v>
      </c>
      <c r="T124" s="357">
        <f t="shared" ca="1" si="30"/>
        <v>4.290887228939261</v>
      </c>
      <c r="U124" s="364">
        <f t="shared" ca="1" si="31"/>
        <v>0</v>
      </c>
      <c r="V124" s="359">
        <f t="shared" ca="1" si="32"/>
        <v>1.2193377659561893</v>
      </c>
      <c r="W124" s="357">
        <f t="shared" ca="1" si="33"/>
        <v>5.8705982808947832</v>
      </c>
      <c r="X124" s="343"/>
      <c r="Y124" s="367" t="str">
        <f t="shared" ca="1" si="51"/>
        <v/>
      </c>
      <c r="Z124" s="368" t="str">
        <f t="shared" ca="1" si="52"/>
        <v/>
      </c>
      <c r="AA124" s="369" t="str">
        <f t="shared" ca="1" si="53"/>
        <v/>
      </c>
      <c r="AB124" s="344"/>
      <c r="AC124" s="363" t="e">
        <f t="shared" ca="1" si="54"/>
        <v>#N/A</v>
      </c>
      <c r="AD124" s="376" t="e">
        <f t="shared" ca="1" si="55"/>
        <v>#N/A</v>
      </c>
      <c r="AE124" s="377">
        <f t="shared" ca="1" si="34"/>
        <v>46.329391319579969</v>
      </c>
      <c r="AF124" s="344"/>
      <c r="AG124" s="359">
        <f t="shared" ca="1" si="56"/>
        <v>44.891843487879278</v>
      </c>
      <c r="AH124" s="357">
        <f t="shared" ca="1" si="57"/>
        <v>54.475989036481799</v>
      </c>
    </row>
    <row r="125" spans="1:34">
      <c r="A125" s="402">
        <f t="shared" ca="1" si="35"/>
        <v>0.01</v>
      </c>
      <c r="B125" s="357">
        <f t="shared" ca="1" si="36"/>
        <v>1.2100000000000009</v>
      </c>
      <c r="C125" s="342"/>
      <c r="D125" s="359">
        <f t="shared" ca="1" si="37"/>
        <v>11.561713780126889</v>
      </c>
      <c r="E125" s="360">
        <f t="shared" ca="1" si="38"/>
        <v>43.063281097110881</v>
      </c>
      <c r="F125" s="357">
        <f t="shared" ca="1" si="39"/>
        <v>44.588332603746949</v>
      </c>
      <c r="G125" s="359">
        <f t="shared" ca="1" si="40"/>
        <v>15.903113587523208</v>
      </c>
      <c r="H125" s="360">
        <f t="shared" ca="1" si="41"/>
        <v>72.628989687837802</v>
      </c>
      <c r="I125" s="357">
        <f t="shared" ca="1" si="42"/>
        <v>74.349708572755787</v>
      </c>
      <c r="J125" s="359">
        <f t="shared" ca="1" si="43"/>
        <v>9.5881750966913994</v>
      </c>
      <c r="K125" s="360">
        <f t="shared" ca="1" si="44"/>
        <v>47.053528052403493</v>
      </c>
      <c r="L125" s="357">
        <f t="shared" ca="1" si="29"/>
        <v>48.020491499599785</v>
      </c>
      <c r="M125" s="359">
        <f t="shared" ca="1" si="45"/>
        <v>1.3552346783040901</v>
      </c>
      <c r="N125" s="357">
        <f t="shared" ca="1" si="46"/>
        <v>77.649227316594192</v>
      </c>
      <c r="O125" s="343"/>
      <c r="P125" s="363">
        <f t="shared" ca="1" si="47"/>
        <v>8</v>
      </c>
      <c r="Q125" s="357">
        <f t="shared" ca="1" si="48"/>
        <v>29.534589533932941</v>
      </c>
      <c r="R125" s="359">
        <f t="shared" ca="1" si="49"/>
        <v>1.7001538079999972E-2</v>
      </c>
      <c r="S125" s="360">
        <f t="shared" ca="1" si="50"/>
        <v>0.43722929439894115</v>
      </c>
      <c r="T125" s="357">
        <f t="shared" ca="1" si="30"/>
        <v>4.2892193780536125</v>
      </c>
      <c r="U125" s="364">
        <f t="shared" ca="1" si="31"/>
        <v>0</v>
      </c>
      <c r="V125" s="359">
        <f t="shared" ca="1" si="32"/>
        <v>1.2192494719452378</v>
      </c>
      <c r="W125" s="357">
        <f t="shared" ca="1" si="33"/>
        <v>5.9411410454499087</v>
      </c>
      <c r="X125" s="343"/>
      <c r="Y125" s="367" t="str">
        <f t="shared" ca="1" si="51"/>
        <v/>
      </c>
      <c r="Z125" s="368" t="str">
        <f t="shared" ca="1" si="52"/>
        <v/>
      </c>
      <c r="AA125" s="369" t="str">
        <f t="shared" ca="1" si="53"/>
        <v/>
      </c>
      <c r="AB125" s="344"/>
      <c r="AC125" s="363" t="e">
        <f t="shared" ca="1" si="54"/>
        <v>#N/A</v>
      </c>
      <c r="AD125" s="376" t="e">
        <f t="shared" ca="1" si="55"/>
        <v>#N/A</v>
      </c>
      <c r="AE125" s="377">
        <f t="shared" ca="1" si="34"/>
        <v>47.053528052403493</v>
      </c>
      <c r="AF125" s="344"/>
      <c r="AG125" s="359">
        <f t="shared" ca="1" si="56"/>
        <v>44.539059064599883</v>
      </c>
      <c r="AH125" s="357">
        <f t="shared" ca="1" si="57"/>
        <v>54.122611536285632</v>
      </c>
    </row>
    <row r="126" spans="1:34">
      <c r="A126" s="402">
        <f t="shared" ca="1" si="35"/>
        <v>0.01</v>
      </c>
      <c r="B126" s="357">
        <f t="shared" ca="1" si="36"/>
        <v>1.2200000000000009</v>
      </c>
      <c r="C126" s="342"/>
      <c r="D126" s="359">
        <f t="shared" ca="1" si="37"/>
        <v>11.501027377506082</v>
      </c>
      <c r="E126" s="360">
        <f t="shared" ca="1" si="38"/>
        <v>42.714808692542469</v>
      </c>
      <c r="F126" s="357">
        <f t="shared" ca="1" si="39"/>
        <v>44.236054439547907</v>
      </c>
      <c r="G126" s="359">
        <f t="shared" ca="1" si="40"/>
        <v>16.018123861298267</v>
      </c>
      <c r="H126" s="360">
        <f t="shared" ca="1" si="41"/>
        <v>73.056137774763229</v>
      </c>
      <c r="I126" s="357">
        <f t="shared" ca="1" si="42"/>
        <v>74.791574115010306</v>
      </c>
      <c r="J126" s="359">
        <f t="shared" ca="1" si="43"/>
        <v>9.747781283935506</v>
      </c>
      <c r="K126" s="360">
        <f t="shared" ca="1" si="44"/>
        <v>47.781953689716495</v>
      </c>
      <c r="L126" s="357">
        <f t="shared" ca="1" si="29"/>
        <v>48.766118754373466</v>
      </c>
      <c r="M126" s="359">
        <f t="shared" ca="1" si="45"/>
        <v>1.3549541225181638</v>
      </c>
      <c r="N126" s="357">
        <f t="shared" ca="1" si="46"/>
        <v>77.633152654142648</v>
      </c>
      <c r="O126" s="343"/>
      <c r="P126" s="363">
        <f t="shared" ca="1" si="47"/>
        <v>8</v>
      </c>
      <c r="Q126" s="357">
        <f t="shared" ca="1" si="48"/>
        <v>29.441506950122637</v>
      </c>
      <c r="R126" s="359">
        <f t="shared" ca="1" si="49"/>
        <v>1.6947955243122641E-2</v>
      </c>
      <c r="S126" s="360">
        <f t="shared" ca="1" si="50"/>
        <v>0.43705981484650991</v>
      </c>
      <c r="T126" s="357">
        <f t="shared" ca="1" si="30"/>
        <v>4.2875567836442627</v>
      </c>
      <c r="U126" s="364">
        <f t="shared" ca="1" si="31"/>
        <v>0</v>
      </c>
      <c r="V126" s="359">
        <f t="shared" ca="1" si="32"/>
        <v>1.2191606614232826</v>
      </c>
      <c r="W126" s="357">
        <f t="shared" ca="1" si="33"/>
        <v>6.0115302107471233</v>
      </c>
      <c r="X126" s="343"/>
      <c r="Y126" s="367" t="str">
        <f t="shared" ca="1" si="51"/>
        <v/>
      </c>
      <c r="Z126" s="368" t="str">
        <f t="shared" ca="1" si="52"/>
        <v/>
      </c>
      <c r="AA126" s="369" t="str">
        <f t="shared" ca="1" si="53"/>
        <v/>
      </c>
      <c r="AB126" s="344"/>
      <c r="AC126" s="363" t="e">
        <f t="shared" ca="1" si="54"/>
        <v>#N/A</v>
      </c>
      <c r="AD126" s="376" t="e">
        <f t="shared" ca="1" si="55"/>
        <v>#N/A</v>
      </c>
      <c r="AE126" s="377">
        <f t="shared" ca="1" si="34"/>
        <v>47.781953689716495</v>
      </c>
      <c r="AF126" s="344"/>
      <c r="AG126" s="359">
        <f t="shared" ca="1" si="56"/>
        <v>44.186259877421293</v>
      </c>
      <c r="AH126" s="357">
        <f t="shared" ca="1" si="57"/>
        <v>53.769221297377271</v>
      </c>
    </row>
    <row r="127" spans="1:34">
      <c r="A127" s="402">
        <f t="shared" ca="1" si="35"/>
        <v>0.01</v>
      </c>
      <c r="B127" s="357">
        <f t="shared" ca="1" si="36"/>
        <v>1.2300000000000009</v>
      </c>
      <c r="C127" s="342"/>
      <c r="D127" s="359">
        <f t="shared" ca="1" si="37"/>
        <v>11.440079962987511</v>
      </c>
      <c r="E127" s="360">
        <f t="shared" ca="1" si="38"/>
        <v>42.366401254434109</v>
      </c>
      <c r="F127" s="357">
        <f t="shared" ca="1" si="39"/>
        <v>43.883794102279538</v>
      </c>
      <c r="G127" s="359">
        <f t="shared" ca="1" si="40"/>
        <v>16.132524660928144</v>
      </c>
      <c r="H127" s="360">
        <f t="shared" ca="1" si="41"/>
        <v>73.479801787307565</v>
      </c>
      <c r="I127" s="357">
        <f t="shared" ca="1" si="42"/>
        <v>75.229911754816399</v>
      </c>
      <c r="J127" s="359">
        <f t="shared" ca="1" si="43"/>
        <v>9.9085345265466387</v>
      </c>
      <c r="K127" s="360">
        <f t="shared" ca="1" si="44"/>
        <v>48.51463338752685</v>
      </c>
      <c r="L127" s="357">
        <f t="shared" ca="1" si="29"/>
        <v>49.516145944428082</v>
      </c>
      <c r="M127" s="359">
        <f t="shared" ca="1" si="45"/>
        <v>1.3546748440624161</v>
      </c>
      <c r="N127" s="357">
        <f t="shared" ca="1" si="46"/>
        <v>77.617151177319371</v>
      </c>
      <c r="O127" s="343"/>
      <c r="P127" s="363">
        <f t="shared" ca="1" si="47"/>
        <v>8</v>
      </c>
      <c r="Q127" s="357">
        <f t="shared" ca="1" si="48"/>
        <v>29.348424366312337</v>
      </c>
      <c r="R127" s="359">
        <f t="shared" ca="1" si="49"/>
        <v>1.6894372406245309E-2</v>
      </c>
      <c r="S127" s="360">
        <f t="shared" ca="1" si="50"/>
        <v>0.43689087112244746</v>
      </c>
      <c r="T127" s="357">
        <f t="shared" ca="1" si="30"/>
        <v>4.2858994457112098</v>
      </c>
      <c r="U127" s="364">
        <f t="shared" ca="1" si="31"/>
        <v>0</v>
      </c>
      <c r="V127" s="359">
        <f t="shared" ca="1" si="32"/>
        <v>1.2190713387513759</v>
      </c>
      <c r="W127" s="357">
        <f t="shared" ca="1" si="33"/>
        <v>6.0817557041458707</v>
      </c>
      <c r="X127" s="343"/>
      <c r="Y127" s="367" t="str">
        <f t="shared" ca="1" si="51"/>
        <v/>
      </c>
      <c r="Z127" s="368" t="str">
        <f t="shared" ca="1" si="52"/>
        <v/>
      </c>
      <c r="AA127" s="369" t="str">
        <f t="shared" ca="1" si="53"/>
        <v/>
      </c>
      <c r="AB127" s="344"/>
      <c r="AC127" s="363" t="e">
        <f t="shared" ca="1" si="54"/>
        <v>#N/A</v>
      </c>
      <c r="AD127" s="376" t="e">
        <f t="shared" ca="1" si="55"/>
        <v>#N/A</v>
      </c>
      <c r="AE127" s="377">
        <f t="shared" ca="1" si="34"/>
        <v>48.51463338752685</v>
      </c>
      <c r="AF127" s="344"/>
      <c r="AG127" s="359">
        <f t="shared" ca="1" si="56"/>
        <v>43.833470597287196</v>
      </c>
      <c r="AH127" s="357">
        <f t="shared" ca="1" si="57"/>
        <v>53.415842944048556</v>
      </c>
    </row>
    <row r="128" spans="1:34">
      <c r="A128" s="402">
        <f t="shared" ca="1" si="35"/>
        <v>0.01</v>
      </c>
      <c r="B128" s="357">
        <f t="shared" ca="1" si="36"/>
        <v>1.2400000000000009</v>
      </c>
      <c r="C128" s="342"/>
      <c r="D128" s="359">
        <f t="shared" ca="1" si="37"/>
        <v>11.378879539342149</v>
      </c>
      <c r="E128" s="360">
        <f t="shared" ca="1" si="38"/>
        <v>42.018082131343647</v>
      </c>
      <c r="F128" s="357">
        <f t="shared" ca="1" si="39"/>
        <v>43.531576189786648</v>
      </c>
      <c r="G128" s="359">
        <f t="shared" ca="1" si="40"/>
        <v>16.246313456321566</v>
      </c>
      <c r="H128" s="360">
        <f t="shared" ca="1" si="41"/>
        <v>73.899982608621002</v>
      </c>
      <c r="I128" s="357">
        <f t="shared" ca="1" si="42"/>
        <v>75.664721835711134</v>
      </c>
      <c r="J128" s="359">
        <f t="shared" ca="1" si="43"/>
        <v>10.070428717132888</v>
      </c>
      <c r="K128" s="360">
        <f t="shared" ca="1" si="44"/>
        <v>49.251532309506494</v>
      </c>
      <c r="L128" s="357">
        <f t="shared" ca="1" si="29"/>
        <v>50.270537786870918</v>
      </c>
      <c r="M128" s="359">
        <f t="shared" ca="1" si="45"/>
        <v>1.354396816816029</v>
      </c>
      <c r="N128" s="357">
        <f t="shared" ca="1" si="46"/>
        <v>77.60122138951175</v>
      </c>
      <c r="O128" s="343"/>
      <c r="P128" s="363">
        <f t="shared" ca="1" si="47"/>
        <v>8</v>
      </c>
      <c r="Q128" s="357">
        <f t="shared" ca="1" si="48"/>
        <v>29.255341782502033</v>
      </c>
      <c r="R128" s="359">
        <f t="shared" ca="1" si="49"/>
        <v>1.6840789569367978E-2</v>
      </c>
      <c r="S128" s="360">
        <f t="shared" ca="1" si="50"/>
        <v>0.43672246322675379</v>
      </c>
      <c r="T128" s="357">
        <f t="shared" ca="1" si="30"/>
        <v>4.2842473642544547</v>
      </c>
      <c r="U128" s="364">
        <f t="shared" ca="1" si="31"/>
        <v>0</v>
      </c>
      <c r="V128" s="359">
        <f t="shared" ca="1" si="32"/>
        <v>1.2189815082890334</v>
      </c>
      <c r="W128" s="357">
        <f t="shared" ca="1" si="33"/>
        <v>6.1518075776551884</v>
      </c>
      <c r="X128" s="343"/>
      <c r="Y128" s="367" t="str">
        <f t="shared" ca="1" si="51"/>
        <v/>
      </c>
      <c r="Z128" s="368" t="str">
        <f t="shared" ca="1" si="52"/>
        <v/>
      </c>
      <c r="AA128" s="369" t="str">
        <f t="shared" ca="1" si="53"/>
        <v/>
      </c>
      <c r="AB128" s="344"/>
      <c r="AC128" s="363" t="e">
        <f t="shared" ca="1" si="54"/>
        <v>#N/A</v>
      </c>
      <c r="AD128" s="376" t="e">
        <f t="shared" ca="1" si="55"/>
        <v>#N/A</v>
      </c>
      <c r="AE128" s="377">
        <f t="shared" ca="1" si="34"/>
        <v>49.251532309506494</v>
      </c>
      <c r="AF128" s="344"/>
      <c r="AG128" s="359">
        <f t="shared" ca="1" si="56"/>
        <v>43.4807156485424</v>
      </c>
      <c r="AH128" s="357">
        <f t="shared" ca="1" si="57"/>
        <v>53.062500854974431</v>
      </c>
    </row>
    <row r="129" spans="1:34">
      <c r="A129" s="402">
        <f t="shared" ca="1" si="35"/>
        <v>0.01</v>
      </c>
      <c r="B129" s="357">
        <f t="shared" ca="1" si="36"/>
        <v>1.2500000000000009</v>
      </c>
      <c r="C129" s="342"/>
      <c r="D129" s="359">
        <f t="shared" ca="1" si="37"/>
        <v>11.317434013465032</v>
      </c>
      <c r="E129" s="360">
        <f t="shared" ca="1" si="38"/>
        <v>41.669874435381395</v>
      </c>
      <c r="F129" s="357">
        <f t="shared" ca="1" si="39"/>
        <v>43.17942505533842</v>
      </c>
      <c r="G129" s="359">
        <f t="shared" ca="1" si="40"/>
        <v>16.359487796456218</v>
      </c>
      <c r="H129" s="360">
        <f t="shared" ca="1" si="41"/>
        <v>74.316681352974811</v>
      </c>
      <c r="I129" s="357">
        <f t="shared" ca="1" si="42"/>
        <v>76.096004942979718</v>
      </c>
      <c r="J129" s="359">
        <f t="shared" ca="1" si="43"/>
        <v>10.233457723396777</v>
      </c>
      <c r="K129" s="360">
        <f t="shared" ca="1" si="44"/>
        <v>49.992615629314471</v>
      </c>
      <c r="L129" s="357">
        <f t="shared" ca="1" si="29"/>
        <v>51.029259003408299</v>
      </c>
      <c r="M129" s="359">
        <f t="shared" ca="1" si="45"/>
        <v>1.3541200152489228</v>
      </c>
      <c r="N129" s="357">
        <f t="shared" ca="1" si="46"/>
        <v>77.585361827953946</v>
      </c>
      <c r="O129" s="343"/>
      <c r="P129" s="363">
        <f t="shared" ca="1" si="47"/>
        <v>8</v>
      </c>
      <c r="Q129" s="357">
        <f t="shared" ca="1" si="48"/>
        <v>29.162259198691729</v>
      </c>
      <c r="R129" s="359">
        <f t="shared" ca="1" si="49"/>
        <v>1.6787206732490647E-2</v>
      </c>
      <c r="S129" s="360">
        <f t="shared" ca="1" si="50"/>
        <v>0.43655459115942891</v>
      </c>
      <c r="T129" s="357">
        <f t="shared" ca="1" si="30"/>
        <v>4.2826005392739974</v>
      </c>
      <c r="U129" s="364">
        <f t="shared" ca="1" si="31"/>
        <v>0</v>
      </c>
      <c r="V129" s="359">
        <f t="shared" ca="1" si="32"/>
        <v>1.2188911743939326</v>
      </c>
      <c r="W129" s="357">
        <f t="shared" ca="1" si="33"/>
        <v>6.2216760086405207</v>
      </c>
      <c r="X129" s="343"/>
      <c r="Y129" s="367" t="str">
        <f t="shared" ca="1" si="51"/>
        <v/>
      </c>
      <c r="Z129" s="368" t="str">
        <f t="shared" ca="1" si="52"/>
        <v/>
      </c>
      <c r="AA129" s="369" t="str">
        <f t="shared" ca="1" si="53"/>
        <v/>
      </c>
      <c r="AB129" s="344"/>
      <c r="AC129" s="363" t="e">
        <f t="shared" ca="1" si="54"/>
        <v>#N/A</v>
      </c>
      <c r="AD129" s="376" t="e">
        <f t="shared" ca="1" si="55"/>
        <v>#N/A</v>
      </c>
      <c r="AE129" s="377">
        <f t="shared" ca="1" si="34"/>
        <v>49.992615629314471</v>
      </c>
      <c r="AF129" s="344"/>
      <c r="AG129" s="359">
        <f t="shared" ca="1" si="56"/>
        <v>43.128019206461204</v>
      </c>
      <c r="AH129" s="357">
        <f t="shared" ca="1" si="57"/>
        <v>52.709219160710113</v>
      </c>
    </row>
    <row r="130" spans="1:34">
      <c r="A130" s="402">
        <f t="shared" ca="1" si="35"/>
        <v>0.01</v>
      </c>
      <c r="B130" s="357">
        <f t="shared" ca="1" si="36"/>
        <v>1.2600000000000009</v>
      </c>
      <c r="C130" s="342"/>
      <c r="D130" s="359">
        <f t="shared" ca="1" si="37"/>
        <v>11.255751197313712</v>
      </c>
      <c r="E130" s="360">
        <f t="shared" ca="1" si="38"/>
        <v>41.321801039658943</v>
      </c>
      <c r="F130" s="357">
        <f t="shared" ca="1" si="39"/>
        <v>42.827364805425375</v>
      </c>
      <c r="G130" s="359">
        <f t="shared" ca="1" si="40"/>
        <v>16.472045308429355</v>
      </c>
      <c r="H130" s="360">
        <f t="shared" ca="1" si="41"/>
        <v>74.729899363371402</v>
      </c>
      <c r="I130" s="357">
        <f t="shared" ca="1" si="42"/>
        <v>76.523761901141313</v>
      </c>
      <c r="J130" s="359">
        <f t="shared" ca="1" si="43"/>
        <v>10.397615388921205</v>
      </c>
      <c r="K130" s="360">
        <f t="shared" ca="1" si="44"/>
        <v>50.737848532896201</v>
      </c>
      <c r="L130" s="357">
        <f t="shared" ca="1" si="29"/>
        <v>51.792274322750579</v>
      </c>
      <c r="M130" s="359">
        <f t="shared" ca="1" si="45"/>
        <v>1.3538444144028963</v>
      </c>
      <c r="N130" s="357">
        <f t="shared" ca="1" si="46"/>
        <v>77.569571062646403</v>
      </c>
      <c r="O130" s="343"/>
      <c r="P130" s="363">
        <f t="shared" ca="1" si="47"/>
        <v>8</v>
      </c>
      <c r="Q130" s="357">
        <f t="shared" ca="1" si="48"/>
        <v>29.069176614881428</v>
      </c>
      <c r="R130" s="359">
        <f t="shared" ca="1" si="49"/>
        <v>1.6733623895613319E-2</v>
      </c>
      <c r="S130" s="360">
        <f t="shared" ca="1" si="50"/>
        <v>0.43638725492047276</v>
      </c>
      <c r="T130" s="357">
        <f t="shared" ca="1" si="30"/>
        <v>4.2809589707698379</v>
      </c>
      <c r="U130" s="364">
        <f t="shared" ca="1" si="31"/>
        <v>0</v>
      </c>
      <c r="V130" s="359">
        <f t="shared" ca="1" si="32"/>
        <v>1.2188003414216158</v>
      </c>
      <c r="W130" s="357">
        <f t="shared" ca="1" si="33"/>
        <v>6.2913513004833082</v>
      </c>
      <c r="X130" s="343"/>
      <c r="Y130" s="367" t="str">
        <f t="shared" ca="1" si="51"/>
        <v/>
      </c>
      <c r="Z130" s="368" t="str">
        <f t="shared" ca="1" si="52"/>
        <v/>
      </c>
      <c r="AA130" s="369" t="str">
        <f t="shared" ca="1" si="53"/>
        <v/>
      </c>
      <c r="AB130" s="344"/>
      <c r="AC130" s="363" t="e">
        <f t="shared" ca="1" si="54"/>
        <v>#N/A</v>
      </c>
      <c r="AD130" s="376" t="e">
        <f t="shared" ca="1" si="55"/>
        <v>#N/A</v>
      </c>
      <c r="AE130" s="377">
        <f t="shared" ca="1" si="34"/>
        <v>50.737848532896201</v>
      </c>
      <c r="AF130" s="344"/>
      <c r="AG130" s="359">
        <f t="shared" ca="1" si="56"/>
        <v>42.775405194882751</v>
      </c>
      <c r="AH130" s="357">
        <f t="shared" ca="1" si="57"/>
        <v>52.356021741296352</v>
      </c>
    </row>
    <row r="131" spans="1:34">
      <c r="A131" s="402">
        <f t="shared" ca="1" si="35"/>
        <v>0.01</v>
      </c>
      <c r="B131" s="357">
        <f t="shared" ca="1" si="36"/>
        <v>1.2700000000000009</v>
      </c>
      <c r="C131" s="342"/>
      <c r="D131" s="359">
        <f t="shared" ca="1" si="37"/>
        <v>11.193838808801051</v>
      </c>
      <c r="E131" s="360">
        <f t="shared" ca="1" si="38"/>
        <v>40.973884575853411</v>
      </c>
      <c r="F131" s="357">
        <f t="shared" ca="1" si="39"/>
        <v>42.475419297668843</v>
      </c>
      <c r="G131" s="359">
        <f t="shared" ca="1" si="40"/>
        <v>16.583983696517365</v>
      </c>
      <c r="H131" s="360">
        <f t="shared" ca="1" si="41"/>
        <v>75.139638209129942</v>
      </c>
      <c r="I131" s="357">
        <f t="shared" ca="1" si="42"/>
        <v>76.947993771412214</v>
      </c>
      <c r="J131" s="359">
        <f t="shared" ca="1" si="43"/>
        <v>10.562895533945937</v>
      </c>
      <c r="K131" s="360">
        <f t="shared" ca="1" si="44"/>
        <v>51.487196220758705</v>
      </c>
      <c r="L131" s="357">
        <f t="shared" ca="1" si="29"/>
        <v>52.559548482991786</v>
      </c>
      <c r="M131" s="359">
        <f t="shared" ca="1" si="45"/>
        <v>1.3535699898735076</v>
      </c>
      <c r="N131" s="357">
        <f t="shared" ca="1" si="46"/>
        <v>77.553847695317572</v>
      </c>
      <c r="O131" s="343"/>
      <c r="P131" s="363">
        <f t="shared" ca="1" si="47"/>
        <v>8</v>
      </c>
      <c r="Q131" s="357">
        <f t="shared" ca="1" si="48"/>
        <v>28.976094031071128</v>
      </c>
      <c r="R131" s="359">
        <f t="shared" ca="1" si="49"/>
        <v>1.6680041058735988E-2</v>
      </c>
      <c r="S131" s="360">
        <f t="shared" ca="1" si="50"/>
        <v>0.43622045450988539</v>
      </c>
      <c r="T131" s="357">
        <f t="shared" ca="1" si="30"/>
        <v>4.2793226587419761</v>
      </c>
      <c r="U131" s="364">
        <f t="shared" ca="1" si="31"/>
        <v>0</v>
      </c>
      <c r="V131" s="359">
        <f t="shared" ca="1" si="32"/>
        <v>1.218709013725195</v>
      </c>
      <c r="W131" s="357">
        <f t="shared" ca="1" si="33"/>
        <v>6.3608238831937749</v>
      </c>
      <c r="X131" s="343"/>
      <c r="Y131" s="367" t="str">
        <f t="shared" ca="1" si="51"/>
        <v/>
      </c>
      <c r="Z131" s="368" t="str">
        <f t="shared" ca="1" si="52"/>
        <v/>
      </c>
      <c r="AA131" s="369" t="str">
        <f t="shared" ca="1" si="53"/>
        <v/>
      </c>
      <c r="AB131" s="344"/>
      <c r="AC131" s="363" t="e">
        <f t="shared" ca="1" si="54"/>
        <v>#N/A</v>
      </c>
      <c r="AD131" s="376" t="e">
        <f t="shared" ca="1" si="55"/>
        <v>#N/A</v>
      </c>
      <c r="AE131" s="377">
        <f t="shared" ca="1" si="34"/>
        <v>51.487196220758705</v>
      </c>
      <c r="AF131" s="344"/>
      <c r="AG131" s="359">
        <f t="shared" ca="1" si="56"/>
        <v>42.422897283952388</v>
      </c>
      <c r="AH131" s="357">
        <f t="shared" ca="1" si="57"/>
        <v>52.002932223971975</v>
      </c>
    </row>
    <row r="132" spans="1:34">
      <c r="A132" s="402">
        <f t="shared" ca="1" si="35"/>
        <v>0.01</v>
      </c>
      <c r="B132" s="357">
        <f t="shared" ca="1" si="36"/>
        <v>1.2800000000000009</v>
      </c>
      <c r="C132" s="342"/>
      <c r="D132" s="359">
        <f t="shared" ca="1" si="37"/>
        <v>11.131704472645616</v>
      </c>
      <c r="E132" s="360">
        <f t="shared" ca="1" si="38"/>
        <v>40.626147431886125</v>
      </c>
      <c r="F132" s="357">
        <f t="shared" ca="1" si="39"/>
        <v>42.123612138842816</v>
      </c>
      <c r="G132" s="359">
        <f t="shared" ca="1" si="40"/>
        <v>16.69530074124382</v>
      </c>
      <c r="H132" s="360">
        <f t="shared" ca="1" si="41"/>
        <v>75.545899683448809</v>
      </c>
      <c r="I132" s="357">
        <f t="shared" ca="1" si="42"/>
        <v>77.368701849147556</v>
      </c>
      <c r="J132" s="359">
        <f t="shared" ca="1" si="43"/>
        <v>10.729291956134743</v>
      </c>
      <c r="K132" s="360">
        <f t="shared" ca="1" si="44"/>
        <v>52.240623910221601</v>
      </c>
      <c r="L132" s="357">
        <f t="shared" ref="L132:L195" ca="1" si="58">SQRT(pos_x^2+pos_z^2)</f>
        <v>53.331046233963896</v>
      </c>
      <c r="M132" s="359">
        <f t="shared" ca="1" si="45"/>
        <v>1.3532967177926629</v>
      </c>
      <c r="N132" s="357">
        <f t="shared" ca="1" si="46"/>
        <v>77.538190358426405</v>
      </c>
      <c r="O132" s="343"/>
      <c r="P132" s="363">
        <f t="shared" ca="1" si="47"/>
        <v>8</v>
      </c>
      <c r="Q132" s="357">
        <f t="shared" ca="1" si="48"/>
        <v>28.88301144726082</v>
      </c>
      <c r="R132" s="359">
        <f t="shared" ca="1" si="49"/>
        <v>1.6626458221858653E-2</v>
      </c>
      <c r="S132" s="360">
        <f t="shared" ca="1" si="50"/>
        <v>0.43605418992766681</v>
      </c>
      <c r="T132" s="357">
        <f t="shared" ref="T132:T195" ca="1" si="59">m*g</f>
        <v>4.2776916031904113</v>
      </c>
      <c r="U132" s="364">
        <f t="shared" ref="U132:U195" ca="1" si="60">IF(pos_xz&lt;L_rampe,Poids*COS(Beta),0)</f>
        <v>0</v>
      </c>
      <c r="V132" s="359">
        <f t="shared" ref="V132:V195" ca="1" si="61">Rho_moyen*(20000-Alt_rampe-pos_z)/(20000+Alt_rampe+pos_z)</f>
        <v>1.218617195655062</v>
      </c>
      <c r="W132" s="357">
        <f t="shared" ref="W132:W195" ca="1" si="62">1/2*Rho*Sref*Cx*vit_xz^2</f>
        <v>6.4300843139774377</v>
      </c>
      <c r="X132" s="343"/>
      <c r="Y132" s="367" t="str">
        <f t="shared" ca="1" si="51"/>
        <v/>
      </c>
      <c r="Z132" s="368" t="str">
        <f t="shared" ca="1" si="52"/>
        <v/>
      </c>
      <c r="AA132" s="369" t="str">
        <f t="shared" ca="1" si="53"/>
        <v/>
      </c>
      <c r="AB132" s="344"/>
      <c r="AC132" s="363" t="e">
        <f t="shared" ca="1" si="54"/>
        <v>#N/A</v>
      </c>
      <c r="AD132" s="376" t="e">
        <f t="shared" ca="1" si="55"/>
        <v>#N/A</v>
      </c>
      <c r="AE132" s="377">
        <f t="shared" ref="AE132:AE195" ca="1" si="63">IF(t&lt;T_para, pos_z, NA())</f>
        <v>52.240623910221601</v>
      </c>
      <c r="AF132" s="344"/>
      <c r="AG132" s="359">
        <f t="shared" ca="1" si="56"/>
        <v>42.070518887968774</v>
      </c>
      <c r="AH132" s="357">
        <f t="shared" ca="1" si="57"/>
        <v>51.649973980993174</v>
      </c>
    </row>
    <row r="133" spans="1:34">
      <c r="A133" s="402">
        <f t="shared" ref="A133:A196" ca="1" si="64">IF(B132+0.01&lt;=T_ini+ROUNDUP(Temps_fin_propu,0), 0.01, IF(K132&gt;0, 0.1, 0.0001))</f>
        <v>0.01</v>
      </c>
      <c r="B133" s="357">
        <f t="shared" ref="B133:B196" ca="1" si="65">B132+pas</f>
        <v>1.2900000000000009</v>
      </c>
      <c r="C133" s="342"/>
      <c r="D133" s="359">
        <f t="shared" ref="D133:D196" ca="1" si="66">IF(AND(L132&lt;L_rampe,Poussee&lt;Poids*SIN(M132)),0,(-W132+Poussee)/m*COS(M132)-U132/m*SIN(M132))</f>
        <v>11.069355721182724</v>
      </c>
      <c r="E133" s="360">
        <f t="shared" ref="E133:E196" ca="1" si="67">IF(AND(L132&lt;L_rampe,Poussee&lt;Poids*SIN(M132)),0,(-W132+Poussee)/m*SIN(M132)+U132/m*COS(M132)-Poids/m)</f>
        <v>40.278611749714386</v>
      </c>
      <c r="F133" s="357">
        <f t="shared" ref="F133:F196" ca="1" si="68">SQRT(acc_x^2+acc_z^2)</f>
        <v>41.771966683007761</v>
      </c>
      <c r="G133" s="359">
        <f t="shared" ref="G133:G196" ca="1" si="69">G132+acc_x*pas</f>
        <v>16.805994298455648</v>
      </c>
      <c r="H133" s="360">
        <f t="shared" ref="H133:H196" ca="1" si="70">H132+acc_z*pas</f>
        <v>75.948685800945952</v>
      </c>
      <c r="I133" s="357">
        <f t="shared" ref="I133:I196" ca="1" si="71">SQRT(vit_x^2+vit_z^2)</f>
        <v>77.785887661262393</v>
      </c>
      <c r="J133" s="359">
        <f t="shared" ref="J133:J196" ca="1" si="72">J132+0.5*(vit_x+G132)*pas*(K132&gt;=0)</f>
        <v>10.89679843133324</v>
      </c>
      <c r="K133" s="360">
        <f t="shared" ref="K133:K196" ca="1" si="73">K132+0.5*(vit_z+H132)*pas</f>
        <v>52.998096837643573</v>
      </c>
      <c r="L133" s="357">
        <f t="shared" ca="1" si="58"/>
        <v>54.106732339565212</v>
      </c>
      <c r="M133" s="359">
        <f t="shared" ref="M133:M196" ca="1" si="74">IF(AND(L132&gt;L_rampe,G133&gt;0),ATAN2(G133,H133),$M$4)</f>
        <v>1.3530245748118768</v>
      </c>
      <c r="N133" s="357">
        <f t="shared" ref="N133:N196" ca="1" si="75">DEGREES(Beta)</f>
        <v>77.522597714203243</v>
      </c>
      <c r="O133" s="343"/>
      <c r="P133" s="363">
        <f t="shared" ref="P133:P196" ca="1" si="76">MATCH(t-pas/2-T_ini,CdP_t)</f>
        <v>8</v>
      </c>
      <c r="Q133" s="357">
        <f t="shared" ref="Q133:Q196" ca="1" si="77">(INDEX(CdP,2,i_P+1)-INDEX(CdP,2,i_P+0))/(INDEX(CdP,1,i_P+1)-INDEX(CdP,1,i_P+0))*(t-pas/2-T_ini-INDEX(CdP,1,i_P+0))+INDEX(CdP,2,i_P+0)</f>
        <v>28.78992886345052</v>
      </c>
      <c r="R133" s="359">
        <f t="shared" ref="R133:R196" ca="1" si="78">Poussee/(g*ISP)</f>
        <v>1.6572875384981325E-2</v>
      </c>
      <c r="S133" s="360">
        <f t="shared" ref="S133:S196" ca="1" si="79">S132-Débit*pas</f>
        <v>0.43588846117381702</v>
      </c>
      <c r="T133" s="357">
        <f t="shared" ca="1" si="59"/>
        <v>4.2760658041151451</v>
      </c>
      <c r="U133" s="364">
        <f t="shared" ca="1" si="60"/>
        <v>0</v>
      </c>
      <c r="V133" s="359">
        <f t="shared" ca="1" si="61"/>
        <v>1.2185248915585991</v>
      </c>
      <c r="W133" s="357">
        <f t="shared" ca="1" si="62"/>
        <v>6.4991232777557855</v>
      </c>
      <c r="X133" s="343"/>
      <c r="Y133" s="367" t="str">
        <f t="shared" ref="Y133:Y196" ca="1" si="80">IF(AND(pos_z&lt;=0,K132&gt;0),"Impact balistique","") &amp; IF(AND(H134&lt;0,vit_z&gt;=0),"Apogée","") &amp; IF(AND(Poussee=0,Q132&gt;0),"Fin de propulsion","") &amp; IF(AND(L134&gt;L_rampe,pos_xz&lt;=L_rampe),"Sortie de rampe","")</f>
        <v/>
      </c>
      <c r="Z133" s="368" t="str">
        <f t="shared" ref="Z133:Z196" ca="1" si="81">IF(ABS(t-T_para)&lt;pas/2,"Para","")</f>
        <v/>
      </c>
      <c r="AA133" s="369" t="str">
        <f t="shared" ref="AA133:AA196" ca="1" si="82">IF(ABS(t-T_satellite)&lt;pas/2,"Satellite","")</f>
        <v/>
      </c>
      <c r="AB133" s="344"/>
      <c r="AC133" s="363" t="e">
        <f t="shared" ref="AC133:AC196" ca="1" si="83">IF(ABS(t-ROUND(t,0))&lt;0.001,t,NA())</f>
        <v>#N/A</v>
      </c>
      <c r="AD133" s="376" t="e">
        <f t="shared" ref="AD133:AD196" ca="1" si="84">IF(ABS(t-ROUND(t,0))&lt;0.001,pos_x,NA())</f>
        <v>#N/A</v>
      </c>
      <c r="AE133" s="377">
        <f t="shared" ca="1" si="63"/>
        <v>52.998096837643573</v>
      </c>
      <c r="AF133" s="344"/>
      <c r="AG133" s="359">
        <f t="shared" ref="AG133:AG196" ca="1" si="85">IF(AND(L132&lt;L_rampe,Poussee&lt;Poids*SIN(M132)),0,(-W132+Poussee)/m-Poids*SIN(M132)/m)</f>
        <v>41.718293163335808</v>
      </c>
      <c r="AH133" s="357">
        <f t="shared" ref="AH133:AH196" ca="1" si="86">IF(AND(L132&lt;L_rampe,Poussee&lt;Poids*SIN(M132)), g*SIN(M132), (-W132+Poussee)/m)</f>
        <v>51.297170127558758</v>
      </c>
    </row>
    <row r="134" spans="1:34">
      <c r="A134" s="402">
        <f t="shared" ca="1" si="64"/>
        <v>0.01</v>
      </c>
      <c r="B134" s="357">
        <f t="shared" ca="1" si="65"/>
        <v>1.3000000000000009</v>
      </c>
      <c r="C134" s="342"/>
      <c r="D134" s="359">
        <f t="shared" ca="1" si="66"/>
        <v>11.006799995138969</v>
      </c>
      <c r="E134" s="360">
        <f t="shared" ca="1" si="67"/>
        <v>39.931299423235004</v>
      </c>
      <c r="F134" s="357">
        <f t="shared" ca="1" si="68"/>
        <v>41.420506029755835</v>
      </c>
      <c r="G134" s="359">
        <f t="shared" ca="1" si="69"/>
        <v>16.916062298407038</v>
      </c>
      <c r="H134" s="360">
        <f t="shared" ca="1" si="70"/>
        <v>76.347998795178299</v>
      </c>
      <c r="I134" s="357">
        <f t="shared" ca="1" si="71"/>
        <v>78.199552963633593</v>
      </c>
      <c r="J134" s="359">
        <f t="shared" ca="1" si="72"/>
        <v>11.065408714317552</v>
      </c>
      <c r="K134" s="360">
        <f t="shared" ca="1" si="73"/>
        <v>53.75958026062419</v>
      </c>
      <c r="L134" s="357">
        <f t="shared" ca="1" si="58"/>
        <v>54.886571580063091</v>
      </c>
      <c r="M134" s="359">
        <f t="shared" ca="1" si="74"/>
        <v>1.3527535380861766</v>
      </c>
      <c r="N134" s="357">
        <f t="shared" ca="1" si="75"/>
        <v>77.507068453727584</v>
      </c>
      <c r="O134" s="343"/>
      <c r="P134" s="363">
        <f t="shared" ca="1" si="76"/>
        <v>8</v>
      </c>
      <c r="Q134" s="357">
        <f t="shared" ca="1" si="77"/>
        <v>28.696846279640219</v>
      </c>
      <c r="R134" s="359">
        <f t="shared" ca="1" si="78"/>
        <v>1.6519292548103994E-2</v>
      </c>
      <c r="S134" s="360">
        <f t="shared" ca="1" si="79"/>
        <v>0.43572326824833596</v>
      </c>
      <c r="T134" s="357">
        <f t="shared" ca="1" si="59"/>
        <v>4.2744452615161759</v>
      </c>
      <c r="U134" s="364">
        <f t="shared" ca="1" si="60"/>
        <v>0</v>
      </c>
      <c r="V134" s="359">
        <f t="shared" ca="1" si="61"/>
        <v>1.2184321057798972</v>
      </c>
      <c r="W134" s="357">
        <f t="shared" ca="1" si="62"/>
        <v>6.567931587641727</v>
      </c>
      <c r="X134" s="343"/>
      <c r="Y134" s="367" t="str">
        <f t="shared" ca="1" si="80"/>
        <v/>
      </c>
      <c r="Z134" s="368" t="str">
        <f t="shared" ca="1" si="81"/>
        <v/>
      </c>
      <c r="AA134" s="369" t="str">
        <f t="shared" ca="1" si="82"/>
        <v/>
      </c>
      <c r="AB134" s="344"/>
      <c r="AC134" s="363" t="e">
        <f t="shared" ca="1" si="83"/>
        <v>#N/A</v>
      </c>
      <c r="AD134" s="376" t="e">
        <f t="shared" ca="1" si="84"/>
        <v>#N/A</v>
      </c>
      <c r="AE134" s="377">
        <f t="shared" ca="1" si="63"/>
        <v>53.75958026062419</v>
      </c>
      <c r="AF134" s="344"/>
      <c r="AG134" s="359">
        <f t="shared" ca="1" si="85"/>
        <v>41.366243006618618</v>
      </c>
      <c r="AH134" s="357">
        <f t="shared" ca="1" si="86"/>
        <v>50.94454351984038</v>
      </c>
    </row>
    <row r="135" spans="1:34">
      <c r="A135" s="402">
        <f t="shared" ca="1" si="64"/>
        <v>0.01</v>
      </c>
      <c r="B135" s="357">
        <f t="shared" ca="1" si="65"/>
        <v>1.3100000000000009</v>
      </c>
      <c r="C135" s="342"/>
      <c r="D135" s="359">
        <f t="shared" ca="1" si="66"/>
        <v>10.944044644372898</v>
      </c>
      <c r="E135" s="360">
        <f t="shared" ca="1" si="67"/>
        <v>39.584232096298379</v>
      </c>
      <c r="F135" s="357">
        <f t="shared" ca="1" si="68"/>
        <v>41.06925302256721</v>
      </c>
      <c r="G135" s="359">
        <f t="shared" ca="1" si="69"/>
        <v>17.025502744850765</v>
      </c>
      <c r="H135" s="360">
        <f t="shared" ca="1" si="70"/>
        <v>76.743841116141283</v>
      </c>
      <c r="I135" s="357">
        <f t="shared" ca="1" si="71"/>
        <v>78.60969973848303</v>
      </c>
      <c r="J135" s="359">
        <f t="shared" ca="1" si="72"/>
        <v>11.235116539533841</v>
      </c>
      <c r="K135" s="360">
        <f t="shared" ca="1" si="73"/>
        <v>54.525039460180786</v>
      </c>
      <c r="L135" s="357">
        <f t="shared" ca="1" si="58"/>
        <v>55.670528754370373</v>
      </c>
      <c r="M135" s="359">
        <f t="shared" ca="1" si="74"/>
        <v>1.352483585258617</v>
      </c>
      <c r="N135" s="357">
        <f t="shared" ca="1" si="75"/>
        <v>77.491601296040798</v>
      </c>
      <c r="O135" s="343"/>
      <c r="P135" s="363">
        <f t="shared" ca="1" si="76"/>
        <v>8</v>
      </c>
      <c r="Q135" s="357">
        <f t="shared" ca="1" si="77"/>
        <v>28.603763695829915</v>
      </c>
      <c r="R135" s="359">
        <f t="shared" ca="1" si="78"/>
        <v>1.6465709711226663E-2</v>
      </c>
      <c r="S135" s="360">
        <f t="shared" ca="1" si="79"/>
        <v>0.43555861115122368</v>
      </c>
      <c r="T135" s="357">
        <f t="shared" ca="1" si="59"/>
        <v>4.2728299753935044</v>
      </c>
      <c r="U135" s="364">
        <f t="shared" ca="1" si="60"/>
        <v>0</v>
      </c>
      <c r="V135" s="359">
        <f t="shared" ca="1" si="61"/>
        <v>1.2183388426594699</v>
      </c>
      <c r="W135" s="357">
        <f t="shared" ca="1" si="62"/>
        <v>6.6365001853702035</v>
      </c>
      <c r="X135" s="343"/>
      <c r="Y135" s="367" t="str">
        <f t="shared" ca="1" si="80"/>
        <v/>
      </c>
      <c r="Z135" s="368" t="str">
        <f t="shared" ca="1" si="81"/>
        <v/>
      </c>
      <c r="AA135" s="369" t="str">
        <f t="shared" ca="1" si="82"/>
        <v/>
      </c>
      <c r="AB135" s="344"/>
      <c r="AC135" s="363" t="e">
        <f t="shared" ca="1" si="83"/>
        <v>#N/A</v>
      </c>
      <c r="AD135" s="376" t="e">
        <f t="shared" ca="1" si="84"/>
        <v>#N/A</v>
      </c>
      <c r="AE135" s="377">
        <f t="shared" ca="1" si="63"/>
        <v>54.525039460180786</v>
      </c>
      <c r="AF135" s="344"/>
      <c r="AG135" s="359">
        <f t="shared" ca="1" si="85"/>
        <v>41.014391052702727</v>
      </c>
      <c r="AH135" s="357">
        <f t="shared" ca="1" si="86"/>
        <v>50.592116753116983</v>
      </c>
    </row>
    <row r="136" spans="1:34">
      <c r="A136" s="402">
        <f t="shared" ca="1" si="64"/>
        <v>0.01</v>
      </c>
      <c r="B136" s="357">
        <f t="shared" ca="1" si="65"/>
        <v>1.320000000000001</v>
      </c>
      <c r="C136" s="342"/>
      <c r="D136" s="359">
        <f t="shared" ca="1" si="66"/>
        <v>10.881096928584538</v>
      </c>
      <c r="E136" s="360">
        <f t="shared" ca="1" si="67"/>
        <v>39.23743116083201</v>
      </c>
      <c r="F136" s="357">
        <f t="shared" ca="1" si="68"/>
        <v>40.718230247277234</v>
      </c>
      <c r="G136" s="359">
        <f t="shared" ca="1" si="69"/>
        <v>17.13431371413661</v>
      </c>
      <c r="H136" s="360">
        <f t="shared" ca="1" si="70"/>
        <v>77.136215427749605</v>
      </c>
      <c r="I136" s="357">
        <f t="shared" ca="1" si="71"/>
        <v>79.016330191743563</v>
      </c>
      <c r="J136" s="359">
        <f t="shared" ca="1" si="72"/>
        <v>11.405915621828779</v>
      </c>
      <c r="K136" s="360">
        <f t="shared" ca="1" si="73"/>
        <v>55.294439742900238</v>
      </c>
      <c r="L136" s="357">
        <f t="shared" ca="1" si="58"/>
        <v>56.45856868229572</v>
      </c>
      <c r="M136" s="359">
        <f t="shared" ca="1" si="74"/>
        <v>1.3522146944453823</v>
      </c>
      <c r="N136" s="357">
        <f t="shared" ca="1" si="75"/>
        <v>77.476194987292615</v>
      </c>
      <c r="O136" s="343"/>
      <c r="P136" s="363">
        <f t="shared" ca="1" si="76"/>
        <v>8</v>
      </c>
      <c r="Q136" s="357">
        <f t="shared" ca="1" si="77"/>
        <v>28.510681112019611</v>
      </c>
      <c r="R136" s="359">
        <f t="shared" ca="1" si="78"/>
        <v>1.6412126874349332E-2</v>
      </c>
      <c r="S136" s="360">
        <f t="shared" ca="1" si="79"/>
        <v>0.4353944898824802</v>
      </c>
      <c r="T136" s="357">
        <f t="shared" ca="1" si="59"/>
        <v>4.2712199457471307</v>
      </c>
      <c r="U136" s="364">
        <f t="shared" ca="1" si="60"/>
        <v>0</v>
      </c>
      <c r="V136" s="359">
        <f t="shared" ca="1" si="61"/>
        <v>1.218245106533981</v>
      </c>
      <c r="W136" s="357">
        <f t="shared" ca="1" si="62"/>
        <v>6.7048201416846664</v>
      </c>
      <c r="X136" s="343"/>
      <c r="Y136" s="367" t="str">
        <f t="shared" ca="1" si="80"/>
        <v/>
      </c>
      <c r="Z136" s="368" t="str">
        <f t="shared" ca="1" si="81"/>
        <v/>
      </c>
      <c r="AA136" s="369" t="str">
        <f t="shared" ca="1" si="82"/>
        <v/>
      </c>
      <c r="AB136" s="344"/>
      <c r="AC136" s="363" t="e">
        <f t="shared" ca="1" si="83"/>
        <v>#N/A</v>
      </c>
      <c r="AD136" s="376" t="e">
        <f t="shared" ca="1" si="84"/>
        <v>#N/A</v>
      </c>
      <c r="AE136" s="377">
        <f t="shared" ca="1" si="63"/>
        <v>55.294439742900238</v>
      </c>
      <c r="AF136" s="344"/>
      <c r="AG136" s="359">
        <f t="shared" ca="1" si="85"/>
        <v>40.662759673055973</v>
      </c>
      <c r="AH136" s="357">
        <f t="shared" ca="1" si="86"/>
        <v>50.23991216001285</v>
      </c>
    </row>
    <row r="137" spans="1:34">
      <c r="A137" s="402">
        <f t="shared" ca="1" si="64"/>
        <v>0.01</v>
      </c>
      <c r="B137" s="357">
        <f t="shared" ca="1" si="65"/>
        <v>1.330000000000001</v>
      </c>
      <c r="C137" s="342"/>
      <c r="D137" s="359">
        <f t="shared" ca="1" si="66"/>
        <v>10.817964017995777</v>
      </c>
      <c r="E137" s="360">
        <f t="shared" ca="1" si="67"/>
        <v>38.890917755071825</v>
      </c>
      <c r="F137" s="357">
        <f t="shared" ca="1" si="68"/>
        <v>40.367460030653554</v>
      </c>
      <c r="G137" s="359">
        <f t="shared" ca="1" si="69"/>
        <v>17.242493354316569</v>
      </c>
      <c r="H137" s="360">
        <f t="shared" ca="1" si="70"/>
        <v>77.52512460530032</v>
      </c>
      <c r="I137" s="357">
        <f t="shared" ca="1" si="71"/>
        <v>79.419446750408639</v>
      </c>
      <c r="J137" s="359">
        <f t="shared" ca="1" si="72"/>
        <v>11.577799657171045</v>
      </c>
      <c r="K137" s="360">
        <f t="shared" ca="1" si="73"/>
        <v>56.067746443065488</v>
      </c>
      <c r="L137" s="357">
        <f t="shared" ca="1" si="58"/>
        <v>57.250656206767381</v>
      </c>
      <c r="M137" s="359">
        <f t="shared" ca="1" si="74"/>
        <v>1.3519468442214431</v>
      </c>
      <c r="N137" s="357">
        <f t="shared" ca="1" si="75"/>
        <v>77.460848299919263</v>
      </c>
      <c r="O137" s="343"/>
      <c r="P137" s="363">
        <f t="shared" ca="1" si="76"/>
        <v>8</v>
      </c>
      <c r="Q137" s="357">
        <f t="shared" ca="1" si="77"/>
        <v>28.417598528209311</v>
      </c>
      <c r="R137" s="359">
        <f t="shared" ca="1" si="78"/>
        <v>1.6358544037472004E-2</v>
      </c>
      <c r="S137" s="360">
        <f t="shared" ca="1" si="79"/>
        <v>0.43523090444210549</v>
      </c>
      <c r="T137" s="357">
        <f t="shared" ca="1" si="59"/>
        <v>4.2696151725770548</v>
      </c>
      <c r="U137" s="364">
        <f t="shared" ca="1" si="60"/>
        <v>0</v>
      </c>
      <c r="V137" s="359">
        <f t="shared" ca="1" si="61"/>
        <v>1.2181509017359662</v>
      </c>
      <c r="W137" s="357">
        <f t="shared" ca="1" si="62"/>
        <v>6.7728826566798412</v>
      </c>
      <c r="X137" s="343"/>
      <c r="Y137" s="367" t="str">
        <f t="shared" ca="1" si="80"/>
        <v/>
      </c>
      <c r="Z137" s="368" t="str">
        <f t="shared" ca="1" si="81"/>
        <v/>
      </c>
      <c r="AA137" s="369" t="str">
        <f t="shared" ca="1" si="82"/>
        <v/>
      </c>
      <c r="AB137" s="344"/>
      <c r="AC137" s="363" t="e">
        <f t="shared" ca="1" si="83"/>
        <v>#N/A</v>
      </c>
      <c r="AD137" s="376" t="e">
        <f t="shared" ca="1" si="84"/>
        <v>#N/A</v>
      </c>
      <c r="AE137" s="377">
        <f t="shared" ca="1" si="63"/>
        <v>56.067746443065488</v>
      </c>
      <c r="AF137" s="344"/>
      <c r="AG137" s="359">
        <f t="shared" ca="1" si="85"/>
        <v>40.311370974091659</v>
      </c>
      <c r="AH137" s="357">
        <f t="shared" ca="1" si="86"/>
        <v>49.887951808837791</v>
      </c>
    </row>
    <row r="138" spans="1:34">
      <c r="A138" s="402">
        <f t="shared" ca="1" si="64"/>
        <v>0.01</v>
      </c>
      <c r="B138" s="357">
        <f t="shared" ca="1" si="65"/>
        <v>1.340000000000001</v>
      </c>
      <c r="C138" s="342"/>
      <c r="D138" s="359">
        <f t="shared" ca="1" si="66"/>
        <v>10.754652994004317</v>
      </c>
      <c r="E138" s="360">
        <f t="shared" ca="1" si="67"/>
        <v>38.544712761900207</v>
      </c>
      <c r="F138" s="357">
        <f t="shared" ca="1" si="68"/>
        <v>40.016964439083068</v>
      </c>
      <c r="G138" s="359">
        <f t="shared" ca="1" si="69"/>
        <v>17.350039884256613</v>
      </c>
      <c r="H138" s="360">
        <f t="shared" ca="1" si="70"/>
        <v>77.910571732919323</v>
      </c>
      <c r="I138" s="357">
        <f t="shared" ca="1" si="71"/>
        <v>79.819052059866394</v>
      </c>
      <c r="J138" s="359">
        <f t="shared" ca="1" si="72"/>
        <v>11.750762323363912</v>
      </c>
      <c r="K138" s="360">
        <f t="shared" ca="1" si="73"/>
        <v>56.844924924756583</v>
      </c>
      <c r="L138" s="357">
        <f t="shared" ca="1" si="58"/>
        <v>58.046756196030465</v>
      </c>
      <c r="M138" s="359">
        <f t="shared" ca="1" si="74"/>
        <v>1.3516800136067491</v>
      </c>
      <c r="N138" s="357">
        <f t="shared" ca="1" si="75"/>
        <v>77.445560031852409</v>
      </c>
      <c r="O138" s="343"/>
      <c r="P138" s="363">
        <f t="shared" ca="1" si="76"/>
        <v>8</v>
      </c>
      <c r="Q138" s="357">
        <f t="shared" ca="1" si="77"/>
        <v>28.324515944399007</v>
      </c>
      <c r="R138" s="359">
        <f t="shared" ca="1" si="78"/>
        <v>1.6304961200594673E-2</v>
      </c>
      <c r="S138" s="360">
        <f t="shared" ca="1" si="79"/>
        <v>0.43506785483009952</v>
      </c>
      <c r="T138" s="357">
        <f t="shared" ca="1" si="59"/>
        <v>4.2680156558832767</v>
      </c>
      <c r="U138" s="364">
        <f t="shared" ca="1" si="60"/>
        <v>0</v>
      </c>
      <c r="V138" s="359">
        <f t="shared" ca="1" si="61"/>
        <v>1.2180562325935631</v>
      </c>
      <c r="W138" s="357">
        <f t="shared" ca="1" si="62"/>
        <v>6.8406790601014063</v>
      </c>
      <c r="X138" s="343"/>
      <c r="Y138" s="367" t="str">
        <f t="shared" ca="1" si="80"/>
        <v/>
      </c>
      <c r="Z138" s="368" t="str">
        <f t="shared" ca="1" si="81"/>
        <v/>
      </c>
      <c r="AA138" s="369" t="str">
        <f t="shared" ca="1" si="82"/>
        <v/>
      </c>
      <c r="AB138" s="344"/>
      <c r="AC138" s="363" t="e">
        <f t="shared" ca="1" si="83"/>
        <v>#N/A</v>
      </c>
      <c r="AD138" s="376" t="e">
        <f t="shared" ca="1" si="84"/>
        <v>#N/A</v>
      </c>
      <c r="AE138" s="377">
        <f t="shared" ca="1" si="63"/>
        <v>56.844924924756583</v>
      </c>
      <c r="AF138" s="344"/>
      <c r="AG138" s="359">
        <f t="shared" ca="1" si="85"/>
        <v>39.960246795632514</v>
      </c>
      <c r="AH138" s="357">
        <f t="shared" ca="1" si="86"/>
        <v>49.536257502028967</v>
      </c>
    </row>
    <row r="139" spans="1:34">
      <c r="A139" s="402">
        <f t="shared" ca="1" si="64"/>
        <v>0.01</v>
      </c>
      <c r="B139" s="357">
        <f t="shared" ca="1" si="65"/>
        <v>1.350000000000001</v>
      </c>
      <c r="C139" s="342"/>
      <c r="D139" s="359">
        <f t="shared" ca="1" si="66"/>
        <v>10.691170849812837</v>
      </c>
      <c r="E139" s="360">
        <f t="shared" ca="1" si="67"/>
        <v>38.198836807289432</v>
      </c>
      <c r="F139" s="357">
        <f t="shared" ca="1" si="68"/>
        <v>39.666765277368128</v>
      </c>
      <c r="G139" s="359">
        <f t="shared" ca="1" si="69"/>
        <v>17.456951592754741</v>
      </c>
      <c r="H139" s="360">
        <f t="shared" ca="1" si="70"/>
        <v>78.292560100992219</v>
      </c>
      <c r="I139" s="357">
        <f t="shared" ca="1" si="71"/>
        <v>80.215148981219642</v>
      </c>
      <c r="J139" s="359">
        <f t="shared" ca="1" si="72"/>
        <v>11.924797280748969</v>
      </c>
      <c r="K139" s="360">
        <f t="shared" ca="1" si="73"/>
        <v>57.625940583926138</v>
      </c>
      <c r="L139" s="357">
        <f t="shared" ca="1" si="58"/>
        <v>58.846833545817432</v>
      </c>
      <c r="M139" s="359">
        <f t="shared" ca="1" si="74"/>
        <v>1.3514141820529295</v>
      </c>
      <c r="N139" s="357">
        <f t="shared" ca="1" si="75"/>
        <v>77.430329005757145</v>
      </c>
      <c r="O139" s="343"/>
      <c r="P139" s="363">
        <f t="shared" ca="1" si="76"/>
        <v>8</v>
      </c>
      <c r="Q139" s="357">
        <f t="shared" ca="1" si="77"/>
        <v>28.231433360588703</v>
      </c>
      <c r="R139" s="359">
        <f t="shared" ca="1" si="78"/>
        <v>1.6251378363717341E-2</v>
      </c>
      <c r="S139" s="360">
        <f t="shared" ca="1" si="79"/>
        <v>0.43490534104646233</v>
      </c>
      <c r="T139" s="357">
        <f t="shared" ca="1" si="59"/>
        <v>4.2664213956657955</v>
      </c>
      <c r="U139" s="364">
        <f t="shared" ca="1" si="60"/>
        <v>0</v>
      </c>
      <c r="V139" s="359">
        <f t="shared" ca="1" si="61"/>
        <v>1.2179611034302444</v>
      </c>
      <c r="W139" s="357">
        <f t="shared" ca="1" si="62"/>
        <v>6.9082008116031997</v>
      </c>
      <c r="X139" s="343"/>
      <c r="Y139" s="367" t="str">
        <f t="shared" ca="1" si="80"/>
        <v/>
      </c>
      <c r="Z139" s="368" t="str">
        <f t="shared" ca="1" si="81"/>
        <v/>
      </c>
      <c r="AA139" s="369" t="str">
        <f t="shared" ca="1" si="82"/>
        <v/>
      </c>
      <c r="AB139" s="344"/>
      <c r="AC139" s="363" t="e">
        <f t="shared" ca="1" si="83"/>
        <v>#N/A</v>
      </c>
      <c r="AD139" s="376" t="e">
        <f t="shared" ca="1" si="84"/>
        <v>#N/A</v>
      </c>
      <c r="AE139" s="377">
        <f t="shared" ca="1" si="63"/>
        <v>57.625940583926138</v>
      </c>
      <c r="AF139" s="344"/>
      <c r="AG139" s="359">
        <f t="shared" ca="1" si="85"/>
        <v>39.609408709474323</v>
      </c>
      <c r="AH139" s="357">
        <f t="shared" ca="1" si="86"/>
        <v>49.184850774693182</v>
      </c>
    </row>
    <row r="140" spans="1:34">
      <c r="A140" s="402">
        <f t="shared" ca="1" si="64"/>
        <v>0.01</v>
      </c>
      <c r="B140" s="357">
        <f t="shared" ca="1" si="65"/>
        <v>1.360000000000001</v>
      </c>
      <c r="C140" s="342"/>
      <c r="D140" s="359">
        <f t="shared" ca="1" si="66"/>
        <v>10.627524491035674</v>
      </c>
      <c r="E140" s="360">
        <f t="shared" ca="1" si="67"/>
        <v>37.853310258848985</v>
      </c>
      <c r="F140" s="357">
        <f t="shared" ca="1" si="68"/>
        <v>39.316884087631422</v>
      </c>
      <c r="G140" s="359">
        <f t="shared" ca="1" si="69"/>
        <v>17.563226837665098</v>
      </c>
      <c r="H140" s="360">
        <f t="shared" ca="1" si="70"/>
        <v>78.67109320358071</v>
      </c>
      <c r="I140" s="357">
        <f t="shared" ca="1" si="71"/>
        <v>80.607740588592122</v>
      </c>
      <c r="J140" s="359">
        <f t="shared" ca="1" si="72"/>
        <v>12.099898172901067</v>
      </c>
      <c r="K140" s="360">
        <f t="shared" ca="1" si="73"/>
        <v>58.410758850449</v>
      </c>
      <c r="L140" s="357">
        <f t="shared" ca="1" si="58"/>
        <v>59.650853181491719</v>
      </c>
      <c r="M140" s="359">
        <f t="shared" ca="1" si="74"/>
        <v>1.3511493294304791</v>
      </c>
      <c r="N140" s="357">
        <f t="shared" ca="1" si="75"/>
        <v>77.415154068297767</v>
      </c>
      <c r="O140" s="343"/>
      <c r="P140" s="363">
        <f t="shared" ca="1" si="76"/>
        <v>8</v>
      </c>
      <c r="Q140" s="357">
        <f t="shared" ca="1" si="77"/>
        <v>28.138350776778402</v>
      </c>
      <c r="R140" s="359">
        <f t="shared" ca="1" si="78"/>
        <v>1.619779552684001E-2</v>
      </c>
      <c r="S140" s="360">
        <f t="shared" ca="1" si="79"/>
        <v>0.43474336309119394</v>
      </c>
      <c r="T140" s="357">
        <f t="shared" ca="1" si="59"/>
        <v>4.2648323919246129</v>
      </c>
      <c r="U140" s="364">
        <f t="shared" ca="1" si="60"/>
        <v>0</v>
      </c>
      <c r="V140" s="359">
        <f t="shared" ca="1" si="61"/>
        <v>1.2178655185645526</v>
      </c>
      <c r="W140" s="357">
        <f t="shared" ca="1" si="62"/>
        <v>6.9754395009624259</v>
      </c>
      <c r="X140" s="343"/>
      <c r="Y140" s="367" t="str">
        <f t="shared" ca="1" si="80"/>
        <v/>
      </c>
      <c r="Z140" s="368" t="str">
        <f t="shared" ca="1" si="81"/>
        <v/>
      </c>
      <c r="AA140" s="369" t="str">
        <f t="shared" ca="1" si="82"/>
        <v/>
      </c>
      <c r="AB140" s="344"/>
      <c r="AC140" s="363" t="e">
        <f t="shared" ca="1" si="83"/>
        <v>#N/A</v>
      </c>
      <c r="AD140" s="376" t="e">
        <f t="shared" ca="1" si="84"/>
        <v>#N/A</v>
      </c>
      <c r="AE140" s="377">
        <f t="shared" ca="1" si="63"/>
        <v>58.410758850449</v>
      </c>
      <c r="AF140" s="344"/>
      <c r="AG140" s="359">
        <f t="shared" ca="1" si="85"/>
        <v>39.258878018048193</v>
      </c>
      <c r="AH140" s="357">
        <f t="shared" ca="1" si="86"/>
        <v>48.833752893248558</v>
      </c>
    </row>
    <row r="141" spans="1:34">
      <c r="A141" s="402">
        <f t="shared" ca="1" si="64"/>
        <v>0.01</v>
      </c>
      <c r="B141" s="357">
        <f t="shared" ca="1" si="65"/>
        <v>1.370000000000001</v>
      </c>
      <c r="C141" s="342"/>
      <c r="D141" s="359">
        <f t="shared" ca="1" si="66"/>
        <v>10.563720736284784</v>
      </c>
      <c r="E141" s="360">
        <f t="shared" ca="1" si="67"/>
        <v>37.508153224475571</v>
      </c>
      <c r="F141" s="357">
        <f t="shared" ca="1" si="68"/>
        <v>38.967342148329159</v>
      </c>
      <c r="G141" s="359">
        <f t="shared" ca="1" si="69"/>
        <v>17.668864045027945</v>
      </c>
      <c r="H141" s="360">
        <f t="shared" ca="1" si="70"/>
        <v>79.04617473582546</v>
      </c>
      <c r="I141" s="357">
        <f t="shared" ca="1" si="71"/>
        <v>80.996830166422768</v>
      </c>
      <c r="J141" s="359">
        <f t="shared" ca="1" si="72"/>
        <v>12.276058627314532</v>
      </c>
      <c r="K141" s="360">
        <f t="shared" ca="1" si="73"/>
        <v>59.199345190146033</v>
      </c>
      <c r="L141" s="357">
        <f t="shared" ca="1" si="58"/>
        <v>60.458780060164379</v>
      </c>
      <c r="M141" s="359">
        <f t="shared" ca="1" si="74"/>
        <v>1.3508854360164109</v>
      </c>
      <c r="N141" s="357">
        <f t="shared" ca="1" si="75"/>
        <v>77.400034089430349</v>
      </c>
      <c r="O141" s="343"/>
      <c r="P141" s="363">
        <f t="shared" ca="1" si="76"/>
        <v>8</v>
      </c>
      <c r="Q141" s="357">
        <f t="shared" ca="1" si="77"/>
        <v>28.045268192968098</v>
      </c>
      <c r="R141" s="359">
        <f t="shared" ca="1" si="78"/>
        <v>1.6144212689962679E-2</v>
      </c>
      <c r="S141" s="360">
        <f t="shared" ca="1" si="79"/>
        <v>0.43458192096429432</v>
      </c>
      <c r="T141" s="357">
        <f t="shared" ca="1" si="59"/>
        <v>4.2632486446597273</v>
      </c>
      <c r="U141" s="364">
        <f t="shared" ca="1" si="60"/>
        <v>0</v>
      </c>
      <c r="V141" s="359">
        <f t="shared" ca="1" si="61"/>
        <v>1.2177694823098393</v>
      </c>
      <c r="W141" s="357">
        <f t="shared" ca="1" si="62"/>
        <v>7.0423868482536367</v>
      </c>
      <c r="X141" s="343"/>
      <c r="Y141" s="367" t="str">
        <f t="shared" ca="1" si="80"/>
        <v/>
      </c>
      <c r="Z141" s="368" t="str">
        <f t="shared" ca="1" si="81"/>
        <v/>
      </c>
      <c r="AA141" s="369" t="str">
        <f t="shared" ca="1" si="82"/>
        <v/>
      </c>
      <c r="AB141" s="344"/>
      <c r="AC141" s="363" t="e">
        <f t="shared" ca="1" si="83"/>
        <v>#N/A</v>
      </c>
      <c r="AD141" s="376" t="e">
        <f t="shared" ca="1" si="84"/>
        <v>#N/A</v>
      </c>
      <c r="AE141" s="377">
        <f t="shared" ca="1" si="63"/>
        <v>59.199345190146033</v>
      </c>
      <c r="AF141" s="344"/>
      <c r="AG141" s="359">
        <f t="shared" ca="1" si="85"/>
        <v>38.908675753180532</v>
      </c>
      <c r="AH141" s="357">
        <f t="shared" ca="1" si="86"/>
        <v>48.482984854164677</v>
      </c>
    </row>
    <row r="142" spans="1:34">
      <c r="A142" s="402">
        <f t="shared" ca="1" si="64"/>
        <v>0.01</v>
      </c>
      <c r="B142" s="357">
        <f t="shared" ca="1" si="65"/>
        <v>1.380000000000001</v>
      </c>
      <c r="C142" s="342"/>
      <c r="D142" s="359">
        <f t="shared" ca="1" si="66"/>
        <v>10.499766317736608</v>
      </c>
      <c r="E142" s="360">
        <f t="shared" ca="1" si="67"/>
        <v>37.163385551104305</v>
      </c>
      <c r="F142" s="357">
        <f t="shared" ca="1" si="68"/>
        <v>38.618160473371908</v>
      </c>
      <c r="G142" s="359">
        <f t="shared" ca="1" si="69"/>
        <v>17.77386170820531</v>
      </c>
      <c r="H142" s="360">
        <f t="shared" ca="1" si="70"/>
        <v>79.417808591336509</v>
      </c>
      <c r="I142" s="357">
        <f t="shared" ca="1" si="71"/>
        <v>81.382421206748148</v>
      </c>
      <c r="J142" s="359">
        <f t="shared" ca="1" si="72"/>
        <v>12.453272256080698</v>
      </c>
      <c r="K142" s="360">
        <f t="shared" ca="1" si="73"/>
        <v>59.991665106781845</v>
      </c>
      <c r="L142" s="357">
        <f t="shared" ca="1" si="58"/>
        <v>61.270579172783535</v>
      </c>
      <c r="M142" s="359">
        <f t="shared" ca="1" si="74"/>
        <v>1.3506224824823538</v>
      </c>
      <c r="N142" s="357">
        <f t="shared" ca="1" si="75"/>
        <v>77.384967961720832</v>
      </c>
      <c r="O142" s="343"/>
      <c r="P142" s="363">
        <f t="shared" ca="1" si="76"/>
        <v>8</v>
      </c>
      <c r="Q142" s="357">
        <f t="shared" ca="1" si="77"/>
        <v>27.952185609157798</v>
      </c>
      <c r="R142" s="359">
        <f t="shared" ca="1" si="78"/>
        <v>1.6090629853085351E-2</v>
      </c>
      <c r="S142" s="360">
        <f t="shared" ca="1" si="79"/>
        <v>0.43442101466576349</v>
      </c>
      <c r="T142" s="357">
        <f t="shared" ca="1" si="59"/>
        <v>4.2616701538711403</v>
      </c>
      <c r="U142" s="364">
        <f t="shared" ca="1" si="60"/>
        <v>0</v>
      </c>
      <c r="V142" s="359">
        <f t="shared" ca="1" si="61"/>
        <v>1.2176729989740085</v>
      </c>
      <c r="W142" s="357">
        <f t="shared" ca="1" si="62"/>
        <v>7.1090347039819131</v>
      </c>
      <c r="X142" s="343"/>
      <c r="Y142" s="367" t="str">
        <f t="shared" ca="1" si="80"/>
        <v/>
      </c>
      <c r="Z142" s="368" t="str">
        <f t="shared" ca="1" si="81"/>
        <v/>
      </c>
      <c r="AA142" s="369" t="str">
        <f t="shared" ca="1" si="82"/>
        <v/>
      </c>
      <c r="AB142" s="344"/>
      <c r="AC142" s="363" t="e">
        <f t="shared" ca="1" si="83"/>
        <v>#N/A</v>
      </c>
      <c r="AD142" s="376" t="e">
        <f t="shared" ca="1" si="84"/>
        <v>#N/A</v>
      </c>
      <c r="AE142" s="377">
        <f t="shared" ca="1" si="63"/>
        <v>59.991665106781845</v>
      </c>
      <c r="AF142" s="344"/>
      <c r="AG142" s="359">
        <f t="shared" ca="1" si="85"/>
        <v>38.558822674949482</v>
      </c>
      <c r="AH142" s="357">
        <f t="shared" ca="1" si="86"/>
        <v>48.132567382799884</v>
      </c>
    </row>
    <row r="143" spans="1:34">
      <c r="A143" s="402">
        <f t="shared" ca="1" si="64"/>
        <v>0.01</v>
      </c>
      <c r="B143" s="357">
        <f t="shared" ca="1" si="65"/>
        <v>1.390000000000001</v>
      </c>
      <c r="C143" s="342"/>
      <c r="D143" s="359">
        <f t="shared" ca="1" si="66"/>
        <v>10.435667881681622</v>
      </c>
      <c r="E143" s="360">
        <f t="shared" ca="1" si="67"/>
        <v>36.819026823559867</v>
      </c>
      <c r="F143" s="357">
        <f t="shared" ca="1" si="68"/>
        <v>38.269359811352771</v>
      </c>
      <c r="G143" s="359">
        <f t="shared" ca="1" si="69"/>
        <v>17.878218387022127</v>
      </c>
      <c r="H143" s="360">
        <f t="shared" ca="1" si="70"/>
        <v>79.785998859572103</v>
      </c>
      <c r="I143" s="357">
        <f t="shared" ca="1" si="71"/>
        <v>81.764517406474653</v>
      </c>
      <c r="J143" s="359">
        <f t="shared" ca="1" si="72"/>
        <v>12.631532656556836</v>
      </c>
      <c r="K143" s="360">
        <f t="shared" ca="1" si="73"/>
        <v>60.78768414403639</v>
      </c>
      <c r="L143" s="357">
        <f t="shared" ca="1" si="58"/>
        <v>62.086215546196684</v>
      </c>
      <c r="M143" s="359">
        <f t="shared" ca="1" si="74"/>
        <v>1.3503604498830735</v>
      </c>
      <c r="N143" s="357">
        <f t="shared" ca="1" si="75"/>
        <v>77.369954599687233</v>
      </c>
      <c r="O143" s="343"/>
      <c r="P143" s="363">
        <f t="shared" ca="1" si="76"/>
        <v>8</v>
      </c>
      <c r="Q143" s="357">
        <f t="shared" ca="1" si="77"/>
        <v>27.859103025347494</v>
      </c>
      <c r="R143" s="359">
        <f t="shared" ca="1" si="78"/>
        <v>1.6037047016208016E-2</v>
      </c>
      <c r="S143" s="360">
        <f t="shared" ca="1" si="79"/>
        <v>0.4342606441956014</v>
      </c>
      <c r="T143" s="357">
        <f t="shared" ca="1" si="59"/>
        <v>4.2600969195588503</v>
      </c>
      <c r="U143" s="364">
        <f t="shared" ca="1" si="60"/>
        <v>0</v>
      </c>
      <c r="V143" s="359">
        <f t="shared" ca="1" si="61"/>
        <v>1.2175760728592624</v>
      </c>
      <c r="W143" s="357">
        <f t="shared" ca="1" si="62"/>
        <v>7.1753750491760124</v>
      </c>
      <c r="X143" s="343"/>
      <c r="Y143" s="367" t="str">
        <f t="shared" ca="1" si="80"/>
        <v/>
      </c>
      <c r="Z143" s="368" t="str">
        <f t="shared" ca="1" si="81"/>
        <v/>
      </c>
      <c r="AA143" s="369" t="str">
        <f t="shared" ca="1" si="82"/>
        <v/>
      </c>
      <c r="AB143" s="344"/>
      <c r="AC143" s="363" t="e">
        <f t="shared" ca="1" si="83"/>
        <v>#N/A</v>
      </c>
      <c r="AD143" s="376" t="e">
        <f t="shared" ca="1" si="84"/>
        <v>#N/A</v>
      </c>
      <c r="AE143" s="377">
        <f t="shared" ca="1" si="63"/>
        <v>60.78768414403639</v>
      </c>
      <c r="AF143" s="344"/>
      <c r="AG143" s="359">
        <f t="shared" ca="1" si="85"/>
        <v>38.209339270637102</v>
      </c>
      <c r="AH143" s="357">
        <f t="shared" ca="1" si="86"/>
        <v>47.782520932334947</v>
      </c>
    </row>
    <row r="144" spans="1:34">
      <c r="A144" s="402">
        <f t="shared" ca="1" si="64"/>
        <v>0.01</v>
      </c>
      <c r="B144" s="357">
        <f t="shared" ca="1" si="65"/>
        <v>1.400000000000001</v>
      </c>
      <c r="C144" s="342"/>
      <c r="D144" s="359">
        <f t="shared" ca="1" si="66"/>
        <v>10.371431989058147</v>
      </c>
      <c r="E144" s="360">
        <f t="shared" ca="1" si="67"/>
        <v>36.475096363505941</v>
      </c>
      <c r="F144" s="357">
        <f t="shared" ca="1" si="68"/>
        <v>37.920960644882179</v>
      </c>
      <c r="G144" s="359">
        <f t="shared" ca="1" si="69"/>
        <v>17.981932706912708</v>
      </c>
      <c r="H144" s="360">
        <f t="shared" ca="1" si="70"/>
        <v>80.150749823207164</v>
      </c>
      <c r="I144" s="357">
        <f t="shared" ca="1" si="71"/>
        <v>82.14312266464114</v>
      </c>
      <c r="J144" s="359">
        <f t="shared" ca="1" si="72"/>
        <v>12.810833412026509</v>
      </c>
      <c r="K144" s="360">
        <f t="shared" ca="1" si="73"/>
        <v>61.587367887450284</v>
      </c>
      <c r="L144" s="357">
        <f t="shared" ca="1" si="58"/>
        <v>62.905654245185602</v>
      </c>
      <c r="M144" s="359">
        <f t="shared" ca="1" si="74"/>
        <v>1.3500993196454025</v>
      </c>
      <c r="N144" s="357">
        <f t="shared" ca="1" si="75"/>
        <v>77.354992939165442</v>
      </c>
      <c r="O144" s="343"/>
      <c r="P144" s="363">
        <f t="shared" ca="1" si="76"/>
        <v>8</v>
      </c>
      <c r="Q144" s="357">
        <f t="shared" ca="1" si="77"/>
        <v>27.766020441537194</v>
      </c>
      <c r="R144" s="359">
        <f t="shared" ca="1" si="78"/>
        <v>1.5983464179330688E-2</v>
      </c>
      <c r="S144" s="360">
        <f t="shared" ca="1" si="79"/>
        <v>0.43410080955380809</v>
      </c>
      <c r="T144" s="357">
        <f t="shared" ca="1" si="59"/>
        <v>4.2585289417228571</v>
      </c>
      <c r="U144" s="364">
        <f t="shared" ca="1" si="60"/>
        <v>0</v>
      </c>
      <c r="V144" s="359">
        <f t="shared" ca="1" si="61"/>
        <v>1.217478708261851</v>
      </c>
      <c r="W144" s="357">
        <f t="shared" ca="1" si="62"/>
        <v>7.2413999954420492</v>
      </c>
      <c r="X144" s="343"/>
      <c r="Y144" s="367" t="str">
        <f t="shared" ca="1" si="80"/>
        <v/>
      </c>
      <c r="Z144" s="368" t="str">
        <f t="shared" ca="1" si="81"/>
        <v/>
      </c>
      <c r="AA144" s="369" t="str">
        <f t="shared" ca="1" si="82"/>
        <v/>
      </c>
      <c r="AB144" s="344"/>
      <c r="AC144" s="363" t="e">
        <f t="shared" ca="1" si="83"/>
        <v>#N/A</v>
      </c>
      <c r="AD144" s="376" t="e">
        <f t="shared" ca="1" si="84"/>
        <v>#N/A</v>
      </c>
      <c r="AE144" s="377">
        <f t="shared" ca="1" si="63"/>
        <v>61.587367887450284</v>
      </c>
      <c r="AF144" s="344"/>
      <c r="AG144" s="359">
        <f t="shared" ca="1" si="85"/>
        <v>37.860245753775644</v>
      </c>
      <c r="AH144" s="357">
        <f t="shared" ca="1" si="86"/>
        <v>47.43286568280152</v>
      </c>
    </row>
    <row r="145" spans="1:34">
      <c r="A145" s="402">
        <f t="shared" ca="1" si="64"/>
        <v>0.01</v>
      </c>
      <c r="B145" s="357">
        <f t="shared" ca="1" si="65"/>
        <v>1.410000000000001</v>
      </c>
      <c r="C145" s="342"/>
      <c r="D145" s="359">
        <f t="shared" ca="1" si="66"/>
        <v>10.307065115971669</v>
      </c>
      <c r="E145" s="360">
        <f t="shared" ca="1" si="67"/>
        <v>36.131613228491837</v>
      </c>
      <c r="F145" s="357">
        <f t="shared" ca="1" si="68"/>
        <v>37.572983190029063</v>
      </c>
      <c r="G145" s="359">
        <f t="shared" ca="1" si="69"/>
        <v>18.085003358072424</v>
      </c>
      <c r="H145" s="360">
        <f t="shared" ca="1" si="70"/>
        <v>80.512065955492076</v>
      </c>
      <c r="I145" s="357">
        <f t="shared" ca="1" si="71"/>
        <v>82.518241079672791</v>
      </c>
      <c r="J145" s="359">
        <f t="shared" ca="1" si="72"/>
        <v>12.991168092351435</v>
      </c>
      <c r="K145" s="360">
        <f t="shared" ca="1" si="73"/>
        <v>62.390681966343777</v>
      </c>
      <c r="L145" s="357">
        <f t="shared" ca="1" si="58"/>
        <v>63.728860374473861</v>
      </c>
      <c r="M145" s="359">
        <f t="shared" ca="1" si="74"/>
        <v>1.3498390735575598</v>
      </c>
      <c r="N145" s="357">
        <f t="shared" ca="1" si="75"/>
        <v>77.34008193669726</v>
      </c>
      <c r="O145" s="343"/>
      <c r="P145" s="363">
        <f t="shared" ca="1" si="76"/>
        <v>8</v>
      </c>
      <c r="Q145" s="357">
        <f t="shared" ca="1" si="77"/>
        <v>27.672937857726886</v>
      </c>
      <c r="R145" s="359">
        <f t="shared" ca="1" si="78"/>
        <v>1.5929881342453354E-2</v>
      </c>
      <c r="S145" s="360">
        <f t="shared" ca="1" si="79"/>
        <v>0.43394151074038356</v>
      </c>
      <c r="T145" s="357">
        <f t="shared" ca="1" si="59"/>
        <v>4.2569662203631626</v>
      </c>
      <c r="U145" s="364">
        <f t="shared" ca="1" si="60"/>
        <v>0</v>
      </c>
      <c r="V145" s="359">
        <f t="shared" ca="1" si="61"/>
        <v>1.217380909471824</v>
      </c>
      <c r="W145" s="357">
        <f t="shared" ca="1" si="62"/>
        <v>7.307101784978312</v>
      </c>
      <c r="X145" s="343"/>
      <c r="Y145" s="367" t="str">
        <f t="shared" ca="1" si="80"/>
        <v/>
      </c>
      <c r="Z145" s="368" t="str">
        <f t="shared" ca="1" si="81"/>
        <v/>
      </c>
      <c r="AA145" s="369" t="str">
        <f t="shared" ca="1" si="82"/>
        <v/>
      </c>
      <c r="AB145" s="344"/>
      <c r="AC145" s="363" t="e">
        <f t="shared" ca="1" si="83"/>
        <v>#N/A</v>
      </c>
      <c r="AD145" s="376" t="e">
        <f t="shared" ca="1" si="84"/>
        <v>#N/A</v>
      </c>
      <c r="AE145" s="377">
        <f t="shared" ca="1" si="63"/>
        <v>62.390681966343777</v>
      </c>
      <c r="AF145" s="344"/>
      <c r="AG145" s="359">
        <f t="shared" ca="1" si="85"/>
        <v>37.511562063287229</v>
      </c>
      <c r="AH145" s="357">
        <f t="shared" ca="1" si="86"/>
        <v>47.083621540204575</v>
      </c>
    </row>
    <row r="146" spans="1:34">
      <c r="A146" s="402">
        <f t="shared" ca="1" si="64"/>
        <v>0.01</v>
      </c>
      <c r="B146" s="357">
        <f t="shared" ca="1" si="65"/>
        <v>1.420000000000001</v>
      </c>
      <c r="C146" s="342"/>
      <c r="D146" s="359">
        <f t="shared" ca="1" si="66"/>
        <v>10.24257365420125</v>
      </c>
      <c r="E146" s="360">
        <f t="shared" ca="1" si="67"/>
        <v>35.788596211094713</v>
      </c>
      <c r="F146" s="357">
        <f t="shared" ca="1" si="68"/>
        <v>37.225447395867796</v>
      </c>
      <c r="G146" s="359">
        <f t="shared" ca="1" si="69"/>
        <v>18.187429094614437</v>
      </c>
      <c r="H146" s="360">
        <f t="shared" ca="1" si="70"/>
        <v>80.869951917603018</v>
      </c>
      <c r="I146" s="357">
        <f t="shared" ca="1" si="71"/>
        <v>82.889876946627524</v>
      </c>
      <c r="J146" s="359">
        <f t="shared" ca="1" si="72"/>
        <v>13.17253025461487</v>
      </c>
      <c r="K146" s="360">
        <f t="shared" ca="1" si="73"/>
        <v>63.197592055709251</v>
      </c>
      <c r="L146" s="357">
        <f t="shared" ca="1" si="58"/>
        <v>64.555799080706834</v>
      </c>
      <c r="M146" s="359">
        <f t="shared" ca="1" si="74"/>
        <v>1.3495796937588427</v>
      </c>
      <c r="N146" s="357">
        <f t="shared" ca="1" si="75"/>
        <v>77.325220568939812</v>
      </c>
      <c r="O146" s="343"/>
      <c r="P146" s="363">
        <f t="shared" ca="1" si="76"/>
        <v>8</v>
      </c>
      <c r="Q146" s="357">
        <f t="shared" ca="1" si="77"/>
        <v>27.579855273916586</v>
      </c>
      <c r="R146" s="359">
        <f t="shared" ca="1" si="78"/>
        <v>1.5876298505576026E-2</v>
      </c>
      <c r="S146" s="360">
        <f t="shared" ca="1" si="79"/>
        <v>0.43378274775532782</v>
      </c>
      <c r="T146" s="357">
        <f t="shared" ca="1" si="59"/>
        <v>4.2554087554797659</v>
      </c>
      <c r="U146" s="364">
        <f t="shared" ca="1" si="60"/>
        <v>0</v>
      </c>
      <c r="V146" s="359">
        <f t="shared" ca="1" si="61"/>
        <v>1.2172826807727899</v>
      </c>
      <c r="W146" s="357">
        <f t="shared" ca="1" si="62"/>
        <v>7.3724727905519751</v>
      </c>
      <c r="X146" s="343"/>
      <c r="Y146" s="367" t="str">
        <f t="shared" ca="1" si="80"/>
        <v/>
      </c>
      <c r="Z146" s="368" t="str">
        <f t="shared" ca="1" si="81"/>
        <v/>
      </c>
      <c r="AA146" s="369" t="str">
        <f t="shared" ca="1" si="82"/>
        <v/>
      </c>
      <c r="AB146" s="344"/>
      <c r="AC146" s="363" t="e">
        <f t="shared" ca="1" si="83"/>
        <v>#N/A</v>
      </c>
      <c r="AD146" s="376" t="e">
        <f t="shared" ca="1" si="84"/>
        <v>#N/A</v>
      </c>
      <c r="AE146" s="377">
        <f t="shared" ca="1" si="63"/>
        <v>63.197592055709251</v>
      </c>
      <c r="AF146" s="344"/>
      <c r="AG146" s="359">
        <f t="shared" ca="1" si="85"/>
        <v>37.163307862715605</v>
      </c>
      <c r="AH146" s="357">
        <f t="shared" ca="1" si="86"/>
        <v>46.734808135737531</v>
      </c>
    </row>
    <row r="147" spans="1:34">
      <c r="A147" s="402">
        <f t="shared" ca="1" si="64"/>
        <v>0.01</v>
      </c>
      <c r="B147" s="357">
        <f t="shared" ca="1" si="65"/>
        <v>1.430000000000001</v>
      </c>
      <c r="C147" s="342"/>
      <c r="D147" s="359">
        <f t="shared" ca="1" si="66"/>
        <v>10.177963911694127</v>
      </c>
      <c r="E147" s="360">
        <f t="shared" ca="1" si="67"/>
        <v>35.446063838155794</v>
      </c>
      <c r="F147" s="357">
        <f t="shared" ca="1" si="68"/>
        <v>36.878372944130327</v>
      </c>
      <c r="G147" s="359">
        <f t="shared" ca="1" si="69"/>
        <v>18.289208733731378</v>
      </c>
      <c r="H147" s="360">
        <f t="shared" ca="1" si="70"/>
        <v>81.224412555984571</v>
      </c>
      <c r="I147" s="357">
        <f t="shared" ca="1" si="71"/>
        <v>83.258034754435442</v>
      </c>
      <c r="J147" s="359">
        <f t="shared" ca="1" si="72"/>
        <v>13.354913443756599</v>
      </c>
      <c r="K147" s="360">
        <f t="shared" ca="1" si="73"/>
        <v>64.008063878077195</v>
      </c>
      <c r="L147" s="357">
        <f t="shared" ca="1" si="58"/>
        <v>65.386435554404102</v>
      </c>
      <c r="M147" s="359">
        <f t="shared" ca="1" si="74"/>
        <v>1.3493211627296762</v>
      </c>
      <c r="N147" s="357">
        <f t="shared" ca="1" si="75"/>
        <v>77.310407832095393</v>
      </c>
      <c r="O147" s="343"/>
      <c r="P147" s="363">
        <f t="shared" ca="1" si="76"/>
        <v>8</v>
      </c>
      <c r="Q147" s="357">
        <f t="shared" ca="1" si="77"/>
        <v>27.486772690106282</v>
      </c>
      <c r="R147" s="359">
        <f t="shared" ca="1" si="78"/>
        <v>1.5822715668698695E-2</v>
      </c>
      <c r="S147" s="360">
        <f t="shared" ca="1" si="79"/>
        <v>0.43362452059864082</v>
      </c>
      <c r="T147" s="357">
        <f t="shared" ca="1" si="59"/>
        <v>4.253856547072667</v>
      </c>
      <c r="U147" s="364">
        <f t="shared" ca="1" si="60"/>
        <v>0</v>
      </c>
      <c r="V147" s="359">
        <f t="shared" ca="1" si="61"/>
        <v>1.2171840264416751</v>
      </c>
      <c r="W147" s="357">
        <f t="shared" ca="1" si="62"/>
        <v>7.4375055154382261</v>
      </c>
      <c r="X147" s="343"/>
      <c r="Y147" s="367" t="str">
        <f t="shared" ca="1" si="80"/>
        <v/>
      </c>
      <c r="Z147" s="368" t="str">
        <f t="shared" ca="1" si="81"/>
        <v/>
      </c>
      <c r="AA147" s="369" t="str">
        <f t="shared" ca="1" si="82"/>
        <v/>
      </c>
      <c r="AB147" s="344"/>
      <c r="AC147" s="363" t="e">
        <f t="shared" ca="1" si="83"/>
        <v>#N/A</v>
      </c>
      <c r="AD147" s="376" t="e">
        <f t="shared" ca="1" si="84"/>
        <v>#N/A</v>
      </c>
      <c r="AE147" s="377">
        <f t="shared" ca="1" si="63"/>
        <v>64.008063878077195</v>
      </c>
      <c r="AF147" s="344"/>
      <c r="AG147" s="359">
        <f t="shared" ca="1" si="85"/>
        <v>36.815502539548497</v>
      </c>
      <c r="AH147" s="357">
        <f t="shared" ca="1" si="86"/>
        <v>46.38644482508851</v>
      </c>
    </row>
    <row r="148" spans="1:34">
      <c r="A148" s="402">
        <f t="shared" ca="1" si="64"/>
        <v>0.01</v>
      </c>
      <c r="B148" s="357">
        <f t="shared" ca="1" si="65"/>
        <v>1.4400000000000011</v>
      </c>
      <c r="C148" s="342"/>
      <c r="D148" s="359">
        <f t="shared" ca="1" si="66"/>
        <v>10.113242113049843</v>
      </c>
      <c r="E148" s="360">
        <f t="shared" ca="1" si="67"/>
        <v>35.104034370109488</v>
      </c>
      <c r="F148" s="357">
        <f t="shared" ca="1" si="68"/>
        <v>36.531779248963403</v>
      </c>
      <c r="G148" s="359">
        <f t="shared" ca="1" si="69"/>
        <v>18.390341154861876</v>
      </c>
      <c r="H148" s="360">
        <f t="shared" ca="1" si="70"/>
        <v>81.575452899685672</v>
      </c>
      <c r="I148" s="357">
        <f t="shared" ca="1" si="71"/>
        <v>83.622719183132531</v>
      </c>
      <c r="J148" s="359">
        <f t="shared" ca="1" si="72"/>
        <v>13.538311193199565</v>
      </c>
      <c r="K148" s="360">
        <f t="shared" ca="1" si="73"/>
        <v>64.822063205355548</v>
      </c>
      <c r="L148" s="357">
        <f t="shared" ca="1" si="58"/>
        <v>66.220735031884246</v>
      </c>
      <c r="M148" s="359">
        <f t="shared" ca="1" si="74"/>
        <v>1.3490634632820062</v>
      </c>
      <c r="N148" s="357">
        <f t="shared" ca="1" si="75"/>
        <v>77.295642741361064</v>
      </c>
      <c r="O148" s="343"/>
      <c r="P148" s="363">
        <f t="shared" ca="1" si="76"/>
        <v>8</v>
      </c>
      <c r="Q148" s="357">
        <f t="shared" ca="1" si="77"/>
        <v>27.393690106295981</v>
      </c>
      <c r="R148" s="359">
        <f t="shared" ca="1" si="78"/>
        <v>1.5769132831821363E-2</v>
      </c>
      <c r="S148" s="360">
        <f t="shared" ca="1" si="79"/>
        <v>0.4334668292703226</v>
      </c>
      <c r="T148" s="357">
        <f t="shared" ca="1" si="59"/>
        <v>4.252309595141865</v>
      </c>
      <c r="U148" s="364">
        <f t="shared" ca="1" si="60"/>
        <v>0</v>
      </c>
      <c r="V148" s="359">
        <f t="shared" ca="1" si="61"/>
        <v>1.2170849507484867</v>
      </c>
      <c r="W148" s="357">
        <f t="shared" ca="1" si="62"/>
        <v>7.5021925933225599</v>
      </c>
      <c r="X148" s="343"/>
      <c r="Y148" s="367" t="str">
        <f t="shared" ca="1" si="80"/>
        <v/>
      </c>
      <c r="Z148" s="368" t="str">
        <f t="shared" ca="1" si="81"/>
        <v/>
      </c>
      <c r="AA148" s="369" t="str">
        <f t="shared" ca="1" si="82"/>
        <v/>
      </c>
      <c r="AB148" s="344"/>
      <c r="AC148" s="363" t="e">
        <f t="shared" ca="1" si="83"/>
        <v>#N/A</v>
      </c>
      <c r="AD148" s="376" t="e">
        <f t="shared" ca="1" si="84"/>
        <v>#N/A</v>
      </c>
      <c r="AE148" s="377">
        <f t="shared" ca="1" si="63"/>
        <v>64.822063205355548</v>
      </c>
      <c r="AF148" s="344"/>
      <c r="AG148" s="359">
        <f t="shared" ca="1" si="85"/>
        <v>36.468165204629862</v>
      </c>
      <c r="AH148" s="357">
        <f t="shared" ca="1" si="86"/>
        <v>46.038550687837052</v>
      </c>
    </row>
    <row r="149" spans="1:34">
      <c r="A149" s="402">
        <f t="shared" ca="1" si="64"/>
        <v>0.01</v>
      </c>
      <c r="B149" s="357">
        <f t="shared" ca="1" si="65"/>
        <v>1.4500000000000011</v>
      </c>
      <c r="C149" s="342"/>
      <c r="D149" s="359">
        <f t="shared" ca="1" si="66"/>
        <v>10.048414399994879</v>
      </c>
      <c r="E149" s="360">
        <f t="shared" ca="1" si="67"/>
        <v>34.762525800403623</v>
      </c>
      <c r="F149" s="357">
        <f t="shared" ca="1" si="68"/>
        <v>36.185685456790118</v>
      </c>
      <c r="G149" s="359">
        <f t="shared" ca="1" si="69"/>
        <v>18.490825298861825</v>
      </c>
      <c r="H149" s="360">
        <f t="shared" ca="1" si="70"/>
        <v>81.923078157689702</v>
      </c>
      <c r="I149" s="357">
        <f t="shared" ca="1" si="71"/>
        <v>83.983935101089216</v>
      </c>
      <c r="J149" s="359">
        <f t="shared" ca="1" si="72"/>
        <v>13.722717025468183</v>
      </c>
      <c r="K149" s="360">
        <f t="shared" ca="1" si="73"/>
        <v>65.639555860642417</v>
      </c>
      <c r="L149" s="357">
        <f t="shared" ca="1" si="58"/>
        <v>67.058662797161944</v>
      </c>
      <c r="M149" s="359">
        <f t="shared" ca="1" si="74"/>
        <v>1.3488065785500194</v>
      </c>
      <c r="N149" s="357">
        <f t="shared" ca="1" si="75"/>
        <v>77.280924330396857</v>
      </c>
      <c r="O149" s="343"/>
      <c r="P149" s="363">
        <f t="shared" ca="1" si="76"/>
        <v>8</v>
      </c>
      <c r="Q149" s="357">
        <f t="shared" ca="1" si="77"/>
        <v>27.300607522485677</v>
      </c>
      <c r="R149" s="359">
        <f t="shared" ca="1" si="78"/>
        <v>1.5715549994944032E-2</v>
      </c>
      <c r="S149" s="360">
        <f t="shared" ca="1" si="79"/>
        <v>0.43330967377037316</v>
      </c>
      <c r="T149" s="357">
        <f t="shared" ca="1" si="59"/>
        <v>4.2507678996873608</v>
      </c>
      <c r="U149" s="364">
        <f t="shared" ca="1" si="60"/>
        <v>0</v>
      </c>
      <c r="V149" s="359">
        <f t="shared" ca="1" si="61"/>
        <v>1.2169854579560808</v>
      </c>
      <c r="W149" s="357">
        <f t="shared" ca="1" si="62"/>
        <v>7.5665267881668514</v>
      </c>
      <c r="X149" s="343"/>
      <c r="Y149" s="367" t="str">
        <f t="shared" ca="1" si="80"/>
        <v/>
      </c>
      <c r="Z149" s="368" t="str">
        <f t="shared" ca="1" si="81"/>
        <v/>
      </c>
      <c r="AA149" s="369" t="str">
        <f t="shared" ca="1" si="82"/>
        <v/>
      </c>
      <c r="AB149" s="344"/>
      <c r="AC149" s="363" t="e">
        <f t="shared" ca="1" si="83"/>
        <v>#N/A</v>
      </c>
      <c r="AD149" s="376" t="e">
        <f t="shared" ca="1" si="84"/>
        <v>#N/A</v>
      </c>
      <c r="AE149" s="377">
        <f t="shared" ca="1" si="63"/>
        <v>65.639555860642417</v>
      </c>
      <c r="AF149" s="344"/>
      <c r="AG149" s="359">
        <f t="shared" ca="1" si="85"/>
        <v>36.121314691660267</v>
      </c>
      <c r="AH149" s="357">
        <f t="shared" ca="1" si="86"/>
        <v>45.691144526939475</v>
      </c>
    </row>
    <row r="150" spans="1:34">
      <c r="A150" s="402">
        <f t="shared" ca="1" si="64"/>
        <v>0.01</v>
      </c>
      <c r="B150" s="357">
        <f t="shared" ca="1" si="65"/>
        <v>1.4600000000000011</v>
      </c>
      <c r="C150" s="342"/>
      <c r="D150" s="359">
        <f t="shared" ca="1" si="66"/>
        <v>9.9834868318489978</v>
      </c>
      <c r="E150" s="360">
        <f t="shared" ca="1" si="67"/>
        <v>34.421555855009586</v>
      </c>
      <c r="F150" s="357">
        <f t="shared" ca="1" si="68"/>
        <v>35.840110446275794</v>
      </c>
      <c r="G150" s="359">
        <f t="shared" ca="1" si="69"/>
        <v>18.590660167180314</v>
      </c>
      <c r="H150" s="360">
        <f t="shared" ca="1" si="70"/>
        <v>82.267293716239791</v>
      </c>
      <c r="I150" s="357">
        <f t="shared" ca="1" si="71"/>
        <v>84.341687562234924</v>
      </c>
      <c r="J150" s="359">
        <f t="shared" ca="1" si="72"/>
        <v>13.908124452798393</v>
      </c>
      <c r="K150" s="360">
        <f t="shared" ca="1" si="73"/>
        <v>66.46050772001206</v>
      </c>
      <c r="L150" s="357">
        <f t="shared" ca="1" si="58"/>
        <v>67.900184183817288</v>
      </c>
      <c r="M150" s="359">
        <f t="shared" ca="1" si="74"/>
        <v>1.3485504919811788</v>
      </c>
      <c r="N150" s="357">
        <f t="shared" ca="1" si="75"/>
        <v>77.266251650812308</v>
      </c>
      <c r="O150" s="343"/>
      <c r="P150" s="363">
        <f t="shared" ca="1" si="76"/>
        <v>8</v>
      </c>
      <c r="Q150" s="357">
        <f t="shared" ca="1" si="77"/>
        <v>27.207524938675377</v>
      </c>
      <c r="R150" s="359">
        <f t="shared" ca="1" si="78"/>
        <v>1.5661967158066704E-2</v>
      </c>
      <c r="S150" s="360">
        <f t="shared" ca="1" si="79"/>
        <v>0.43315305409879251</v>
      </c>
      <c r="T150" s="357">
        <f t="shared" ca="1" si="59"/>
        <v>4.2492314607091544</v>
      </c>
      <c r="U150" s="364">
        <f t="shared" ca="1" si="60"/>
        <v>0</v>
      </c>
      <c r="V150" s="359">
        <f t="shared" ca="1" si="61"/>
        <v>1.2168855523199329</v>
      </c>
      <c r="W150" s="357">
        <f t="shared" ca="1" si="62"/>
        <v>7.6305009940399229</v>
      </c>
      <c r="X150" s="343"/>
      <c r="Y150" s="367" t="str">
        <f t="shared" ca="1" si="80"/>
        <v/>
      </c>
      <c r="Z150" s="368" t="str">
        <f t="shared" ca="1" si="81"/>
        <v/>
      </c>
      <c r="AA150" s="369" t="str">
        <f t="shared" ca="1" si="82"/>
        <v/>
      </c>
      <c r="AB150" s="344"/>
      <c r="AC150" s="363" t="e">
        <f t="shared" ca="1" si="83"/>
        <v>#N/A</v>
      </c>
      <c r="AD150" s="376" t="e">
        <f t="shared" ca="1" si="84"/>
        <v>#N/A</v>
      </c>
      <c r="AE150" s="377">
        <f t="shared" ca="1" si="63"/>
        <v>66.46050772001206</v>
      </c>
      <c r="AF150" s="344"/>
      <c r="AG150" s="359">
        <f t="shared" ca="1" si="85"/>
        <v>35.774969556784598</v>
      </c>
      <c r="AH150" s="357">
        <f t="shared" ca="1" si="86"/>
        <v>45.344244868302034</v>
      </c>
    </row>
    <row r="151" spans="1:34">
      <c r="A151" s="402">
        <f t="shared" ca="1" si="64"/>
        <v>0.01</v>
      </c>
      <c r="B151" s="357">
        <f t="shared" ca="1" si="65"/>
        <v>1.4700000000000011</v>
      </c>
      <c r="C151" s="342"/>
      <c r="D151" s="359">
        <f t="shared" ca="1" si="66"/>
        <v>9.9184653859840957</v>
      </c>
      <c r="E151" s="360">
        <f t="shared" ca="1" si="67"/>
        <v>34.081141992020541</v>
      </c>
      <c r="F151" s="357">
        <f t="shared" ca="1" si="68"/>
        <v>35.495072828397333</v>
      </c>
      <c r="G151" s="359">
        <f t="shared" ca="1" si="69"/>
        <v>18.689844821040154</v>
      </c>
      <c r="H151" s="360">
        <f t="shared" ca="1" si="70"/>
        <v>82.608105136159992</v>
      </c>
      <c r="I151" s="357">
        <f t="shared" ca="1" si="71"/>
        <v>84.695981803279338</v>
      </c>
      <c r="J151" s="359">
        <f t="shared" ca="1" si="72"/>
        <v>14.094526977739497</v>
      </c>
      <c r="K151" s="360">
        <f t="shared" ca="1" si="73"/>
        <v>67.284884714274057</v>
      </c>
      <c r="L151" s="357">
        <f t="shared" ca="1" si="58"/>
        <v>68.745264576837414</v>
      </c>
      <c r="M151" s="359">
        <f t="shared" ca="1" si="74"/>
        <v>1.3482951873275599</v>
      </c>
      <c r="N151" s="357">
        <f t="shared" ca="1" si="75"/>
        <v>77.251623771669898</v>
      </c>
      <c r="O151" s="343"/>
      <c r="P151" s="363">
        <f t="shared" ca="1" si="76"/>
        <v>8</v>
      </c>
      <c r="Q151" s="357">
        <f t="shared" ca="1" si="77"/>
        <v>27.114442354865069</v>
      </c>
      <c r="R151" s="359">
        <f t="shared" ca="1" si="78"/>
        <v>1.560838432118937E-2</v>
      </c>
      <c r="S151" s="360">
        <f t="shared" ca="1" si="79"/>
        <v>0.43299697025558059</v>
      </c>
      <c r="T151" s="357">
        <f t="shared" ca="1" si="59"/>
        <v>4.2477002782072457</v>
      </c>
      <c r="U151" s="364">
        <f t="shared" ca="1" si="60"/>
        <v>0</v>
      </c>
      <c r="V151" s="359">
        <f t="shared" ca="1" si="61"/>
        <v>1.2167852380879121</v>
      </c>
      <c r="W151" s="357">
        <f t="shared" ca="1" si="62"/>
        <v>7.6941082349132479</v>
      </c>
      <c r="X151" s="343"/>
      <c r="Y151" s="367" t="str">
        <f t="shared" ca="1" si="80"/>
        <v/>
      </c>
      <c r="Z151" s="368" t="str">
        <f t="shared" ca="1" si="81"/>
        <v/>
      </c>
      <c r="AA151" s="369" t="str">
        <f t="shared" ca="1" si="82"/>
        <v/>
      </c>
      <c r="AB151" s="344"/>
      <c r="AC151" s="363" t="e">
        <f t="shared" ca="1" si="83"/>
        <v>#N/A</v>
      </c>
      <c r="AD151" s="376" t="e">
        <f t="shared" ca="1" si="84"/>
        <v>#N/A</v>
      </c>
      <c r="AE151" s="377">
        <f t="shared" ca="1" si="63"/>
        <v>67.284884714274057</v>
      </c>
      <c r="AF151" s="344"/>
      <c r="AG151" s="359">
        <f t="shared" ca="1" si="85"/>
        <v>35.4291480782652</v>
      </c>
      <c r="AH151" s="357">
        <f t="shared" ca="1" si="86"/>
        <v>44.997869960440056</v>
      </c>
    </row>
    <row r="152" spans="1:34">
      <c r="A152" s="402">
        <f t="shared" ca="1" si="64"/>
        <v>0.01</v>
      </c>
      <c r="B152" s="357">
        <f t="shared" ca="1" si="65"/>
        <v>1.4800000000000011</v>
      </c>
      <c r="C152" s="342"/>
      <c r="D152" s="359">
        <f t="shared" ca="1" si="66"/>
        <v>9.8533559582767154</v>
      </c>
      <c r="E152" s="360">
        <f t="shared" ca="1" si="67"/>
        <v>33.741301401336663</v>
      </c>
      <c r="F152" s="357">
        <f t="shared" ca="1" si="68"/>
        <v>35.150590946616397</v>
      </c>
      <c r="G152" s="359">
        <f t="shared" ca="1" si="69"/>
        <v>18.78837838062292</v>
      </c>
      <c r="H152" s="360">
        <f t="shared" ca="1" si="70"/>
        <v>82.945518150173356</v>
      </c>
      <c r="I152" s="357">
        <f t="shared" ca="1" si="71"/>
        <v>85.046823240931204</v>
      </c>
      <c r="J152" s="359">
        <f t="shared" ca="1" si="72"/>
        <v>14.281918093747812</v>
      </c>
      <c r="K152" s="360">
        <f t="shared" ca="1" si="73"/>
        <v>68.112652830705727</v>
      </c>
      <c r="L152" s="357">
        <f t="shared" ca="1" si="58"/>
        <v>69.593869414430216</v>
      </c>
      <c r="M152" s="359">
        <f t="shared" ca="1" si="74"/>
        <v>1.3480406486374787</v>
      </c>
      <c r="N152" s="357">
        <f t="shared" ca="1" si="75"/>
        <v>77.237039779005457</v>
      </c>
      <c r="O152" s="343"/>
      <c r="P152" s="363">
        <f t="shared" ca="1" si="76"/>
        <v>8</v>
      </c>
      <c r="Q152" s="357">
        <f t="shared" ca="1" si="77"/>
        <v>27.021359771054769</v>
      </c>
      <c r="R152" s="359">
        <f t="shared" ca="1" si="78"/>
        <v>1.555480148431204E-2</v>
      </c>
      <c r="S152" s="360">
        <f t="shared" ca="1" si="79"/>
        <v>0.43284142224073746</v>
      </c>
      <c r="T152" s="357">
        <f t="shared" ca="1" si="59"/>
        <v>4.2461743521816349</v>
      </c>
      <c r="U152" s="364">
        <f t="shared" ca="1" si="60"/>
        <v>0</v>
      </c>
      <c r="V152" s="359">
        <f t="shared" ca="1" si="61"/>
        <v>1.2166845195000591</v>
      </c>
      <c r="W152" s="357">
        <f t="shared" ca="1" si="62"/>
        <v>7.7573416644224853</v>
      </c>
      <c r="X152" s="343"/>
      <c r="Y152" s="367" t="str">
        <f t="shared" ca="1" si="80"/>
        <v/>
      </c>
      <c r="Z152" s="368" t="str">
        <f t="shared" ca="1" si="81"/>
        <v/>
      </c>
      <c r="AA152" s="369" t="str">
        <f t="shared" ca="1" si="82"/>
        <v/>
      </c>
      <c r="AB152" s="344"/>
      <c r="AC152" s="363" t="e">
        <f t="shared" ca="1" si="83"/>
        <v>#N/A</v>
      </c>
      <c r="AD152" s="376" t="e">
        <f t="shared" ca="1" si="84"/>
        <v>#N/A</v>
      </c>
      <c r="AE152" s="377">
        <f t="shared" ca="1" si="63"/>
        <v>68.112652830705727</v>
      </c>
      <c r="AF152" s="344"/>
      <c r="AG152" s="359">
        <f t="shared" ca="1" si="85"/>
        <v>35.08386825623991</v>
      </c>
      <c r="AH152" s="357">
        <f t="shared" ca="1" si="86"/>
        <v>44.652037774222315</v>
      </c>
    </row>
    <row r="153" spans="1:34">
      <c r="A153" s="402">
        <f t="shared" ca="1" si="64"/>
        <v>0.01</v>
      </c>
      <c r="B153" s="357">
        <f t="shared" ca="1" si="65"/>
        <v>1.4900000000000011</v>
      </c>
      <c r="C153" s="342"/>
      <c r="D153" s="359">
        <f t="shared" ca="1" si="66"/>
        <v>9.7881643635547544</v>
      </c>
      <c r="E153" s="360">
        <f t="shared" ca="1" si="67"/>
        <v>33.402051004435506</v>
      </c>
      <c r="F153" s="357">
        <f t="shared" ca="1" si="68"/>
        <v>34.806682877155566</v>
      </c>
      <c r="G153" s="359">
        <f t="shared" ca="1" si="69"/>
        <v>18.886260024258466</v>
      </c>
      <c r="H153" s="360">
        <f t="shared" ca="1" si="70"/>
        <v>83.27953866021771</v>
      </c>
      <c r="I153" s="357">
        <f t="shared" ca="1" si="71"/>
        <v>85.394217469115546</v>
      </c>
      <c r="J153" s="359">
        <f t="shared" ca="1" si="72"/>
        <v>14.47029128577222</v>
      </c>
      <c r="K153" s="360">
        <f t="shared" ca="1" si="73"/>
        <v>68.943778114757677</v>
      </c>
      <c r="L153" s="357">
        <f t="shared" ca="1" si="58"/>
        <v>70.445964189810297</v>
      </c>
      <c r="M153" s="359">
        <f t="shared" ca="1" si="74"/>
        <v>1.3477868602473941</v>
      </c>
      <c r="N153" s="357">
        <f t="shared" ca="1" si="75"/>
        <v>77.222498775364187</v>
      </c>
      <c r="O153" s="343"/>
      <c r="P153" s="363">
        <f t="shared" ca="1" si="76"/>
        <v>8</v>
      </c>
      <c r="Q153" s="357">
        <f t="shared" ca="1" si="77"/>
        <v>26.928277187244468</v>
      </c>
      <c r="R153" s="359">
        <f t="shared" ca="1" si="78"/>
        <v>1.5501218647434711E-2</v>
      </c>
      <c r="S153" s="360">
        <f t="shared" ca="1" si="79"/>
        <v>0.43268641005426312</v>
      </c>
      <c r="T153" s="357">
        <f t="shared" ca="1" si="59"/>
        <v>4.2446536826323218</v>
      </c>
      <c r="U153" s="364">
        <f t="shared" ca="1" si="60"/>
        <v>0</v>
      </c>
      <c r="V153" s="359">
        <f t="shared" ca="1" si="61"/>
        <v>1.2165834007883687</v>
      </c>
      <c r="W153" s="357">
        <f t="shared" ca="1" si="62"/>
        <v>7.8201945655955276</v>
      </c>
      <c r="X153" s="343"/>
      <c r="Y153" s="367" t="str">
        <f t="shared" ca="1" si="80"/>
        <v/>
      </c>
      <c r="Z153" s="368" t="str">
        <f t="shared" ca="1" si="81"/>
        <v/>
      </c>
      <c r="AA153" s="369" t="str">
        <f t="shared" ca="1" si="82"/>
        <v/>
      </c>
      <c r="AB153" s="344"/>
      <c r="AC153" s="363" t="e">
        <f t="shared" ca="1" si="83"/>
        <v>#N/A</v>
      </c>
      <c r="AD153" s="376" t="e">
        <f t="shared" ca="1" si="84"/>
        <v>#N/A</v>
      </c>
      <c r="AE153" s="377">
        <f t="shared" ca="1" si="63"/>
        <v>68.943778114757677</v>
      </c>
      <c r="AF153" s="344"/>
      <c r="AG153" s="359">
        <f t="shared" ca="1" si="85"/>
        <v>34.739147812562884</v>
      </c>
      <c r="AH153" s="357">
        <f t="shared" ca="1" si="86"/>
        <v>44.306766002698723</v>
      </c>
    </row>
    <row r="154" spans="1:34">
      <c r="A154" s="402">
        <f t="shared" ca="1" si="64"/>
        <v>0.01</v>
      </c>
      <c r="B154" s="357">
        <f t="shared" ca="1" si="65"/>
        <v>1.5000000000000011</v>
      </c>
      <c r="C154" s="342"/>
      <c r="D154" s="359">
        <f t="shared" ca="1" si="66"/>
        <v>9.7228963360395717</v>
      </c>
      <c r="E154" s="360">
        <f t="shared" ca="1" si="67"/>
        <v>33.06340745422618</v>
      </c>
      <c r="F154" s="357">
        <f t="shared" ca="1" si="68"/>
        <v>34.463366429377601</v>
      </c>
      <c r="G154" s="359">
        <f t="shared" ca="1" si="69"/>
        <v>18.983488987618863</v>
      </c>
      <c r="H154" s="360">
        <f t="shared" ca="1" si="70"/>
        <v>83.610172734759971</v>
      </c>
      <c r="I154" s="357">
        <f t="shared" ca="1" si="71"/>
        <v>85.738170256190131</v>
      </c>
      <c r="J154" s="359">
        <f t="shared" ca="1" si="72"/>
        <v>14.659640030831607</v>
      </c>
      <c r="K154" s="360">
        <f t="shared" ca="1" si="73"/>
        <v>69.778226671732568</v>
      </c>
      <c r="L154" s="357">
        <f t="shared" ca="1" si="58"/>
        <v>71.301514452957107</v>
      </c>
      <c r="M154" s="359">
        <f t="shared" ca="1" si="74"/>
        <v>1.3475338067740799</v>
      </c>
      <c r="N154" s="357">
        <f t="shared" ca="1" si="75"/>
        <v>77.207999879352158</v>
      </c>
      <c r="O154" s="343"/>
      <c r="P154" s="363">
        <f t="shared" ca="1" si="76"/>
        <v>8</v>
      </c>
      <c r="Q154" s="357">
        <f t="shared" ca="1" si="77"/>
        <v>26.835194603434168</v>
      </c>
      <c r="R154" s="359">
        <f t="shared" ca="1" si="78"/>
        <v>1.5447635810557381E-2</v>
      </c>
      <c r="S154" s="360">
        <f t="shared" ca="1" si="79"/>
        <v>0.43253193369615756</v>
      </c>
      <c r="T154" s="357">
        <f t="shared" ca="1" si="59"/>
        <v>4.2431382695593056</v>
      </c>
      <c r="U154" s="364">
        <f t="shared" ca="1" si="60"/>
        <v>0</v>
      </c>
      <c r="V154" s="359">
        <f t="shared" ca="1" si="61"/>
        <v>1.2164818861765723</v>
      </c>
      <c r="W154" s="357">
        <f t="shared" ca="1" si="62"/>
        <v>7.8826603505477273</v>
      </c>
      <c r="X154" s="343"/>
      <c r="Y154" s="367" t="str">
        <f t="shared" ca="1" si="80"/>
        <v/>
      </c>
      <c r="Z154" s="368" t="str">
        <f t="shared" ca="1" si="81"/>
        <v/>
      </c>
      <c r="AA154" s="369" t="str">
        <f t="shared" ca="1" si="82"/>
        <v/>
      </c>
      <c r="AB154" s="344"/>
      <c r="AC154" s="363" t="e">
        <f t="shared" ca="1" si="83"/>
        <v>#N/A</v>
      </c>
      <c r="AD154" s="376" t="e">
        <f t="shared" ca="1" si="84"/>
        <v>#N/A</v>
      </c>
      <c r="AE154" s="377">
        <f t="shared" ca="1" si="63"/>
        <v>69.778226671732568</v>
      </c>
      <c r="AF154" s="344"/>
      <c r="AG154" s="359">
        <f t="shared" ca="1" si="85"/>
        <v>34.395004190727363</v>
      </c>
      <c r="AH154" s="357">
        <f t="shared" ca="1" si="86"/>
        <v>43.962072061010375</v>
      </c>
    </row>
    <row r="155" spans="1:34">
      <c r="A155" s="402">
        <f t="shared" ca="1" si="64"/>
        <v>0.01</v>
      </c>
      <c r="B155" s="357">
        <f t="shared" ca="1" si="65"/>
        <v>1.5100000000000011</v>
      </c>
      <c r="C155" s="342"/>
      <c r="D155" s="359">
        <f t="shared" ca="1" si="66"/>
        <v>9.6575575297838618</v>
      </c>
      <c r="E155" s="360">
        <f t="shared" ca="1" si="67"/>
        <v>32.725387134985908</v>
      </c>
      <c r="F155" s="357">
        <f t="shared" ca="1" si="68"/>
        <v>34.120659146267762</v>
      </c>
      <c r="G155" s="359">
        <f t="shared" ca="1" si="69"/>
        <v>19.0800645629167</v>
      </c>
      <c r="H155" s="360">
        <f t="shared" ca="1" si="70"/>
        <v>83.937426606109824</v>
      </c>
      <c r="I155" s="357">
        <f t="shared" ca="1" si="71"/>
        <v>86.07868754216193</v>
      </c>
      <c r="J155" s="359">
        <f t="shared" ca="1" si="72"/>
        <v>14.849957798584285</v>
      </c>
      <c r="K155" s="360">
        <f t="shared" ca="1" si="73"/>
        <v>70.615964668436916</v>
      </c>
      <c r="L155" s="357">
        <f t="shared" ca="1" si="58"/>
        <v>72.160485812345144</v>
      </c>
      <c r="M155" s="359">
        <f t="shared" ca="1" si="74"/>
        <v>1.3472814731070519</v>
      </c>
      <c r="N155" s="357">
        <f t="shared" ca="1" si="75"/>
        <v>77.193542225202393</v>
      </c>
      <c r="O155" s="343"/>
      <c r="P155" s="363">
        <f t="shared" ca="1" si="76"/>
        <v>8</v>
      </c>
      <c r="Q155" s="357">
        <f t="shared" ca="1" si="77"/>
        <v>26.74211201962386</v>
      </c>
      <c r="R155" s="359">
        <f t="shared" ca="1" si="78"/>
        <v>1.5394052973680048E-2</v>
      </c>
      <c r="S155" s="360">
        <f t="shared" ca="1" si="79"/>
        <v>0.43237799316642078</v>
      </c>
      <c r="T155" s="357">
        <f t="shared" ca="1" si="59"/>
        <v>4.2416281129625881</v>
      </c>
      <c r="U155" s="364">
        <f t="shared" ca="1" si="60"/>
        <v>0</v>
      </c>
      <c r="V155" s="359">
        <f t="shared" ca="1" si="61"/>
        <v>1.2163799798799289</v>
      </c>
      <c r="W155" s="357">
        <f t="shared" ca="1" si="62"/>
        <v>7.9447325601450443</v>
      </c>
      <c r="X155" s="343"/>
      <c r="Y155" s="367" t="str">
        <f t="shared" ca="1" si="80"/>
        <v/>
      </c>
      <c r="Z155" s="368" t="str">
        <f t="shared" ca="1" si="81"/>
        <v/>
      </c>
      <c r="AA155" s="369" t="str">
        <f t="shared" ca="1" si="82"/>
        <v/>
      </c>
      <c r="AB155" s="344"/>
      <c r="AC155" s="363" t="e">
        <f t="shared" ca="1" si="83"/>
        <v>#N/A</v>
      </c>
      <c r="AD155" s="376" t="e">
        <f t="shared" ca="1" si="84"/>
        <v>#N/A</v>
      </c>
      <c r="AE155" s="377">
        <f t="shared" ca="1" si="63"/>
        <v>70.615964668436916</v>
      </c>
      <c r="AF155" s="344"/>
      <c r="AG155" s="359">
        <f t="shared" ca="1" si="85"/>
        <v>34.051454555868922</v>
      </c>
      <c r="AH155" s="357">
        <f t="shared" ca="1" si="86"/>
        <v>43.617973086380452</v>
      </c>
    </row>
    <row r="156" spans="1:34">
      <c r="A156" s="402">
        <f t="shared" ca="1" si="64"/>
        <v>0.01</v>
      </c>
      <c r="B156" s="357">
        <f t="shared" ca="1" si="65"/>
        <v>1.5200000000000011</v>
      </c>
      <c r="C156" s="342"/>
      <c r="D156" s="359">
        <f t="shared" ca="1" si="66"/>
        <v>9.5921535191062013</v>
      </c>
      <c r="E156" s="360">
        <f t="shared" ca="1" si="67"/>
        <v>32.388006162377245</v>
      </c>
      <c r="F156" s="357">
        <f t="shared" ca="1" si="68"/>
        <v>33.778578305018819</v>
      </c>
      <c r="G156" s="359">
        <f t="shared" ca="1" si="69"/>
        <v>19.175986098107764</v>
      </c>
      <c r="H156" s="360">
        <f t="shared" ca="1" si="70"/>
        <v>84.261306667733592</v>
      </c>
      <c r="I156" s="357">
        <f t="shared" ca="1" si="71"/>
        <v>86.41577543590445</v>
      </c>
      <c r="J156" s="359">
        <f t="shared" ca="1" si="72"/>
        <v>15.041238051889406</v>
      </c>
      <c r="K156" s="360">
        <f t="shared" ca="1" si="73"/>
        <v>71.456958334806131</v>
      </c>
      <c r="L156" s="357">
        <f t="shared" ca="1" si="58"/>
        <v>73.022843936646453</v>
      </c>
      <c r="M156" s="359">
        <f t="shared" ca="1" si="74"/>
        <v>1.3470298444012396</v>
      </c>
      <c r="N156" s="357">
        <f t="shared" ca="1" si="75"/>
        <v>77.179124962355019</v>
      </c>
      <c r="O156" s="343"/>
      <c r="P156" s="363">
        <f t="shared" ca="1" si="76"/>
        <v>8</v>
      </c>
      <c r="Q156" s="357">
        <f t="shared" ca="1" si="77"/>
        <v>26.64902943581356</v>
      </c>
      <c r="R156" s="359">
        <f t="shared" ca="1" si="78"/>
        <v>1.5340470136802719E-2</v>
      </c>
      <c r="S156" s="360">
        <f t="shared" ca="1" si="79"/>
        <v>0.43222458846505274</v>
      </c>
      <c r="T156" s="357">
        <f t="shared" ca="1" si="59"/>
        <v>4.2401232128421675</v>
      </c>
      <c r="U156" s="364">
        <f t="shared" ca="1" si="60"/>
        <v>0</v>
      </c>
      <c r="V156" s="359">
        <f t="shared" ca="1" si="61"/>
        <v>1.2162776861050153</v>
      </c>
      <c r="W156" s="357">
        <f t="shared" ca="1" si="62"/>
        <v>8.0064048636357548</v>
      </c>
      <c r="X156" s="343"/>
      <c r="Y156" s="367" t="str">
        <f t="shared" ca="1" si="80"/>
        <v/>
      </c>
      <c r="Z156" s="368" t="str">
        <f t="shared" ca="1" si="81"/>
        <v/>
      </c>
      <c r="AA156" s="369" t="str">
        <f t="shared" ca="1" si="82"/>
        <v/>
      </c>
      <c r="AB156" s="344"/>
      <c r="AC156" s="363" t="e">
        <f t="shared" ca="1" si="83"/>
        <v>#N/A</v>
      </c>
      <c r="AD156" s="376" t="e">
        <f t="shared" ca="1" si="84"/>
        <v>#N/A</v>
      </c>
      <c r="AE156" s="377">
        <f t="shared" ca="1" si="63"/>
        <v>71.456958334806131</v>
      </c>
      <c r="AF156" s="344"/>
      <c r="AG156" s="359">
        <f t="shared" ca="1" si="85"/>
        <v>33.708515794847727</v>
      </c>
      <c r="AH156" s="357">
        <f t="shared" ca="1" si="86"/>
        <v>43.274485938184519</v>
      </c>
    </row>
    <row r="157" spans="1:34">
      <c r="A157" s="402">
        <f t="shared" ca="1" si="64"/>
        <v>0.01</v>
      </c>
      <c r="B157" s="357">
        <f t="shared" ca="1" si="65"/>
        <v>1.5300000000000011</v>
      </c>
      <c r="C157" s="342"/>
      <c r="D157" s="359">
        <f t="shared" ca="1" si="66"/>
        <v>9.5266897990229271</v>
      </c>
      <c r="E157" s="360">
        <f t="shared" ca="1" si="67"/>
        <v>32.051280383544466</v>
      </c>
      <c r="F157" s="357">
        <f t="shared" ca="1" si="68"/>
        <v>33.437140917718871</v>
      </c>
      <c r="G157" s="359">
        <f t="shared" ca="1" si="69"/>
        <v>19.271252996097992</v>
      </c>
      <c r="H157" s="360">
        <f t="shared" ca="1" si="70"/>
        <v>84.581819471569034</v>
      </c>
      <c r="I157" s="357">
        <f t="shared" ca="1" si="71"/>
        <v>86.749440212376641</v>
      </c>
      <c r="J157" s="359">
        <f t="shared" ca="1" si="72"/>
        <v>15.233474247360435</v>
      </c>
      <c r="K157" s="360">
        <f t="shared" ca="1" si="73"/>
        <v>72.301173965502642</v>
      </c>
      <c r="L157" s="357">
        <f t="shared" ca="1" si="58"/>
        <v>73.888554556405225</v>
      </c>
      <c r="M157" s="359">
        <f t="shared" ca="1" si="74"/>
        <v>1.3467789060698958</v>
      </c>
      <c r="N157" s="357">
        <f t="shared" ca="1" si="75"/>
        <v>77.164747255050955</v>
      </c>
      <c r="O157" s="343"/>
      <c r="P157" s="363">
        <f t="shared" ca="1" si="76"/>
        <v>8</v>
      </c>
      <c r="Q157" s="357">
        <f t="shared" ca="1" si="77"/>
        <v>26.555946852003256</v>
      </c>
      <c r="R157" s="359">
        <f t="shared" ca="1" si="78"/>
        <v>1.5286887299925387E-2</v>
      </c>
      <c r="S157" s="360">
        <f t="shared" ca="1" si="79"/>
        <v>0.43207171959205348</v>
      </c>
      <c r="T157" s="357">
        <f t="shared" ca="1" si="59"/>
        <v>4.2386235691980447</v>
      </c>
      <c r="U157" s="364">
        <f t="shared" ca="1" si="60"/>
        <v>0</v>
      </c>
      <c r="V157" s="359">
        <f t="shared" ca="1" si="61"/>
        <v>1.216175009049524</v>
      </c>
      <c r="W157" s="357">
        <f t="shared" ca="1" si="62"/>
        <v>8.067671058251463</v>
      </c>
      <c r="X157" s="343"/>
      <c r="Y157" s="367" t="str">
        <f t="shared" ca="1" si="80"/>
        <v/>
      </c>
      <c r="Z157" s="368" t="str">
        <f t="shared" ca="1" si="81"/>
        <v/>
      </c>
      <c r="AA157" s="369" t="str">
        <f t="shared" ca="1" si="82"/>
        <v/>
      </c>
      <c r="AB157" s="344"/>
      <c r="AC157" s="363" t="e">
        <f t="shared" ca="1" si="83"/>
        <v>#N/A</v>
      </c>
      <c r="AD157" s="376" t="e">
        <f t="shared" ca="1" si="84"/>
        <v>#N/A</v>
      </c>
      <c r="AE157" s="377">
        <f t="shared" ca="1" si="63"/>
        <v>72.301173965502642</v>
      </c>
      <c r="AF157" s="344"/>
      <c r="AG157" s="359">
        <f t="shared" ca="1" si="85"/>
        <v>33.366204516408331</v>
      </c>
      <c r="AH157" s="357">
        <f t="shared" ca="1" si="86"/>
        <v>42.931627198098752</v>
      </c>
    </row>
    <row r="158" spans="1:34">
      <c r="A158" s="402">
        <f t="shared" ca="1" si="64"/>
        <v>0.01</v>
      </c>
      <c r="B158" s="357">
        <f t="shared" ca="1" si="65"/>
        <v>1.5400000000000011</v>
      </c>
      <c r="C158" s="342"/>
      <c r="D158" s="359">
        <f t="shared" ca="1" si="66"/>
        <v>9.4611717856777897</v>
      </c>
      <c r="E158" s="360">
        <f t="shared" ca="1" si="67"/>
        <v>31.715225377287751</v>
      </c>
      <c r="F158" s="357">
        <f t="shared" ca="1" si="68"/>
        <v>33.096363732142272</v>
      </c>
      <c r="G158" s="359">
        <f t="shared" ca="1" si="69"/>
        <v>19.365864713954771</v>
      </c>
      <c r="H158" s="360">
        <f t="shared" ca="1" si="70"/>
        <v>84.898971725341909</v>
      </c>
      <c r="I158" s="357">
        <f t="shared" ca="1" si="71"/>
        <v>87.07968830984413</v>
      </c>
      <c r="J158" s="359">
        <f t="shared" ca="1" si="72"/>
        <v>15.4266598359107</v>
      </c>
      <c r="K158" s="360">
        <f t="shared" ca="1" si="73"/>
        <v>73.148577921487203</v>
      </c>
      <c r="L158" s="357">
        <f t="shared" ca="1" si="58"/>
        <v>74.757583465684505</v>
      </c>
      <c r="M158" s="359">
        <f t="shared" ca="1" si="74"/>
        <v>1.3465286437777317</v>
      </c>
      <c r="N158" s="357">
        <f t="shared" ca="1" si="75"/>
        <v>77.150408281938681</v>
      </c>
      <c r="O158" s="343"/>
      <c r="P158" s="363">
        <f t="shared" ca="1" si="76"/>
        <v>8</v>
      </c>
      <c r="Q158" s="357">
        <f t="shared" ca="1" si="77"/>
        <v>26.462864268192956</v>
      </c>
      <c r="R158" s="359">
        <f t="shared" ca="1" si="78"/>
        <v>1.5233304463048058E-2</v>
      </c>
      <c r="S158" s="360">
        <f t="shared" ca="1" si="79"/>
        <v>0.43191938654742301</v>
      </c>
      <c r="T158" s="357">
        <f t="shared" ca="1" si="59"/>
        <v>4.2371291820302197</v>
      </c>
      <c r="U158" s="364">
        <f t="shared" ca="1" si="60"/>
        <v>0</v>
      </c>
      <c r="V158" s="359">
        <f t="shared" ca="1" si="61"/>
        <v>1.2160719529020596</v>
      </c>
      <c r="W158" s="357">
        <f t="shared" ca="1" si="62"/>
        <v>8.1285250687780408</v>
      </c>
      <c r="X158" s="343"/>
      <c r="Y158" s="367" t="str">
        <f t="shared" ca="1" si="80"/>
        <v/>
      </c>
      <c r="Z158" s="368" t="str">
        <f t="shared" ca="1" si="81"/>
        <v/>
      </c>
      <c r="AA158" s="369" t="str">
        <f t="shared" ca="1" si="82"/>
        <v/>
      </c>
      <c r="AB158" s="344"/>
      <c r="AC158" s="363" t="e">
        <f t="shared" ca="1" si="83"/>
        <v>#N/A</v>
      </c>
      <c r="AD158" s="376" t="e">
        <f t="shared" ca="1" si="84"/>
        <v>#N/A</v>
      </c>
      <c r="AE158" s="377">
        <f t="shared" ca="1" si="63"/>
        <v>73.148577921487203</v>
      </c>
      <c r="AF158" s="344"/>
      <c r="AG158" s="359">
        <f t="shared" ca="1" si="85"/>
        <v>33.024537051415876</v>
      </c>
      <c r="AH158" s="357">
        <f t="shared" ca="1" si="86"/>
        <v>42.589413170324953</v>
      </c>
    </row>
    <row r="159" spans="1:34">
      <c r="A159" s="402">
        <f t="shared" ca="1" si="64"/>
        <v>0.01</v>
      </c>
      <c r="B159" s="357">
        <f t="shared" ca="1" si="65"/>
        <v>1.5500000000000012</v>
      </c>
      <c r="C159" s="342"/>
      <c r="D159" s="359">
        <f t="shared" ca="1" si="66"/>
        <v>9.3956048167701187</v>
      </c>
      <c r="E159" s="360">
        <f t="shared" ca="1" si="67"/>
        <v>31.379856454313511</v>
      </c>
      <c r="F159" s="357">
        <f t="shared" ca="1" si="68"/>
        <v>32.756263232643541</v>
      </c>
      <c r="G159" s="359">
        <f t="shared" ca="1" si="69"/>
        <v>19.459820762122472</v>
      </c>
      <c r="H159" s="360">
        <f t="shared" ca="1" si="70"/>
        <v>85.212770289885043</v>
      </c>
      <c r="I159" s="357">
        <f t="shared" ca="1" si="71"/>
        <v>87.406526327103563</v>
      </c>
      <c r="J159" s="359">
        <f t="shared" ca="1" si="72"/>
        <v>15.620788263291086</v>
      </c>
      <c r="K159" s="360">
        <f t="shared" ca="1" si="73"/>
        <v>73.999136631563331</v>
      </c>
      <c r="L159" s="357">
        <f t="shared" ca="1" si="58"/>
        <v>75.629896523685332</v>
      </c>
      <c r="M159" s="359">
        <f t="shared" ca="1" si="74"/>
        <v>1.3462790434342715</v>
      </c>
      <c r="N159" s="357">
        <f t="shared" ca="1" si="75"/>
        <v>77.136107235693402</v>
      </c>
      <c r="O159" s="343"/>
      <c r="P159" s="363">
        <f t="shared" ca="1" si="76"/>
        <v>8</v>
      </c>
      <c r="Q159" s="357">
        <f t="shared" ca="1" si="77"/>
        <v>26.369781684382652</v>
      </c>
      <c r="R159" s="359">
        <f t="shared" ca="1" si="78"/>
        <v>1.5179721626170725E-2</v>
      </c>
      <c r="S159" s="360">
        <f t="shared" ca="1" si="79"/>
        <v>0.43176758933116133</v>
      </c>
      <c r="T159" s="357">
        <f t="shared" ca="1" si="59"/>
        <v>4.2356400513386925</v>
      </c>
      <c r="U159" s="364">
        <f t="shared" ca="1" si="60"/>
        <v>0</v>
      </c>
      <c r="V159" s="359">
        <f t="shared" ca="1" si="61"/>
        <v>1.2159685218419438</v>
      </c>
      <c r="W159" s="357">
        <f t="shared" ca="1" si="62"/>
        <v>8.1889609470972751</v>
      </c>
      <c r="X159" s="343"/>
      <c r="Y159" s="367" t="str">
        <f t="shared" ca="1" si="80"/>
        <v/>
      </c>
      <c r="Z159" s="368" t="str">
        <f t="shared" ca="1" si="81"/>
        <v/>
      </c>
      <c r="AA159" s="369" t="str">
        <f t="shared" ca="1" si="82"/>
        <v/>
      </c>
      <c r="AB159" s="344"/>
      <c r="AC159" s="363" t="e">
        <f t="shared" ca="1" si="83"/>
        <v>#N/A</v>
      </c>
      <c r="AD159" s="376" t="e">
        <f t="shared" ca="1" si="84"/>
        <v>#N/A</v>
      </c>
      <c r="AE159" s="377">
        <f t="shared" ca="1" si="63"/>
        <v>73.999136631563331</v>
      </c>
      <c r="AF159" s="344"/>
      <c r="AG159" s="359">
        <f t="shared" ca="1" si="85"/>
        <v>32.683529453167118</v>
      </c>
      <c r="AH159" s="357">
        <f t="shared" ca="1" si="86"/>
        <v>42.247859881890662</v>
      </c>
    </row>
    <row r="160" spans="1:34">
      <c r="A160" s="402">
        <f t="shared" ca="1" si="64"/>
        <v>0.01</v>
      </c>
      <c r="B160" s="357">
        <f t="shared" ca="1" si="65"/>
        <v>1.5600000000000012</v>
      </c>
      <c r="C160" s="342"/>
      <c r="D160" s="359">
        <f t="shared" ca="1" si="66"/>
        <v>9.3299941519818912</v>
      </c>
      <c r="E160" s="360">
        <f t="shared" ca="1" si="67"/>
        <v>31.045188657559315</v>
      </c>
      <c r="F160" s="357">
        <f t="shared" ca="1" si="68"/>
        <v>32.41685564115474</v>
      </c>
      <c r="G160" s="359">
        <f t="shared" ca="1" si="69"/>
        <v>19.553120703642293</v>
      </c>
      <c r="H160" s="360">
        <f t="shared" ca="1" si="70"/>
        <v>85.523222176460635</v>
      </c>
      <c r="I160" s="357">
        <f t="shared" ca="1" si="71"/>
        <v>87.729961020710888</v>
      </c>
      <c r="J160" s="359">
        <f t="shared" ca="1" si="72"/>
        <v>15.815852970619909</v>
      </c>
      <c r="K160" s="360">
        <f t="shared" ca="1" si="73"/>
        <v>74.852816593895056</v>
      </c>
      <c r="L160" s="357">
        <f t="shared" ca="1" si="58"/>
        <v>76.505459656337976</v>
      </c>
      <c r="M160" s="359">
        <f t="shared" ca="1" si="74"/>
        <v>1.346030091187415</v>
      </c>
      <c r="N160" s="357">
        <f t="shared" ca="1" si="75"/>
        <v>77.121843322648218</v>
      </c>
      <c r="O160" s="343"/>
      <c r="P160" s="363">
        <f t="shared" ca="1" si="76"/>
        <v>8</v>
      </c>
      <c r="Q160" s="357">
        <f t="shared" ca="1" si="77"/>
        <v>26.276699100572351</v>
      </c>
      <c r="R160" s="359">
        <f t="shared" ca="1" si="78"/>
        <v>1.5126138789293395E-2</v>
      </c>
      <c r="S160" s="360">
        <f t="shared" ca="1" si="79"/>
        <v>0.43161632794326837</v>
      </c>
      <c r="T160" s="357">
        <f t="shared" ca="1" si="59"/>
        <v>4.234156177123463</v>
      </c>
      <c r="U160" s="364">
        <f t="shared" ca="1" si="60"/>
        <v>0</v>
      </c>
      <c r="V160" s="359">
        <f t="shared" ca="1" si="61"/>
        <v>1.2158647200390207</v>
      </c>
      <c r="W160" s="357">
        <f t="shared" ca="1" si="62"/>
        <v>8.2489728716998805</v>
      </c>
      <c r="X160" s="343"/>
      <c r="Y160" s="367" t="str">
        <f t="shared" ca="1" si="80"/>
        <v/>
      </c>
      <c r="Z160" s="368" t="str">
        <f t="shared" ca="1" si="81"/>
        <v/>
      </c>
      <c r="AA160" s="369" t="str">
        <f t="shared" ca="1" si="82"/>
        <v/>
      </c>
      <c r="AB160" s="344"/>
      <c r="AC160" s="363" t="e">
        <f t="shared" ca="1" si="83"/>
        <v>#N/A</v>
      </c>
      <c r="AD160" s="376" t="e">
        <f t="shared" ca="1" si="84"/>
        <v>#N/A</v>
      </c>
      <c r="AE160" s="377">
        <f t="shared" ca="1" si="63"/>
        <v>74.852816593895056</v>
      </c>
      <c r="AF160" s="344"/>
      <c r="AG160" s="359">
        <f t="shared" ca="1" si="85"/>
        <v>32.343197497774831</v>
      </c>
      <c r="AH160" s="357">
        <f t="shared" ca="1" si="86"/>
        <v>41.90698308302305</v>
      </c>
    </row>
    <row r="161" spans="1:34">
      <c r="A161" s="402">
        <f t="shared" ca="1" si="64"/>
        <v>0.01</v>
      </c>
      <c r="B161" s="357">
        <f t="shared" ca="1" si="65"/>
        <v>1.5700000000000012</v>
      </c>
      <c r="C161" s="342"/>
      <c r="D161" s="359">
        <f t="shared" ca="1" si="66"/>
        <v>9.2643449734042438</v>
      </c>
      <c r="E161" s="360">
        <f t="shared" ca="1" si="67"/>
        <v>30.711236762591913</v>
      </c>
      <c r="F161" s="357">
        <f t="shared" ca="1" si="68"/>
        <v>32.078156918286581</v>
      </c>
      <c r="G161" s="359">
        <f t="shared" ca="1" si="69"/>
        <v>19.645764153376334</v>
      </c>
      <c r="H161" s="360">
        <f t="shared" ca="1" si="70"/>
        <v>85.830334544086554</v>
      </c>
      <c r="I161" s="357">
        <f t="shared" ca="1" si="71"/>
        <v>88.049999302214104</v>
      </c>
      <c r="J161" s="359">
        <f t="shared" ca="1" si="72"/>
        <v>16.011847394905004</v>
      </c>
      <c r="K161" s="360">
        <f t="shared" ca="1" si="73"/>
        <v>75.709584377497791</v>
      </c>
      <c r="L161" s="357">
        <f t="shared" ca="1" si="58"/>
        <v>77.384238857865512</v>
      </c>
      <c r="M161" s="359">
        <f t="shared" ca="1" si="74"/>
        <v>1.3457817734172033</v>
      </c>
      <c r="N161" s="357">
        <f t="shared" ca="1" si="75"/>
        <v>77.107615762436993</v>
      </c>
      <c r="O161" s="343"/>
      <c r="P161" s="363">
        <f t="shared" ca="1" si="76"/>
        <v>8</v>
      </c>
      <c r="Q161" s="357">
        <f t="shared" ca="1" si="77"/>
        <v>26.183616516762044</v>
      </c>
      <c r="R161" s="359">
        <f t="shared" ca="1" si="78"/>
        <v>1.5072555952416062E-2</v>
      </c>
      <c r="S161" s="360">
        <f t="shared" ca="1" si="79"/>
        <v>0.43146560238374421</v>
      </c>
      <c r="T161" s="357">
        <f t="shared" ca="1" si="59"/>
        <v>4.2326775593845305</v>
      </c>
      <c r="U161" s="364">
        <f t="shared" ca="1" si="60"/>
        <v>0</v>
      </c>
      <c r="V161" s="359">
        <f t="shared" ca="1" si="61"/>
        <v>1.2157605516534662</v>
      </c>
      <c r="W161" s="357">
        <f t="shared" ca="1" si="62"/>
        <v>8.3085551471705674</v>
      </c>
      <c r="X161" s="343"/>
      <c r="Y161" s="367" t="str">
        <f t="shared" ca="1" si="80"/>
        <v/>
      </c>
      <c r="Z161" s="368" t="str">
        <f t="shared" ca="1" si="81"/>
        <v/>
      </c>
      <c r="AA161" s="369" t="str">
        <f t="shared" ca="1" si="82"/>
        <v/>
      </c>
      <c r="AB161" s="344"/>
      <c r="AC161" s="363" t="e">
        <f t="shared" ca="1" si="83"/>
        <v>#N/A</v>
      </c>
      <c r="AD161" s="376" t="e">
        <f t="shared" ca="1" si="84"/>
        <v>#N/A</v>
      </c>
      <c r="AE161" s="377">
        <f t="shared" ca="1" si="63"/>
        <v>75.709584377497791</v>
      </c>
      <c r="AF161" s="344"/>
      <c r="AG161" s="359">
        <f t="shared" ca="1" si="85"/>
        <v>32.003556684624158</v>
      </c>
      <c r="AH161" s="357">
        <f t="shared" ca="1" si="86"/>
        <v>41.566798247595052</v>
      </c>
    </row>
    <row r="162" spans="1:34">
      <c r="A162" s="402">
        <f t="shared" ca="1" si="64"/>
        <v>0.01</v>
      </c>
      <c r="B162" s="357">
        <f t="shared" ca="1" si="65"/>
        <v>1.5800000000000012</v>
      </c>
      <c r="C162" s="342"/>
      <c r="D162" s="359">
        <f t="shared" ca="1" si="66"/>
        <v>9.2866720047107609</v>
      </c>
      <c r="E162" s="360">
        <f t="shared" ca="1" si="67"/>
        <v>30.762520302222057</v>
      </c>
      <c r="F162" s="357">
        <f t="shared" ca="1" si="68"/>
        <v>32.133703992345836</v>
      </c>
      <c r="G162" s="359">
        <f t="shared" ca="1" si="69"/>
        <v>19.738630873423443</v>
      </c>
      <c r="H162" s="360">
        <f t="shared" ca="1" si="70"/>
        <v>86.137959747108781</v>
      </c>
      <c r="I162" s="357">
        <f t="shared" ca="1" si="71"/>
        <v>88.370592722646137</v>
      </c>
      <c r="J162" s="359">
        <f t="shared" ca="1" si="72"/>
        <v>16.208769370039004</v>
      </c>
      <c r="K162" s="360">
        <f t="shared" ca="1" si="73"/>
        <v>76.56942584895377</v>
      </c>
      <c r="L162" s="357">
        <f t="shared" ca="1" si="58"/>
        <v>78.266219912102216</v>
      </c>
      <c r="M162" s="359">
        <f t="shared" ca="1" si="74"/>
        <v>1.3455340877859034</v>
      </c>
      <c r="N162" s="357">
        <f t="shared" ca="1" si="75"/>
        <v>77.093424421117476</v>
      </c>
      <c r="O162" s="343"/>
      <c r="P162" s="363">
        <f t="shared" ca="1" si="76"/>
        <v>9</v>
      </c>
      <c r="Q162" s="357">
        <f t="shared" ca="1" si="77"/>
        <v>26.260625000000015</v>
      </c>
      <c r="R162" s="359">
        <f t="shared" ca="1" si="78"/>
        <v>1.5116885759632418E-2</v>
      </c>
      <c r="S162" s="360">
        <f t="shared" ca="1" si="79"/>
        <v>0.4313144335261479</v>
      </c>
      <c r="T162" s="357">
        <f t="shared" ca="1" si="59"/>
        <v>4.2311945928915113</v>
      </c>
      <c r="U162" s="364">
        <f t="shared" ca="1" si="60"/>
        <v>0</v>
      </c>
      <c r="V162" s="359">
        <f t="shared" ca="1" si="61"/>
        <v>1.2156560184984393</v>
      </c>
      <c r="W162" s="357">
        <f t="shared" ca="1" si="62"/>
        <v>8.3684492348202166</v>
      </c>
      <c r="X162" s="343"/>
      <c r="Y162" s="367" t="str">
        <f t="shared" ca="1" si="80"/>
        <v/>
      </c>
      <c r="Z162" s="368" t="str">
        <f t="shared" ca="1" si="81"/>
        <v/>
      </c>
      <c r="AA162" s="369" t="str">
        <f t="shared" ca="1" si="82"/>
        <v/>
      </c>
      <c r="AB162" s="344"/>
      <c r="AC162" s="363" t="e">
        <f t="shared" ca="1" si="83"/>
        <v>#N/A</v>
      </c>
      <c r="AD162" s="376" t="e">
        <f t="shared" ca="1" si="84"/>
        <v>#N/A</v>
      </c>
      <c r="AE162" s="377">
        <f t="shared" ca="1" si="63"/>
        <v>76.56942584895377</v>
      </c>
      <c r="AF162" s="344"/>
      <c r="AG162" s="359">
        <f t="shared" ca="1" si="85"/>
        <v>32.05907097448781</v>
      </c>
      <c r="AH162" s="357">
        <f t="shared" ca="1" si="86"/>
        <v>41.621769311230629</v>
      </c>
    </row>
    <row r="163" spans="1:34">
      <c r="A163" s="402">
        <f t="shared" ca="1" si="64"/>
        <v>0.01</v>
      </c>
      <c r="B163" s="357">
        <f t="shared" ca="1" si="65"/>
        <v>1.5900000000000012</v>
      </c>
      <c r="C163" s="342"/>
      <c r="D163" s="359">
        <f t="shared" ca="1" si="66"/>
        <v>9.3308900714995726</v>
      </c>
      <c r="E163" s="360">
        <f t="shared" ca="1" si="67"/>
        <v>30.909330461045652</v>
      </c>
      <c r="F163" s="357">
        <f t="shared" ca="1" si="68"/>
        <v>32.287028650474078</v>
      </c>
      <c r="G163" s="359">
        <f t="shared" ca="1" si="69"/>
        <v>19.831939774138437</v>
      </c>
      <c r="H163" s="360">
        <f t="shared" ca="1" si="70"/>
        <v>86.447053051719237</v>
      </c>
      <c r="I163" s="357">
        <f t="shared" ca="1" si="71"/>
        <v>88.692721327805785</v>
      </c>
      <c r="J163" s="359">
        <f t="shared" ca="1" si="72"/>
        <v>16.406622223276813</v>
      </c>
      <c r="K163" s="360">
        <f t="shared" ca="1" si="73"/>
        <v>77.432350912947911</v>
      </c>
      <c r="L163" s="357">
        <f t="shared" ca="1" si="58"/>
        <v>79.15141325764958</v>
      </c>
      <c r="M163" s="359">
        <f t="shared" ca="1" si="74"/>
        <v>1.3452870346965855</v>
      </c>
      <c r="N163" s="357">
        <f t="shared" ca="1" si="75"/>
        <v>77.079269321783897</v>
      </c>
      <c r="O163" s="343"/>
      <c r="P163" s="363">
        <f t="shared" ca="1" si="76"/>
        <v>9</v>
      </c>
      <c r="Q163" s="357">
        <f t="shared" ca="1" si="77"/>
        <v>26.380156250000017</v>
      </c>
      <c r="R163" s="359">
        <f t="shared" ca="1" si="78"/>
        <v>1.5185693727872171E-2</v>
      </c>
      <c r="S163" s="360">
        <f t="shared" ca="1" si="79"/>
        <v>0.4311625765888692</v>
      </c>
      <c r="T163" s="357">
        <f t="shared" ca="1" si="59"/>
        <v>4.2297048763368066</v>
      </c>
      <c r="U163" s="364">
        <f t="shared" ca="1" si="60"/>
        <v>0</v>
      </c>
      <c r="V163" s="359">
        <f t="shared" ca="1" si="61"/>
        <v>1.2155511194648307</v>
      </c>
      <c r="W163" s="357">
        <f t="shared" ca="1" si="62"/>
        <v>8.4288424075639092</v>
      </c>
      <c r="X163" s="343"/>
      <c r="Y163" s="367" t="str">
        <f t="shared" ca="1" si="80"/>
        <v/>
      </c>
      <c r="Z163" s="368" t="str">
        <f t="shared" ca="1" si="81"/>
        <v/>
      </c>
      <c r="AA163" s="369" t="str">
        <f t="shared" ca="1" si="82"/>
        <v/>
      </c>
      <c r="AB163" s="344"/>
      <c r="AC163" s="363" t="e">
        <f t="shared" ca="1" si="83"/>
        <v>#N/A</v>
      </c>
      <c r="AD163" s="376" t="e">
        <f t="shared" ca="1" si="84"/>
        <v>#N/A</v>
      </c>
      <c r="AE163" s="377">
        <f t="shared" ca="1" si="63"/>
        <v>77.432350912947911</v>
      </c>
      <c r="AF163" s="344"/>
      <c r="AG163" s="359">
        <f t="shared" ca="1" si="85"/>
        <v>32.212589846938585</v>
      </c>
      <c r="AH163" s="357">
        <f t="shared" ca="1" si="86"/>
        <v>41.774745752933669</v>
      </c>
    </row>
    <row r="164" spans="1:34">
      <c r="A164" s="402">
        <f t="shared" ca="1" si="64"/>
        <v>0.01</v>
      </c>
      <c r="B164" s="357">
        <f t="shared" ca="1" si="65"/>
        <v>1.6000000000000012</v>
      </c>
      <c r="C164" s="342"/>
      <c r="D164" s="359">
        <f t="shared" ca="1" si="66"/>
        <v>9.374935732869865</v>
      </c>
      <c r="E164" s="360">
        <f t="shared" ca="1" si="67"/>
        <v>31.055168807778287</v>
      </c>
      <c r="F164" s="357">
        <f t="shared" ca="1" si="68"/>
        <v>32.439373139366396</v>
      </c>
      <c r="G164" s="359">
        <f t="shared" ca="1" si="69"/>
        <v>19.925689131467134</v>
      </c>
      <c r="H164" s="360">
        <f t="shared" ca="1" si="70"/>
        <v>86.757604739797017</v>
      </c>
      <c r="I164" s="357">
        <f t="shared" ca="1" si="71"/>
        <v>89.016375277533726</v>
      </c>
      <c r="J164" s="359">
        <f t="shared" ca="1" si="72"/>
        <v>16.60541036780484</v>
      </c>
      <c r="K164" s="360">
        <f t="shared" ca="1" si="73"/>
        <v>78.298374201905489</v>
      </c>
      <c r="L164" s="357">
        <f t="shared" ca="1" si="58"/>
        <v>80.03983418364146</v>
      </c>
      <c r="M164" s="359">
        <f t="shared" ca="1" si="74"/>
        <v>1.3450406144883105</v>
      </c>
      <c r="N164" s="357">
        <f t="shared" ca="1" si="75"/>
        <v>77.065150483862993</v>
      </c>
      <c r="O164" s="343"/>
      <c r="P164" s="363">
        <f t="shared" ca="1" si="76"/>
        <v>9</v>
      </c>
      <c r="Q164" s="357">
        <f t="shared" ca="1" si="77"/>
        <v>26.499687500000014</v>
      </c>
      <c r="R164" s="359">
        <f t="shared" ca="1" si="78"/>
        <v>1.5254501696111923E-2</v>
      </c>
      <c r="S164" s="360">
        <f t="shared" ca="1" si="79"/>
        <v>0.43101003157190809</v>
      </c>
      <c r="T164" s="357">
        <f t="shared" ca="1" si="59"/>
        <v>4.2282084097204189</v>
      </c>
      <c r="U164" s="364">
        <f t="shared" ca="1" si="60"/>
        <v>0</v>
      </c>
      <c r="V164" s="359">
        <f t="shared" ca="1" si="61"/>
        <v>1.2154458528696261</v>
      </c>
      <c r="W164" s="357">
        <f t="shared" ca="1" si="62"/>
        <v>8.4897357679652128</v>
      </c>
      <c r="X164" s="343"/>
      <c r="Y164" s="367" t="str">
        <f t="shared" ca="1" si="80"/>
        <v/>
      </c>
      <c r="Z164" s="368" t="str">
        <f t="shared" ca="1" si="81"/>
        <v/>
      </c>
      <c r="AA164" s="369" t="str">
        <f t="shared" ca="1" si="82"/>
        <v/>
      </c>
      <c r="AB164" s="344"/>
      <c r="AC164" s="363" t="e">
        <f t="shared" ca="1" si="83"/>
        <v>#N/A</v>
      </c>
      <c r="AD164" s="376" t="e">
        <f t="shared" ca="1" si="84"/>
        <v>#N/A</v>
      </c>
      <c r="AE164" s="377">
        <f t="shared" ca="1" si="63"/>
        <v>78.298374201905489</v>
      </c>
      <c r="AF164" s="344"/>
      <c r="AG164" s="359">
        <f t="shared" ca="1" si="85"/>
        <v>32.365124706088622</v>
      </c>
      <c r="AH164" s="357">
        <f t="shared" ca="1" si="86"/>
        <v>41.926738982225366</v>
      </c>
    </row>
    <row r="165" spans="1:34">
      <c r="A165" s="402">
        <f t="shared" ca="1" si="64"/>
        <v>0.01</v>
      </c>
      <c r="B165" s="357">
        <f t="shared" ca="1" si="65"/>
        <v>1.6100000000000012</v>
      </c>
      <c r="C165" s="342"/>
      <c r="D165" s="359">
        <f t="shared" ca="1" si="66"/>
        <v>9.4188073374732237</v>
      </c>
      <c r="E165" s="360">
        <f t="shared" ca="1" si="67"/>
        <v>31.200032762898729</v>
      </c>
      <c r="F165" s="357">
        <f t="shared" ca="1" si="68"/>
        <v>32.590734512532755</v>
      </c>
      <c r="G165" s="359">
        <f t="shared" ca="1" si="69"/>
        <v>20.019877204841865</v>
      </c>
      <c r="H165" s="360">
        <f t="shared" ca="1" si="70"/>
        <v>87.069605067426011</v>
      </c>
      <c r="I165" s="357">
        <f t="shared" ca="1" si="71"/>
        <v>89.341544702867566</v>
      </c>
      <c r="J165" s="359">
        <f t="shared" ca="1" si="72"/>
        <v>16.805138199486386</v>
      </c>
      <c r="K165" s="360">
        <f t="shared" ca="1" si="73"/>
        <v>79.167510250941604</v>
      </c>
      <c r="L165" s="357">
        <f t="shared" ca="1" si="58"/>
        <v>80.931497880842286</v>
      </c>
      <c r="M165" s="359">
        <f t="shared" ca="1" si="74"/>
        <v>1.344794827437152</v>
      </c>
      <c r="N165" s="357">
        <f t="shared" ca="1" si="75"/>
        <v>77.051067923172653</v>
      </c>
      <c r="O165" s="343"/>
      <c r="P165" s="363">
        <f t="shared" ca="1" si="76"/>
        <v>9</v>
      </c>
      <c r="Q165" s="357">
        <f t="shared" ca="1" si="77"/>
        <v>26.619218750000016</v>
      </c>
      <c r="R165" s="359">
        <f t="shared" ca="1" si="78"/>
        <v>1.5323309664351676E-2</v>
      </c>
      <c r="S165" s="360">
        <f t="shared" ca="1" si="79"/>
        <v>0.43085679847526459</v>
      </c>
      <c r="T165" s="357">
        <f t="shared" ca="1" si="59"/>
        <v>4.2267051930423456</v>
      </c>
      <c r="U165" s="364">
        <f t="shared" ca="1" si="60"/>
        <v>0</v>
      </c>
      <c r="V165" s="359">
        <f t="shared" ca="1" si="61"/>
        <v>1.2153402170425751</v>
      </c>
      <c r="W165" s="357">
        <f t="shared" ca="1" si="62"/>
        <v>8.5511303991670218</v>
      </c>
      <c r="X165" s="343"/>
      <c r="Y165" s="367" t="str">
        <f t="shared" ca="1" si="80"/>
        <v/>
      </c>
      <c r="Z165" s="368" t="str">
        <f t="shared" ca="1" si="81"/>
        <v/>
      </c>
      <c r="AA165" s="369" t="str">
        <f t="shared" ca="1" si="82"/>
        <v/>
      </c>
      <c r="AB165" s="344"/>
      <c r="AC165" s="363" t="e">
        <f t="shared" ca="1" si="83"/>
        <v>#N/A</v>
      </c>
      <c r="AD165" s="376" t="e">
        <f t="shared" ca="1" si="84"/>
        <v>#N/A</v>
      </c>
      <c r="AE165" s="377">
        <f t="shared" ca="1" si="63"/>
        <v>79.167510250941604</v>
      </c>
      <c r="AF165" s="344"/>
      <c r="AG165" s="359">
        <f t="shared" ca="1" si="85"/>
        <v>32.516672671556044</v>
      </c>
      <c r="AH165" s="357">
        <f t="shared" ca="1" si="86"/>
        <v>42.077746123984191</v>
      </c>
    </row>
    <row r="166" spans="1:34">
      <c r="A166" s="402">
        <f t="shared" ca="1" si="64"/>
        <v>0.01</v>
      </c>
      <c r="B166" s="357">
        <f t="shared" ca="1" si="65"/>
        <v>1.6200000000000012</v>
      </c>
      <c r="C166" s="342"/>
      <c r="D166" s="359">
        <f t="shared" ca="1" si="66"/>
        <v>9.4625032444447292</v>
      </c>
      <c r="E166" s="360">
        <f t="shared" ca="1" si="67"/>
        <v>31.343919777478874</v>
      </c>
      <c r="F166" s="357">
        <f t="shared" ca="1" si="68"/>
        <v>32.741109857000239</v>
      </c>
      <c r="G166" s="359">
        <f t="shared" ca="1" si="69"/>
        <v>20.114502237286313</v>
      </c>
      <c r="H166" s="360">
        <f t="shared" ca="1" si="70"/>
        <v>87.383044265200795</v>
      </c>
      <c r="I166" s="357">
        <f t="shared" ca="1" si="71"/>
        <v>89.668219706358826</v>
      </c>
      <c r="J166" s="359">
        <f t="shared" ca="1" si="72"/>
        <v>17.005810096697026</v>
      </c>
      <c r="K166" s="360">
        <f t="shared" ca="1" si="73"/>
        <v>80.039773497604742</v>
      </c>
      <c r="L166" s="357">
        <f t="shared" ca="1" si="58"/>
        <v>81.826419441356421</v>
      </c>
      <c r="M166" s="359">
        <f t="shared" ca="1" si="74"/>
        <v>1.3445496737572133</v>
      </c>
      <c r="N166" s="357">
        <f t="shared" ca="1" si="75"/>
        <v>77.037021651980069</v>
      </c>
      <c r="O166" s="343"/>
      <c r="P166" s="363">
        <f t="shared" ca="1" si="76"/>
        <v>9</v>
      </c>
      <c r="Q166" s="357">
        <f t="shared" ca="1" si="77"/>
        <v>26.738750000000014</v>
      </c>
      <c r="R166" s="359">
        <f t="shared" ca="1" si="78"/>
        <v>1.5392117632591427E-2</v>
      </c>
      <c r="S166" s="360">
        <f t="shared" ca="1" si="79"/>
        <v>0.43070287729893869</v>
      </c>
      <c r="T166" s="357">
        <f t="shared" ca="1" si="59"/>
        <v>4.2251952263025885</v>
      </c>
      <c r="U166" s="364">
        <f t="shared" ca="1" si="60"/>
        <v>0</v>
      </c>
      <c r="V166" s="359">
        <f t="shared" ca="1" si="61"/>
        <v>1.2152342103262195</v>
      </c>
      <c r="W166" s="357">
        <f t="shared" ca="1" si="62"/>
        <v>8.6130273645313036</v>
      </c>
      <c r="X166" s="343"/>
      <c r="Y166" s="367" t="str">
        <f t="shared" ca="1" si="80"/>
        <v/>
      </c>
      <c r="Z166" s="368" t="str">
        <f t="shared" ca="1" si="81"/>
        <v/>
      </c>
      <c r="AA166" s="369" t="str">
        <f t="shared" ca="1" si="82"/>
        <v/>
      </c>
      <c r="AB166" s="344"/>
      <c r="AC166" s="363" t="e">
        <f t="shared" ca="1" si="83"/>
        <v>#N/A</v>
      </c>
      <c r="AD166" s="376" t="e">
        <f t="shared" ca="1" si="84"/>
        <v>#N/A</v>
      </c>
      <c r="AE166" s="377">
        <f t="shared" ca="1" si="63"/>
        <v>80.039773497604742</v>
      </c>
      <c r="AF166" s="344"/>
      <c r="AG166" s="359">
        <f t="shared" ca="1" si="85"/>
        <v>32.667230894662325</v>
      </c>
      <c r="AH166" s="357">
        <f t="shared" ca="1" si="86"/>
        <v>42.227764334644739</v>
      </c>
    </row>
    <row r="167" spans="1:34">
      <c r="A167" s="402">
        <f t="shared" ca="1" si="64"/>
        <v>0.01</v>
      </c>
      <c r="B167" s="357">
        <f t="shared" ca="1" si="65"/>
        <v>1.6300000000000012</v>
      </c>
      <c r="C167" s="342"/>
      <c r="D167" s="359">
        <f t="shared" ca="1" si="66"/>
        <v>9.5060218236542156</v>
      </c>
      <c r="E167" s="360">
        <f t="shared" ca="1" si="67"/>
        <v>31.486827333988622</v>
      </c>
      <c r="F167" s="357">
        <f t="shared" ca="1" si="68"/>
        <v>32.890496294099961</v>
      </c>
      <c r="G167" s="359">
        <f t="shared" ca="1" si="69"/>
        <v>20.209562455522857</v>
      </c>
      <c r="H167" s="360">
        <f t="shared" ca="1" si="70"/>
        <v>87.697912538540677</v>
      </c>
      <c r="I167" s="357">
        <f t="shared" ca="1" si="71"/>
        <v>89.996390362398472</v>
      </c>
      <c r="J167" s="359">
        <f t="shared" ca="1" si="72"/>
        <v>17.207430420161071</v>
      </c>
      <c r="K167" s="360">
        <f t="shared" ca="1" si="73"/>
        <v>80.915178281623454</v>
      </c>
      <c r="L167" s="357">
        <f t="shared" ca="1" si="58"/>
        <v>82.724613858340803</v>
      </c>
      <c r="M167" s="359">
        <f t="shared" ca="1" si="74"/>
        <v>1.3443051536016408</v>
      </c>
      <c r="N167" s="357">
        <f t="shared" ca="1" si="75"/>
        <v>77.023011679059877</v>
      </c>
      <c r="O167" s="343"/>
      <c r="P167" s="363">
        <f t="shared" ca="1" si="76"/>
        <v>9</v>
      </c>
      <c r="Q167" s="357">
        <f t="shared" ca="1" si="77"/>
        <v>26.858281250000015</v>
      </c>
      <c r="R167" s="359">
        <f t="shared" ca="1" si="78"/>
        <v>1.5460925600831182E-2</v>
      </c>
      <c r="S167" s="360">
        <f t="shared" ca="1" si="79"/>
        <v>0.43054826804293039</v>
      </c>
      <c r="T167" s="357">
        <f t="shared" ca="1" si="59"/>
        <v>4.2236785095011475</v>
      </c>
      <c r="U167" s="364">
        <f t="shared" ca="1" si="60"/>
        <v>0</v>
      </c>
      <c r="V167" s="359">
        <f t="shared" ca="1" si="61"/>
        <v>1.2151278310759273</v>
      </c>
      <c r="W167" s="357">
        <f t="shared" ca="1" si="62"/>
        <v>8.6754277072828963</v>
      </c>
      <c r="X167" s="343"/>
      <c r="Y167" s="367" t="str">
        <f t="shared" ca="1" si="80"/>
        <v/>
      </c>
      <c r="Z167" s="368" t="str">
        <f t="shared" ca="1" si="81"/>
        <v/>
      </c>
      <c r="AA167" s="369" t="str">
        <f t="shared" ca="1" si="82"/>
        <v/>
      </c>
      <c r="AB167" s="344"/>
      <c r="AC167" s="363" t="e">
        <f t="shared" ca="1" si="83"/>
        <v>#N/A</v>
      </c>
      <c r="AD167" s="376" t="e">
        <f t="shared" ca="1" si="84"/>
        <v>#N/A</v>
      </c>
      <c r="AE167" s="377">
        <f t="shared" ca="1" si="63"/>
        <v>80.915178281623454</v>
      </c>
      <c r="AF167" s="344"/>
      <c r="AG167" s="359">
        <f t="shared" ca="1" si="85"/>
        <v>32.816796559278302</v>
      </c>
      <c r="AH167" s="357">
        <f t="shared" ca="1" si="86"/>
        <v>42.376790803045246</v>
      </c>
    </row>
    <row r="168" spans="1:34">
      <c r="A168" s="402">
        <f t="shared" ca="1" si="64"/>
        <v>0.01</v>
      </c>
      <c r="B168" s="357">
        <f t="shared" ca="1" si="65"/>
        <v>1.6400000000000012</v>
      </c>
      <c r="C168" s="342"/>
      <c r="D168" s="359">
        <f t="shared" ca="1" si="66"/>
        <v>9.4191195245747927</v>
      </c>
      <c r="E168" s="360">
        <f t="shared" ca="1" si="67"/>
        <v>31.063577647915949</v>
      </c>
      <c r="F168" s="357">
        <f t="shared" ca="1" si="68"/>
        <v>32.460216710711116</v>
      </c>
      <c r="G168" s="359">
        <f t="shared" ca="1" si="69"/>
        <v>20.303753650768606</v>
      </c>
      <c r="H168" s="360">
        <f t="shared" ca="1" si="70"/>
        <v>88.008548315019837</v>
      </c>
      <c r="I168" s="357">
        <f t="shared" ca="1" si="71"/>
        <v>90.320246837728916</v>
      </c>
      <c r="J168" s="359">
        <f t="shared" ca="1" si="72"/>
        <v>17.409997000692528</v>
      </c>
      <c r="K168" s="360">
        <f t="shared" ca="1" si="73"/>
        <v>81.793710585891262</v>
      </c>
      <c r="L168" s="357">
        <f t="shared" ca="1" si="58"/>
        <v>83.626067030398261</v>
      </c>
      <c r="M168" s="359">
        <f t="shared" ca="1" si="74"/>
        <v>1.3440612514025496</v>
      </c>
      <c r="N168" s="357">
        <f t="shared" ca="1" si="75"/>
        <v>77.009037112437994</v>
      </c>
      <c r="O168" s="343"/>
      <c r="P168" s="363">
        <f t="shared" ca="1" si="76"/>
        <v>10</v>
      </c>
      <c r="Q168" s="357">
        <f t="shared" ca="1" si="77"/>
        <v>26.728249999999932</v>
      </c>
      <c r="R168" s="359">
        <f t="shared" ca="1" si="78"/>
        <v>1.5386073324793066E-2</v>
      </c>
      <c r="S168" s="360">
        <f t="shared" ca="1" si="79"/>
        <v>0.43039440730968248</v>
      </c>
      <c r="T168" s="357">
        <f t="shared" ca="1" si="59"/>
        <v>4.2221691357079854</v>
      </c>
      <c r="U168" s="364">
        <f t="shared" ca="1" si="60"/>
        <v>0</v>
      </c>
      <c r="V168" s="359">
        <f t="shared" ca="1" si="61"/>
        <v>1.2150210810934785</v>
      </c>
      <c r="W168" s="357">
        <f t="shared" ca="1" si="62"/>
        <v>8.7372103256394098</v>
      </c>
      <c r="X168" s="343"/>
      <c r="Y168" s="367" t="str">
        <f t="shared" ca="1" si="80"/>
        <v/>
      </c>
      <c r="Z168" s="368" t="str">
        <f t="shared" ca="1" si="81"/>
        <v/>
      </c>
      <c r="AA168" s="369" t="str">
        <f t="shared" ca="1" si="82"/>
        <v/>
      </c>
      <c r="AB168" s="344"/>
      <c r="AC168" s="363" t="e">
        <f t="shared" ca="1" si="83"/>
        <v>#N/A</v>
      </c>
      <c r="AD168" s="376" t="e">
        <f t="shared" ca="1" si="84"/>
        <v>#N/A</v>
      </c>
      <c r="AE168" s="377">
        <f t="shared" ca="1" si="63"/>
        <v>81.793710585891262</v>
      </c>
      <c r="AF168" s="344"/>
      <c r="AG168" s="359">
        <f t="shared" ca="1" si="85"/>
        <v>32.385378883226508</v>
      </c>
      <c r="AH168" s="357">
        <f t="shared" ca="1" si="86"/>
        <v>41.944834751831372</v>
      </c>
    </row>
    <row r="169" spans="1:34">
      <c r="A169" s="402">
        <f t="shared" ca="1" si="64"/>
        <v>0.01</v>
      </c>
      <c r="B169" s="357">
        <f t="shared" ca="1" si="65"/>
        <v>1.6500000000000012</v>
      </c>
      <c r="C169" s="342"/>
      <c r="D169" s="359">
        <f t="shared" ca="1" si="66"/>
        <v>9.1365857435230655</v>
      </c>
      <c r="E169" s="360">
        <f t="shared" ca="1" si="67"/>
        <v>29.793398547575059</v>
      </c>
      <c r="F169" s="357">
        <f t="shared" ca="1" si="68"/>
        <v>31.162859240823789</v>
      </c>
      <c r="G169" s="359">
        <f t="shared" ca="1" si="69"/>
        <v>20.395119508203837</v>
      </c>
      <c r="H169" s="360">
        <f t="shared" ca="1" si="70"/>
        <v>88.306482300495588</v>
      </c>
      <c r="I169" s="357">
        <f t="shared" ca="1" si="71"/>
        <v>90.631096848938427</v>
      </c>
      <c r="J169" s="359">
        <f t="shared" ca="1" si="72"/>
        <v>17.613491366487391</v>
      </c>
      <c r="K169" s="360">
        <f t="shared" ca="1" si="73"/>
        <v>82.675285738968839</v>
      </c>
      <c r="L169" s="357">
        <f t="shared" ca="1" si="58"/>
        <v>84.530692355720532</v>
      </c>
      <c r="M169" s="359">
        <f t="shared" ca="1" si="74"/>
        <v>1.3438179284961773</v>
      </c>
      <c r="N169" s="357">
        <f t="shared" ca="1" si="75"/>
        <v>76.995095736844007</v>
      </c>
      <c r="O169" s="343"/>
      <c r="P169" s="363">
        <f t="shared" ca="1" si="76"/>
        <v>10</v>
      </c>
      <c r="Q169" s="357">
        <f t="shared" ca="1" si="77"/>
        <v>26.223874999999932</v>
      </c>
      <c r="R169" s="359">
        <f t="shared" ca="1" si="78"/>
        <v>1.5095730682338266E-2</v>
      </c>
      <c r="S169" s="360">
        <f t="shared" ca="1" si="79"/>
        <v>0.43024345000285907</v>
      </c>
      <c r="T169" s="357">
        <f t="shared" ca="1" si="59"/>
        <v>4.2206882445280476</v>
      </c>
      <c r="U169" s="364">
        <f t="shared" ca="1" si="60"/>
        <v>0</v>
      </c>
      <c r="V169" s="359">
        <f t="shared" ca="1" si="61"/>
        <v>1.2149139707644274</v>
      </c>
      <c r="W169" s="357">
        <f t="shared" ca="1" si="62"/>
        <v>8.796678987318387</v>
      </c>
      <c r="X169" s="343"/>
      <c r="Y169" s="367" t="str">
        <f t="shared" ca="1" si="80"/>
        <v/>
      </c>
      <c r="Z169" s="368" t="str">
        <f t="shared" ca="1" si="81"/>
        <v/>
      </c>
      <c r="AA169" s="369" t="str">
        <f t="shared" ca="1" si="82"/>
        <v/>
      </c>
      <c r="AB169" s="344"/>
      <c r="AC169" s="363" t="e">
        <f t="shared" ca="1" si="83"/>
        <v>#N/A</v>
      </c>
      <c r="AD169" s="376" t="e">
        <f t="shared" ca="1" si="84"/>
        <v>#N/A</v>
      </c>
      <c r="AE169" s="377">
        <f t="shared" ca="1" si="63"/>
        <v>82.675285738968839</v>
      </c>
      <c r="AF169" s="344"/>
      <c r="AG169" s="359">
        <f t="shared" ca="1" si="85"/>
        <v>31.084732825549864</v>
      </c>
      <c r="AH169" s="357">
        <f t="shared" ca="1" si="86"/>
        <v>40.643651110189637</v>
      </c>
    </row>
    <row r="170" spans="1:34">
      <c r="A170" s="402">
        <f t="shared" ca="1" si="64"/>
        <v>0.01</v>
      </c>
      <c r="B170" s="357">
        <f t="shared" ca="1" si="65"/>
        <v>1.6600000000000013</v>
      </c>
      <c r="C170" s="342"/>
      <c r="D170" s="359">
        <f t="shared" ca="1" si="66"/>
        <v>8.8543561317617545</v>
      </c>
      <c r="E170" s="360">
        <f t="shared" ca="1" si="67"/>
        <v>28.527458268738748</v>
      </c>
      <c r="F170" s="357">
        <f t="shared" ca="1" si="68"/>
        <v>29.869976527990406</v>
      </c>
      <c r="G170" s="359">
        <f t="shared" ca="1" si="69"/>
        <v>20.483663069521455</v>
      </c>
      <c r="H170" s="360">
        <f t="shared" ca="1" si="70"/>
        <v>88.591756883182981</v>
      </c>
      <c r="I170" s="357">
        <f t="shared" ca="1" si="71"/>
        <v>90.928982400523296</v>
      </c>
      <c r="J170" s="359">
        <f t="shared" ca="1" si="72"/>
        <v>17.817885279376018</v>
      </c>
      <c r="K170" s="360">
        <f t="shared" ca="1" si="73"/>
        <v>83.559776934887225</v>
      </c>
      <c r="L170" s="357">
        <f t="shared" ca="1" si="58"/>
        <v>85.438359986818071</v>
      </c>
      <c r="M170" s="359">
        <f t="shared" ca="1" si="74"/>
        <v>1.343575146935291</v>
      </c>
      <c r="N170" s="357">
        <f t="shared" ca="1" si="75"/>
        <v>76.981185378061625</v>
      </c>
      <c r="O170" s="343"/>
      <c r="P170" s="363">
        <f t="shared" ca="1" si="76"/>
        <v>10</v>
      </c>
      <c r="Q170" s="357">
        <f t="shared" ca="1" si="77"/>
        <v>25.719499999999933</v>
      </c>
      <c r="R170" s="359">
        <f t="shared" ca="1" si="78"/>
        <v>1.4805388039883466E-2</v>
      </c>
      <c r="S170" s="360">
        <f t="shared" ca="1" si="79"/>
        <v>0.43009539612246023</v>
      </c>
      <c r="T170" s="357">
        <f t="shared" ca="1" si="59"/>
        <v>4.2192358359613351</v>
      </c>
      <c r="U170" s="364">
        <f t="shared" ca="1" si="60"/>
        <v>0</v>
      </c>
      <c r="V170" s="359">
        <f t="shared" ca="1" si="61"/>
        <v>1.2148065155896524</v>
      </c>
      <c r="W170" s="357">
        <f t="shared" ca="1" si="62"/>
        <v>8.8538165632269656</v>
      </c>
      <c r="X170" s="343"/>
      <c r="Y170" s="367" t="str">
        <f t="shared" ca="1" si="80"/>
        <v/>
      </c>
      <c r="Z170" s="368" t="str">
        <f t="shared" ca="1" si="81"/>
        <v/>
      </c>
      <c r="AA170" s="369" t="str">
        <f t="shared" ca="1" si="82"/>
        <v/>
      </c>
      <c r="AB170" s="344"/>
      <c r="AC170" s="363" t="e">
        <f t="shared" ca="1" si="83"/>
        <v>#N/A</v>
      </c>
      <c r="AD170" s="376" t="e">
        <f t="shared" ca="1" si="84"/>
        <v>#N/A</v>
      </c>
      <c r="AE170" s="377">
        <f t="shared" ca="1" si="63"/>
        <v>83.559776934887225</v>
      </c>
      <c r="AF170" s="344"/>
      <c r="AG170" s="359">
        <f t="shared" ca="1" si="85"/>
        <v>29.788287177654368</v>
      </c>
      <c r="AH170" s="357">
        <f t="shared" ca="1" si="86"/>
        <v>39.346668588526683</v>
      </c>
    </row>
    <row r="171" spans="1:34">
      <c r="A171" s="402">
        <f t="shared" ca="1" si="64"/>
        <v>0.01</v>
      </c>
      <c r="B171" s="357">
        <f t="shared" ca="1" si="65"/>
        <v>1.6700000000000013</v>
      </c>
      <c r="C171" s="342"/>
      <c r="D171" s="359">
        <f t="shared" ca="1" si="66"/>
        <v>8.4392078147209322</v>
      </c>
      <c r="E171" s="360">
        <f t="shared" ca="1" si="67"/>
        <v>26.689538411216475</v>
      </c>
      <c r="F171" s="357">
        <f t="shared" ca="1" si="68"/>
        <v>27.991993304226238</v>
      </c>
      <c r="G171" s="359">
        <f t="shared" ca="1" si="69"/>
        <v>20.568055147668666</v>
      </c>
      <c r="H171" s="360">
        <f t="shared" ca="1" si="70"/>
        <v>88.858652267295142</v>
      </c>
      <c r="I171" s="357">
        <f t="shared" ca="1" si="71"/>
        <v>91.20803130929653</v>
      </c>
      <c r="J171" s="359">
        <f t="shared" ca="1" si="72"/>
        <v>18.023143870461968</v>
      </c>
      <c r="K171" s="360">
        <f t="shared" ca="1" si="73"/>
        <v>84.447028980639615</v>
      </c>
      <c r="L171" s="357">
        <f t="shared" ca="1" si="58"/>
        <v>86.348910929046227</v>
      </c>
      <c r="M171" s="359">
        <f t="shared" ca="1" si="74"/>
        <v>1.343332853737029</v>
      </c>
      <c r="N171" s="357">
        <f t="shared" ca="1" si="75"/>
        <v>76.967303000396484</v>
      </c>
      <c r="O171" s="343"/>
      <c r="P171" s="363">
        <f t="shared" ca="1" si="76"/>
        <v>11</v>
      </c>
      <c r="Q171" s="357">
        <f t="shared" ca="1" si="77"/>
        <v>24.960868852458777</v>
      </c>
      <c r="R171" s="359">
        <f t="shared" ca="1" si="78"/>
        <v>1.4368683262633171E-2</v>
      </c>
      <c r="S171" s="360">
        <f t="shared" ca="1" si="79"/>
        <v>0.42995170928983389</v>
      </c>
      <c r="T171" s="357">
        <f t="shared" ca="1" si="59"/>
        <v>4.2178262681332708</v>
      </c>
      <c r="U171" s="364">
        <f t="shared" ca="1" si="60"/>
        <v>0</v>
      </c>
      <c r="V171" s="359">
        <f t="shared" ca="1" si="61"/>
        <v>1.2146987345131268</v>
      </c>
      <c r="W171" s="357">
        <f t="shared" ca="1" si="62"/>
        <v>8.9074519457060699</v>
      </c>
      <c r="X171" s="343"/>
      <c r="Y171" s="367" t="str">
        <f t="shared" ca="1" si="80"/>
        <v/>
      </c>
      <c r="Z171" s="368" t="str">
        <f t="shared" ca="1" si="81"/>
        <v/>
      </c>
      <c r="AA171" s="369" t="str">
        <f t="shared" ca="1" si="82"/>
        <v/>
      </c>
      <c r="AB171" s="344"/>
      <c r="AC171" s="363" t="e">
        <f t="shared" ca="1" si="83"/>
        <v>#N/A</v>
      </c>
      <c r="AD171" s="376" t="e">
        <f t="shared" ca="1" si="84"/>
        <v>#N/A</v>
      </c>
      <c r="AE171" s="377">
        <f t="shared" ca="1" si="63"/>
        <v>84.447028980639615</v>
      </c>
      <c r="AF171" s="344"/>
      <c r="AG171" s="359">
        <f t="shared" ca="1" si="85"/>
        <v>27.904623154417678</v>
      </c>
      <c r="AH171" s="357">
        <f t="shared" ca="1" si="86"/>
        <v>37.462468321934075</v>
      </c>
    </row>
    <row r="172" spans="1:34">
      <c r="A172" s="402">
        <f t="shared" ca="1" si="64"/>
        <v>0.01</v>
      </c>
      <c r="B172" s="357">
        <f t="shared" ca="1" si="65"/>
        <v>1.6800000000000013</v>
      </c>
      <c r="C172" s="342"/>
      <c r="D172" s="359">
        <f t="shared" ca="1" si="66"/>
        <v>7.4909243953185403</v>
      </c>
      <c r="E172" s="360">
        <f t="shared" ca="1" si="67"/>
        <v>22.552488394030576</v>
      </c>
      <c r="F172" s="357">
        <f t="shared" ca="1" si="68"/>
        <v>23.764020725863336</v>
      </c>
      <c r="G172" s="359">
        <f t="shared" ca="1" si="69"/>
        <v>20.642964391621852</v>
      </c>
      <c r="H172" s="360">
        <f t="shared" ca="1" si="70"/>
        <v>89.084177151235451</v>
      </c>
      <c r="I172" s="357">
        <f t="shared" ca="1" si="71"/>
        <v>91.44464225741423</v>
      </c>
      <c r="J172" s="359">
        <f t="shared" ca="1" si="72"/>
        <v>18.229198968158421</v>
      </c>
      <c r="K172" s="360">
        <f t="shared" ca="1" si="73"/>
        <v>85.336743127732262</v>
      </c>
      <c r="L172" s="357">
        <f t="shared" ca="1" si="58"/>
        <v>87.262038840891563</v>
      </c>
      <c r="M172" s="359">
        <f t="shared" ca="1" si="74"/>
        <v>1.3430909342278443</v>
      </c>
      <c r="N172" s="357">
        <f t="shared" ca="1" si="75"/>
        <v>76.953442033538323</v>
      </c>
      <c r="O172" s="343"/>
      <c r="P172" s="363">
        <f t="shared" ca="1" si="76"/>
        <v>11</v>
      </c>
      <c r="Q172" s="357">
        <f t="shared" ca="1" si="77"/>
        <v>23.185213114753857</v>
      </c>
      <c r="R172" s="359">
        <f t="shared" ca="1" si="78"/>
        <v>1.33465299462014E-2</v>
      </c>
      <c r="S172" s="360">
        <f t="shared" ca="1" si="79"/>
        <v>0.42981824399037188</v>
      </c>
      <c r="T172" s="357">
        <f t="shared" ca="1" si="59"/>
        <v>4.2165169735455486</v>
      </c>
      <c r="U172" s="364">
        <f t="shared" ca="1" si="60"/>
        <v>0</v>
      </c>
      <c r="V172" s="359">
        <f t="shared" ca="1" si="61"/>
        <v>1.2145906639088597</v>
      </c>
      <c r="W172" s="357">
        <f t="shared" ca="1" si="62"/>
        <v>8.952930529247924</v>
      </c>
      <c r="X172" s="343"/>
      <c r="Y172" s="367" t="str">
        <f t="shared" ca="1" si="80"/>
        <v/>
      </c>
      <c r="Z172" s="368" t="str">
        <f t="shared" ca="1" si="81"/>
        <v/>
      </c>
      <c r="AA172" s="369" t="str">
        <f t="shared" ca="1" si="82"/>
        <v/>
      </c>
      <c r="AB172" s="344"/>
      <c r="AC172" s="363" t="e">
        <f t="shared" ca="1" si="83"/>
        <v>#N/A</v>
      </c>
      <c r="AD172" s="376" t="e">
        <f t="shared" ca="1" si="84"/>
        <v>#N/A</v>
      </c>
      <c r="AE172" s="377">
        <f t="shared" ca="1" si="63"/>
        <v>85.336743127732262</v>
      </c>
      <c r="AF172" s="344"/>
      <c r="AG172" s="359">
        <f t="shared" ca="1" si="85"/>
        <v>23.66082722166307</v>
      </c>
      <c r="AH172" s="357">
        <f t="shared" ca="1" si="86"/>
        <v>33.218136662825358</v>
      </c>
    </row>
    <row r="173" spans="1:34">
      <c r="A173" s="402">
        <f t="shared" ca="1" si="64"/>
        <v>0.01</v>
      </c>
      <c r="B173" s="357">
        <f t="shared" ca="1" si="65"/>
        <v>1.6900000000000013</v>
      </c>
      <c r="C173" s="342"/>
      <c r="D173" s="359">
        <f t="shared" ca="1" si="66"/>
        <v>6.5441606577529372</v>
      </c>
      <c r="E173" s="360">
        <f t="shared" ca="1" si="67"/>
        <v>18.431155498868996</v>
      </c>
      <c r="F173" s="357">
        <f t="shared" ca="1" si="68"/>
        <v>19.55846445245562</v>
      </c>
      <c r="G173" s="359">
        <f t="shared" ca="1" si="69"/>
        <v>20.708405998199382</v>
      </c>
      <c r="H173" s="360">
        <f t="shared" ca="1" si="70"/>
        <v>89.268488706224147</v>
      </c>
      <c r="I173" s="357">
        <f t="shared" ca="1" si="71"/>
        <v>91.638971812649274</v>
      </c>
      <c r="J173" s="359">
        <f t="shared" ca="1" si="72"/>
        <v>18.435955820107527</v>
      </c>
      <c r="K173" s="360">
        <f t="shared" ca="1" si="73"/>
        <v>86.228506457019563</v>
      </c>
      <c r="L173" s="357">
        <f t="shared" ca="1" si="58"/>
        <v>88.177320172532021</v>
      </c>
      <c r="M173" s="359">
        <f t="shared" ca="1" si="74"/>
        <v>1.3428492754348358</v>
      </c>
      <c r="N173" s="357">
        <f t="shared" ca="1" si="75"/>
        <v>76.939596004616703</v>
      </c>
      <c r="O173" s="343"/>
      <c r="P173" s="363">
        <f t="shared" ca="1" si="76"/>
        <v>11</v>
      </c>
      <c r="Q173" s="357">
        <f t="shared" ca="1" si="77"/>
        <v>21.409557377048934</v>
      </c>
      <c r="R173" s="359">
        <f t="shared" ca="1" si="78"/>
        <v>1.2324376629769627E-2</v>
      </c>
      <c r="S173" s="360">
        <f t="shared" ca="1" si="79"/>
        <v>0.4296950002240742</v>
      </c>
      <c r="T173" s="357">
        <f t="shared" ca="1" si="59"/>
        <v>4.2153079521981685</v>
      </c>
      <c r="U173" s="364">
        <f t="shared" ca="1" si="60"/>
        <v>0</v>
      </c>
      <c r="V173" s="359">
        <f t="shared" ca="1" si="61"/>
        <v>1.2144823540042977</v>
      </c>
      <c r="W173" s="357">
        <f t="shared" ca="1" si="62"/>
        <v>8.990221048156231</v>
      </c>
      <c r="X173" s="343"/>
      <c r="Y173" s="367" t="str">
        <f t="shared" ca="1" si="80"/>
        <v/>
      </c>
      <c r="Z173" s="368" t="str">
        <f t="shared" ca="1" si="81"/>
        <v/>
      </c>
      <c r="AA173" s="369" t="str">
        <f t="shared" ca="1" si="82"/>
        <v/>
      </c>
      <c r="AB173" s="344"/>
      <c r="AC173" s="363" t="e">
        <f t="shared" ca="1" si="83"/>
        <v>#N/A</v>
      </c>
      <c r="AD173" s="376" t="e">
        <f t="shared" ca="1" si="84"/>
        <v>#N/A</v>
      </c>
      <c r="AE173" s="377">
        <f t="shared" ca="1" si="63"/>
        <v>86.228506457019563</v>
      </c>
      <c r="AF173" s="344"/>
      <c r="AG173" s="359">
        <f t="shared" ca="1" si="85"/>
        <v>19.432687942416671</v>
      </c>
      <c r="AH173" s="357">
        <f t="shared" ca="1" si="86"/>
        <v>28.989461923702205</v>
      </c>
    </row>
    <row r="174" spans="1:34">
      <c r="A174" s="402">
        <f t="shared" ca="1" si="64"/>
        <v>0.01</v>
      </c>
      <c r="B174" s="357">
        <f t="shared" ca="1" si="65"/>
        <v>1.7000000000000013</v>
      </c>
      <c r="C174" s="342"/>
      <c r="D174" s="359">
        <f t="shared" ca="1" si="66"/>
        <v>5.5990228906379942</v>
      </c>
      <c r="E174" s="360">
        <f t="shared" ca="1" si="67"/>
        <v>14.325914262172935</v>
      </c>
      <c r="F174" s="357">
        <f t="shared" ca="1" si="68"/>
        <v>15.381185805295317</v>
      </c>
      <c r="G174" s="359">
        <f t="shared" ca="1" si="69"/>
        <v>20.764396227105763</v>
      </c>
      <c r="H174" s="360">
        <f t="shared" ca="1" si="70"/>
        <v>89.411747848845877</v>
      </c>
      <c r="I174" s="357">
        <f t="shared" ca="1" si="71"/>
        <v>91.791180426345093</v>
      </c>
      <c r="J174" s="359">
        <f t="shared" ca="1" si="72"/>
        <v>18.643319831234052</v>
      </c>
      <c r="K174" s="360">
        <f t="shared" ca="1" si="73"/>
        <v>87.121907639794912</v>
      </c>
      <c r="L174" s="357">
        <f t="shared" ca="1" si="58"/>
        <v>89.094332957414522</v>
      </c>
      <c r="M174" s="359">
        <f t="shared" ca="1" si="74"/>
        <v>1.3426077657673976</v>
      </c>
      <c r="N174" s="357">
        <f t="shared" ca="1" si="75"/>
        <v>76.925758519960894</v>
      </c>
      <c r="O174" s="343"/>
      <c r="P174" s="363">
        <f t="shared" ca="1" si="76"/>
        <v>11</v>
      </c>
      <c r="Q174" s="357">
        <f t="shared" ca="1" si="77"/>
        <v>19.633901639344014</v>
      </c>
      <c r="R174" s="359">
        <f t="shared" ca="1" si="78"/>
        <v>1.1302223313337856E-2</v>
      </c>
      <c r="S174" s="360">
        <f t="shared" ca="1" si="79"/>
        <v>0.42958197799094083</v>
      </c>
      <c r="T174" s="357">
        <f t="shared" ca="1" si="59"/>
        <v>4.2141992040911296</v>
      </c>
      <c r="U174" s="364">
        <f t="shared" ca="1" si="60"/>
        <v>0</v>
      </c>
      <c r="V174" s="359">
        <f t="shared" ca="1" si="61"/>
        <v>1.2143738548160894</v>
      </c>
      <c r="W174" s="357">
        <f t="shared" ca="1" si="62"/>
        <v>9.0193047980850736</v>
      </c>
      <c r="X174" s="343"/>
      <c r="Y174" s="367" t="str">
        <f t="shared" ca="1" si="80"/>
        <v/>
      </c>
      <c r="Z174" s="368" t="str">
        <f t="shared" ca="1" si="81"/>
        <v/>
      </c>
      <c r="AA174" s="369" t="str">
        <f t="shared" ca="1" si="82"/>
        <v/>
      </c>
      <c r="AB174" s="344"/>
      <c r="AC174" s="363" t="e">
        <f t="shared" ca="1" si="83"/>
        <v>#N/A</v>
      </c>
      <c r="AD174" s="376" t="e">
        <f t="shared" ca="1" si="84"/>
        <v>#N/A</v>
      </c>
      <c r="AE174" s="377">
        <f t="shared" ca="1" si="63"/>
        <v>87.121907639794912</v>
      </c>
      <c r="AF174" s="344"/>
      <c r="AG174" s="359">
        <f t="shared" ca="1" si="85"/>
        <v>15.220593674744114</v>
      </c>
      <c r="AH174" s="357">
        <f t="shared" ca="1" si="86"/>
        <v>24.776832214810092</v>
      </c>
    </row>
    <row r="175" spans="1:34">
      <c r="A175" s="402">
        <f t="shared" ca="1" si="64"/>
        <v>0.01</v>
      </c>
      <c r="B175" s="357">
        <f t="shared" ca="1" si="65"/>
        <v>1.7100000000000013</v>
      </c>
      <c r="C175" s="342"/>
      <c r="D175" s="359">
        <f t="shared" ca="1" si="66"/>
        <v>4.6556087976999487</v>
      </c>
      <c r="E175" s="360">
        <f t="shared" ca="1" si="67"/>
        <v>10.237109260967772</v>
      </c>
      <c r="F175" s="357">
        <f t="shared" ca="1" si="68"/>
        <v>11.246025933555964</v>
      </c>
      <c r="G175" s="359">
        <f t="shared" ca="1" si="69"/>
        <v>20.810952315082762</v>
      </c>
      <c r="H175" s="360">
        <f t="shared" ca="1" si="70"/>
        <v>89.51411894145555</v>
      </c>
      <c r="I175" s="357">
        <f t="shared" ca="1" si="71"/>
        <v>91.901432122278152</v>
      </c>
      <c r="J175" s="359">
        <f t="shared" ca="1" si="72"/>
        <v>18.851196573944996</v>
      </c>
      <c r="K175" s="360">
        <f t="shared" ca="1" si="73"/>
        <v>88.016536973746426</v>
      </c>
      <c r="L175" s="357">
        <f t="shared" ca="1" si="58"/>
        <v>90.012656849580807</v>
      </c>
      <c r="M175" s="359">
        <f t="shared" ca="1" si="74"/>
        <v>1.3423662947093369</v>
      </c>
      <c r="N175" s="357">
        <f t="shared" ca="1" si="75"/>
        <v>76.911923247459455</v>
      </c>
      <c r="O175" s="343"/>
      <c r="P175" s="363">
        <f t="shared" ca="1" si="76"/>
        <v>11</v>
      </c>
      <c r="Q175" s="357">
        <f t="shared" ca="1" si="77"/>
        <v>17.858245901639094</v>
      </c>
      <c r="R175" s="359">
        <f t="shared" ca="1" si="78"/>
        <v>1.0280069996906085E-2</v>
      </c>
      <c r="S175" s="360">
        <f t="shared" ca="1" si="79"/>
        <v>0.42947917729097179</v>
      </c>
      <c r="T175" s="357">
        <f t="shared" ca="1" si="59"/>
        <v>4.2131907292244337</v>
      </c>
      <c r="U175" s="364">
        <f t="shared" ca="1" si="60"/>
        <v>0</v>
      </c>
      <c r="V175" s="359">
        <f t="shared" ca="1" si="61"/>
        <v>1.2142652161457168</v>
      </c>
      <c r="W175" s="357">
        <f t="shared" ca="1" si="62"/>
        <v>9.0401754289699987</v>
      </c>
      <c r="X175" s="343"/>
      <c r="Y175" s="367" t="str">
        <f t="shared" ca="1" si="80"/>
        <v/>
      </c>
      <c r="Z175" s="368" t="str">
        <f t="shared" ca="1" si="81"/>
        <v/>
      </c>
      <c r="AA175" s="369" t="str">
        <f t="shared" ca="1" si="82"/>
        <v/>
      </c>
      <c r="AB175" s="344"/>
      <c r="AC175" s="363" t="e">
        <f t="shared" ca="1" si="83"/>
        <v>#N/A</v>
      </c>
      <c r="AD175" s="376" t="e">
        <f t="shared" ca="1" si="84"/>
        <v>#N/A</v>
      </c>
      <c r="AE175" s="377">
        <f t="shared" ca="1" si="63"/>
        <v>88.016536973746426</v>
      </c>
      <c r="AF175" s="344"/>
      <c r="AG175" s="359">
        <f t="shared" ca="1" si="85"/>
        <v>11.024901662623401</v>
      </c>
      <c r="AH175" s="357">
        <f t="shared" ca="1" si="86"/>
        <v>20.580604534327971</v>
      </c>
    </row>
    <row r="176" spans="1:34">
      <c r="A176" s="402">
        <f t="shared" ca="1" si="64"/>
        <v>0.01</v>
      </c>
      <c r="B176" s="357">
        <f t="shared" ca="1" si="65"/>
        <v>1.7200000000000013</v>
      </c>
      <c r="C176" s="342"/>
      <c r="D176" s="359">
        <f t="shared" ca="1" si="66"/>
        <v>3.7140075925071625</v>
      </c>
      <c r="E176" s="360">
        <f t="shared" ca="1" si="67"/>
        <v>6.1650554588608202</v>
      </c>
      <c r="F176" s="357">
        <f t="shared" ca="1" si="68"/>
        <v>7.197344038465193</v>
      </c>
      <c r="G176" s="359">
        <f t="shared" ca="1" si="69"/>
        <v>20.848092391007835</v>
      </c>
      <c r="H176" s="360">
        <f t="shared" ca="1" si="70"/>
        <v>89.57576949604416</v>
      </c>
      <c r="I176" s="357">
        <f t="shared" ca="1" si="71"/>
        <v>91.969894189090127</v>
      </c>
      <c r="J176" s="359">
        <f t="shared" ca="1" si="72"/>
        <v>19.059491797475449</v>
      </c>
      <c r="K176" s="360">
        <f t="shared" ca="1" si="73"/>
        <v>88.911986415933924</v>
      </c>
      <c r="L176" s="357">
        <f t="shared" ca="1" si="58"/>
        <v>90.931873157904604</v>
      </c>
      <c r="M176" s="359">
        <f t="shared" ca="1" si="74"/>
        <v>1.3421247525192788</v>
      </c>
      <c r="N176" s="357">
        <f t="shared" ca="1" si="75"/>
        <v>76.898083899394777</v>
      </c>
      <c r="O176" s="343"/>
      <c r="P176" s="363">
        <f t="shared" ca="1" si="76"/>
        <v>11</v>
      </c>
      <c r="Q176" s="357">
        <f t="shared" ca="1" si="77"/>
        <v>16.082590163934171</v>
      </c>
      <c r="R176" s="359">
        <f t="shared" ca="1" si="78"/>
        <v>9.257916680474312E-3</v>
      </c>
      <c r="S176" s="360">
        <f t="shared" ca="1" si="79"/>
        <v>0.42938659812416707</v>
      </c>
      <c r="T176" s="357">
        <f t="shared" ca="1" si="59"/>
        <v>4.2122825275980791</v>
      </c>
      <c r="U176" s="364">
        <f t="shared" ca="1" si="60"/>
        <v>0</v>
      </c>
      <c r="V176" s="359">
        <f t="shared" ca="1" si="61"/>
        <v>1.2141564875755175</v>
      </c>
      <c r="W176" s="357">
        <f t="shared" ca="1" si="62"/>
        <v>9.0528387337895335</v>
      </c>
      <c r="X176" s="343"/>
      <c r="Y176" s="367" t="str">
        <f t="shared" ca="1" si="80"/>
        <v/>
      </c>
      <c r="Z176" s="368" t="str">
        <f t="shared" ca="1" si="81"/>
        <v/>
      </c>
      <c r="AA176" s="369" t="str">
        <f t="shared" ca="1" si="82"/>
        <v/>
      </c>
      <c r="AB176" s="344"/>
      <c r="AC176" s="363" t="e">
        <f t="shared" ca="1" si="83"/>
        <v>#N/A</v>
      </c>
      <c r="AD176" s="376" t="e">
        <f t="shared" ca="1" si="84"/>
        <v>#N/A</v>
      </c>
      <c r="AE176" s="377">
        <f t="shared" ca="1" si="63"/>
        <v>88.911986415933924</v>
      </c>
      <c r="AF176" s="344"/>
      <c r="AG176" s="359">
        <f t="shared" ca="1" si="85"/>
        <v>6.8459383929246123</v>
      </c>
      <c r="AH176" s="357">
        <f t="shared" ca="1" si="86"/>
        <v>16.401105124682292</v>
      </c>
    </row>
    <row r="177" spans="1:34">
      <c r="A177" s="402">
        <f t="shared" ca="1" si="64"/>
        <v>0.01</v>
      </c>
      <c r="B177" s="357">
        <f t="shared" ca="1" si="65"/>
        <v>1.7300000000000013</v>
      </c>
      <c r="C177" s="342"/>
      <c r="D177" s="359">
        <f t="shared" ca="1" si="66"/>
        <v>2.7743000913922322</v>
      </c>
      <c r="E177" s="360">
        <f t="shared" ca="1" si="67"/>
        <v>2.1100385742050829</v>
      </c>
      <c r="F177" s="357">
        <f t="shared" ca="1" si="68"/>
        <v>3.4855421072958461</v>
      </c>
      <c r="G177" s="359">
        <f t="shared" ca="1" si="69"/>
        <v>20.875835391921758</v>
      </c>
      <c r="H177" s="360">
        <f t="shared" ca="1" si="70"/>
        <v>89.596869881786205</v>
      </c>
      <c r="I177" s="357">
        <f t="shared" ca="1" si="71"/>
        <v>91.996736876501998</v>
      </c>
      <c r="J177" s="359">
        <f t="shared" ca="1" si="72"/>
        <v>19.268111436390097</v>
      </c>
      <c r="K177" s="360">
        <f t="shared" ca="1" si="73"/>
        <v>89.807849612823077</v>
      </c>
      <c r="L177" s="357">
        <f t="shared" ca="1" si="58"/>
        <v>91.851564877276815</v>
      </c>
      <c r="M177" s="359">
        <f t="shared" ca="1" si="74"/>
        <v>1.3418830299372813</v>
      </c>
      <c r="N177" s="357">
        <f t="shared" ca="1" si="75"/>
        <v>76.884234215633313</v>
      </c>
      <c r="O177" s="343"/>
      <c r="P177" s="363">
        <f t="shared" ca="1" si="76"/>
        <v>11</v>
      </c>
      <c r="Q177" s="357">
        <f t="shared" ca="1" si="77"/>
        <v>14.306934426229251</v>
      </c>
      <c r="R177" s="359">
        <f t="shared" ca="1" si="78"/>
        <v>8.2357633640425393E-3</v>
      </c>
      <c r="S177" s="360">
        <f t="shared" ca="1" si="79"/>
        <v>0.42930424049052662</v>
      </c>
      <c r="T177" s="357">
        <f t="shared" ca="1" si="59"/>
        <v>4.2114745992120666</v>
      </c>
      <c r="U177" s="364">
        <f t="shared" ca="1" si="60"/>
        <v>0</v>
      </c>
      <c r="V177" s="359">
        <f t="shared" ca="1" si="61"/>
        <v>1.2140477184650798</v>
      </c>
      <c r="W177" s="357">
        <f t="shared" ca="1" si="62"/>
        <v>9.0573124338515196</v>
      </c>
      <c r="X177" s="343"/>
      <c r="Y177" s="367" t="str">
        <f t="shared" ca="1" si="80"/>
        <v/>
      </c>
      <c r="Z177" s="368" t="str">
        <f t="shared" ca="1" si="81"/>
        <v/>
      </c>
      <c r="AA177" s="369" t="str">
        <f t="shared" ca="1" si="82"/>
        <v/>
      </c>
      <c r="AB177" s="344"/>
      <c r="AC177" s="363" t="e">
        <f t="shared" ca="1" si="83"/>
        <v>#N/A</v>
      </c>
      <c r="AD177" s="376" t="e">
        <f t="shared" ca="1" si="84"/>
        <v>#N/A</v>
      </c>
      <c r="AE177" s="377">
        <f t="shared" ca="1" si="63"/>
        <v>89.807849612823077</v>
      </c>
      <c r="AF177" s="344"/>
      <c r="AG177" s="359">
        <f t="shared" ca="1" si="85"/>
        <v>2.6839999736105487</v>
      </c>
      <c r="AH177" s="357">
        <f t="shared" ca="1" si="86"/>
        <v>12.238629850094989</v>
      </c>
    </row>
    <row r="178" spans="1:34">
      <c r="A178" s="402">
        <f t="shared" ca="1" si="64"/>
        <v>0.01</v>
      </c>
      <c r="B178" s="357">
        <f t="shared" ca="1" si="65"/>
        <v>1.7400000000000013</v>
      </c>
      <c r="C178" s="342"/>
      <c r="D178" s="359">
        <f t="shared" ca="1" si="66"/>
        <v>1.8365588044315915</v>
      </c>
      <c r="E178" s="360">
        <f t="shared" ca="1" si="67"/>
        <v>-1.9276845313418507</v>
      </c>
      <c r="F178" s="357">
        <f t="shared" ca="1" si="68"/>
        <v>2.6625018111749421</v>
      </c>
      <c r="G178" s="359">
        <f t="shared" ca="1" si="69"/>
        <v>20.894200979966072</v>
      </c>
      <c r="H178" s="360">
        <f t="shared" ca="1" si="70"/>
        <v>89.577593036472791</v>
      </c>
      <c r="I178" s="357">
        <f t="shared" ca="1" si="71"/>
        <v>91.982133095504764</v>
      </c>
      <c r="J178" s="359">
        <f t="shared" ca="1" si="72"/>
        <v>19.476961618249536</v>
      </c>
      <c r="K178" s="360">
        <f t="shared" ca="1" si="73"/>
        <v>90.703721927414378</v>
      </c>
      <c r="L178" s="357">
        <f t="shared" ca="1" si="58"/>
        <v>92.771316716776624</v>
      </c>
      <c r="M178" s="359">
        <f t="shared" ca="1" si="74"/>
        <v>1.3416410178956721</v>
      </c>
      <c r="N178" s="357">
        <f t="shared" ca="1" si="75"/>
        <v>76.870367947057773</v>
      </c>
      <c r="O178" s="343"/>
      <c r="P178" s="363">
        <f t="shared" ca="1" si="76"/>
        <v>11</v>
      </c>
      <c r="Q178" s="357">
        <f t="shared" ca="1" si="77"/>
        <v>12.531278688524329</v>
      </c>
      <c r="R178" s="359">
        <f t="shared" ca="1" si="78"/>
        <v>7.2136100476107674E-3</v>
      </c>
      <c r="S178" s="360">
        <f t="shared" ca="1" si="79"/>
        <v>0.4292321043900505</v>
      </c>
      <c r="T178" s="357">
        <f t="shared" ca="1" si="59"/>
        <v>4.2107669440663953</v>
      </c>
      <c r="U178" s="364">
        <f t="shared" ca="1" si="60"/>
        <v>0</v>
      </c>
      <c r="V178" s="359">
        <f t="shared" ca="1" si="61"/>
        <v>1.2139389579480175</v>
      </c>
      <c r="W178" s="357">
        <f t="shared" ca="1" si="62"/>
        <v>9.0536259612799395</v>
      </c>
      <c r="X178" s="343"/>
      <c r="Y178" s="367" t="str">
        <f t="shared" ca="1" si="80"/>
        <v/>
      </c>
      <c r="Z178" s="368" t="str">
        <f t="shared" ca="1" si="81"/>
        <v/>
      </c>
      <c r="AA178" s="369" t="str">
        <f t="shared" ca="1" si="82"/>
        <v/>
      </c>
      <c r="AB178" s="344"/>
      <c r="AC178" s="363" t="e">
        <f t="shared" ca="1" si="83"/>
        <v>#N/A</v>
      </c>
      <c r="AD178" s="376" t="e">
        <f t="shared" ca="1" si="84"/>
        <v>#N/A</v>
      </c>
      <c r="AE178" s="377">
        <f t="shared" ca="1" si="63"/>
        <v>90.703721927414378</v>
      </c>
      <c r="AF178" s="344"/>
      <c r="AG178" s="359">
        <f t="shared" ca="1" si="85"/>
        <v>-1.4606474686081121</v>
      </c>
      <c r="AH178" s="357">
        <f t="shared" ca="1" si="86"/>
        <v>8.0934445935944197</v>
      </c>
    </row>
    <row r="179" spans="1:34">
      <c r="A179" s="402">
        <f t="shared" ca="1" si="64"/>
        <v>0.01</v>
      </c>
      <c r="B179" s="357">
        <f t="shared" ca="1" si="65"/>
        <v>1.7500000000000013</v>
      </c>
      <c r="C179" s="342"/>
      <c r="D179" s="359">
        <f t="shared" ca="1" si="66"/>
        <v>0.90084802428850463</v>
      </c>
      <c r="E179" s="360">
        <f t="shared" ca="1" si="67"/>
        <v>-5.9478854455932737</v>
      </c>
      <c r="F179" s="357">
        <f t="shared" ca="1" si="68"/>
        <v>6.0157184472650309</v>
      </c>
      <c r="G179" s="359">
        <f t="shared" ca="1" si="69"/>
        <v>20.903209460208956</v>
      </c>
      <c r="H179" s="360">
        <f t="shared" ca="1" si="70"/>
        <v>89.518114182016859</v>
      </c>
      <c r="I179" s="357">
        <f t="shared" ca="1" si="71"/>
        <v>91.926258122703857</v>
      </c>
      <c r="J179" s="359">
        <f t="shared" ca="1" si="72"/>
        <v>19.685948670450411</v>
      </c>
      <c r="K179" s="360">
        <f t="shared" ca="1" si="73"/>
        <v>91.599200463506833</v>
      </c>
      <c r="L179" s="357">
        <f t="shared" ca="1" si="58"/>
        <v>93.690715124868802</v>
      </c>
      <c r="M179" s="359">
        <f t="shared" ca="1" si="74"/>
        <v>1.3413986072321777</v>
      </c>
      <c r="N179" s="357">
        <f t="shared" ca="1" si="75"/>
        <v>76.856478839130574</v>
      </c>
      <c r="O179" s="343"/>
      <c r="P179" s="363">
        <f t="shared" ca="1" si="76"/>
        <v>11</v>
      </c>
      <c r="Q179" s="357">
        <f t="shared" ca="1" si="77"/>
        <v>10.755622950819408</v>
      </c>
      <c r="R179" s="359">
        <f t="shared" ca="1" si="78"/>
        <v>6.1914567311789955E-3</v>
      </c>
      <c r="S179" s="360">
        <f t="shared" ca="1" si="79"/>
        <v>0.42917018982273869</v>
      </c>
      <c r="T179" s="357">
        <f t="shared" ca="1" si="59"/>
        <v>4.210159562161067</v>
      </c>
      <c r="U179" s="364">
        <f t="shared" ca="1" si="60"/>
        <v>0</v>
      </c>
      <c r="V179" s="359">
        <f t="shared" ca="1" si="61"/>
        <v>1.213830254929114</v>
      </c>
      <c r="W179" s="357">
        <f t="shared" ca="1" si="62"/>
        <v>9.0418202393580689</v>
      </c>
      <c r="X179" s="343"/>
      <c r="Y179" s="367" t="str">
        <f t="shared" ca="1" si="80"/>
        <v/>
      </c>
      <c r="Z179" s="368" t="str">
        <f t="shared" ca="1" si="81"/>
        <v/>
      </c>
      <c r="AA179" s="369" t="str">
        <f t="shared" ca="1" si="82"/>
        <v/>
      </c>
      <c r="AB179" s="344"/>
      <c r="AC179" s="363" t="e">
        <f t="shared" ca="1" si="83"/>
        <v>#N/A</v>
      </c>
      <c r="AD179" s="376" t="e">
        <f t="shared" ca="1" si="84"/>
        <v>#N/A</v>
      </c>
      <c r="AE179" s="377">
        <f t="shared" ca="1" si="63"/>
        <v>91.599200463506833</v>
      </c>
      <c r="AF179" s="344"/>
      <c r="AG179" s="359">
        <f t="shared" ca="1" si="85"/>
        <v>-5.5877673729023662</v>
      </c>
      <c r="AH179" s="357">
        <f t="shared" ca="1" si="86"/>
        <v>3.9657856717458611</v>
      </c>
    </row>
    <row r="180" spans="1:34">
      <c r="A180" s="402">
        <f t="shared" ca="1" si="64"/>
        <v>0.01</v>
      </c>
      <c r="B180" s="357">
        <f t="shared" ca="1" si="65"/>
        <v>1.7600000000000013</v>
      </c>
      <c r="C180" s="342"/>
      <c r="D180" s="359">
        <f t="shared" ca="1" si="66"/>
        <v>-3.2776087329490403E-2</v>
      </c>
      <c r="E180" s="360">
        <f t="shared" ca="1" si="67"/>
        <v>-9.9503637816281909</v>
      </c>
      <c r="F180" s="357">
        <f t="shared" ca="1" si="68"/>
        <v>9.9504177630207415</v>
      </c>
      <c r="G180" s="359">
        <f t="shared" ca="1" si="69"/>
        <v>20.902881699335662</v>
      </c>
      <c r="H180" s="360">
        <f t="shared" ca="1" si="70"/>
        <v>89.418610544200575</v>
      </c>
      <c r="I180" s="357">
        <f t="shared" ca="1" si="71"/>
        <v>91.829289308977238</v>
      </c>
      <c r="J180" s="359">
        <f t="shared" ca="1" si="72"/>
        <v>19.894979126248135</v>
      </c>
      <c r="K180" s="360">
        <f t="shared" ca="1" si="73"/>
        <v>92.493884087137914</v>
      </c>
      <c r="L180" s="357">
        <f t="shared" ca="1" si="58"/>
        <v>94.609348311669251</v>
      </c>
      <c r="M180" s="359">
        <f t="shared" ca="1" si="74"/>
        <v>1.3411556884034526</v>
      </c>
      <c r="N180" s="357">
        <f t="shared" ca="1" si="75"/>
        <v>76.842560615480352</v>
      </c>
      <c r="O180" s="343"/>
      <c r="P180" s="363">
        <f t="shared" ca="1" si="76"/>
        <v>11</v>
      </c>
      <c r="Q180" s="357">
        <f t="shared" ca="1" si="77"/>
        <v>8.9799672131144881</v>
      </c>
      <c r="R180" s="359">
        <f t="shared" ca="1" si="78"/>
        <v>5.1693034147472245E-3</v>
      </c>
      <c r="S180" s="360">
        <f t="shared" ca="1" si="79"/>
        <v>0.42911849678859121</v>
      </c>
      <c r="T180" s="357">
        <f t="shared" ca="1" si="59"/>
        <v>4.20965245349608</v>
      </c>
      <c r="U180" s="364">
        <f t="shared" ca="1" si="60"/>
        <v>0</v>
      </c>
      <c r="V180" s="359">
        <f t="shared" ca="1" si="61"/>
        <v>1.2137216580818295</v>
      </c>
      <c r="W180" s="357">
        <f t="shared" ca="1" si="62"/>
        <v>9.0219474613635011</v>
      </c>
      <c r="X180" s="343"/>
      <c r="Y180" s="367" t="str">
        <f t="shared" ca="1" si="80"/>
        <v/>
      </c>
      <c r="Z180" s="368" t="str">
        <f t="shared" ca="1" si="81"/>
        <v/>
      </c>
      <c r="AA180" s="369" t="str">
        <f t="shared" ca="1" si="82"/>
        <v/>
      </c>
      <c r="AB180" s="344"/>
      <c r="AC180" s="363" t="e">
        <f t="shared" ca="1" si="83"/>
        <v>#N/A</v>
      </c>
      <c r="AD180" s="376" t="e">
        <f t="shared" ca="1" si="84"/>
        <v>#N/A</v>
      </c>
      <c r="AE180" s="377">
        <f t="shared" ca="1" si="63"/>
        <v>92.493884087137914</v>
      </c>
      <c r="AF180" s="344"/>
      <c r="AG180" s="359">
        <f t="shared" ca="1" si="85"/>
        <v>-9.6971523129469048</v>
      </c>
      <c r="AH180" s="357">
        <f t="shared" ca="1" si="86"/>
        <v>-0.14413973461053861</v>
      </c>
    </row>
    <row r="181" spans="1:34">
      <c r="A181" s="402">
        <f t="shared" ca="1" si="64"/>
        <v>0.01</v>
      </c>
      <c r="B181" s="357">
        <f t="shared" ca="1" si="65"/>
        <v>1.7700000000000014</v>
      </c>
      <c r="C181" s="342"/>
      <c r="D181" s="359">
        <f t="shared" ca="1" si="66"/>
        <v>-0.9642654158995605</v>
      </c>
      <c r="E181" s="360">
        <f t="shared" ca="1" si="67"/>
        <v>-13.9349467382435</v>
      </c>
      <c r="F181" s="357">
        <f t="shared" ca="1" si="68"/>
        <v>13.968269341259965</v>
      </c>
      <c r="G181" s="359">
        <f t="shared" ca="1" si="69"/>
        <v>20.893239045176667</v>
      </c>
      <c r="H181" s="360">
        <f t="shared" ca="1" si="70"/>
        <v>89.279261076818145</v>
      </c>
      <c r="I181" s="357">
        <f t="shared" ca="1" si="71"/>
        <v>91.691405792590785</v>
      </c>
      <c r="J181" s="359">
        <f t="shared" ca="1" si="72"/>
        <v>20.103959729970697</v>
      </c>
      <c r="K181" s="360">
        <f t="shared" ca="1" si="73"/>
        <v>93.387373445243014</v>
      </c>
      <c r="L181" s="357">
        <f t="shared" ca="1" si="58"/>
        <v>95.526806268322218</v>
      </c>
      <c r="M181" s="359">
        <f t="shared" ca="1" si="74"/>
        <v>1.3409121511971269</v>
      </c>
      <c r="N181" s="357">
        <f t="shared" ca="1" si="75"/>
        <v>76.828606961403494</v>
      </c>
      <c r="O181" s="343"/>
      <c r="P181" s="363">
        <f t="shared" ca="1" si="76"/>
        <v>11</v>
      </c>
      <c r="Q181" s="357">
        <f t="shared" ca="1" si="77"/>
        <v>7.2043114754095647</v>
      </c>
      <c r="R181" s="359">
        <f t="shared" ca="1" si="78"/>
        <v>4.1471500983154509E-3</v>
      </c>
      <c r="S181" s="360">
        <f t="shared" ca="1" si="79"/>
        <v>0.42907702528760805</v>
      </c>
      <c r="T181" s="357">
        <f t="shared" ca="1" si="59"/>
        <v>4.209245618071435</v>
      </c>
      <c r="U181" s="364">
        <f t="shared" ca="1" si="60"/>
        <v>0</v>
      </c>
      <c r="V181" s="359">
        <f t="shared" ca="1" si="61"/>
        <v>1.2136132158461637</v>
      </c>
      <c r="W181" s="357">
        <f t="shared" ca="1" si="62"/>
        <v>8.9940708685098212</v>
      </c>
      <c r="X181" s="343"/>
      <c r="Y181" s="367" t="str">
        <f t="shared" ca="1" si="80"/>
        <v/>
      </c>
      <c r="Z181" s="368" t="str">
        <f t="shared" ca="1" si="81"/>
        <v/>
      </c>
      <c r="AA181" s="369" t="str">
        <f t="shared" ca="1" si="82"/>
        <v/>
      </c>
      <c r="AB181" s="344"/>
      <c r="AC181" s="363" t="e">
        <f t="shared" ca="1" si="83"/>
        <v>#N/A</v>
      </c>
      <c r="AD181" s="376" t="e">
        <f t="shared" ca="1" si="84"/>
        <v>#N/A</v>
      </c>
      <c r="AE181" s="377">
        <f t="shared" ca="1" si="63"/>
        <v>93.387373445243014</v>
      </c>
      <c r="AF181" s="344"/>
      <c r="AG181" s="359">
        <f t="shared" ca="1" si="85"/>
        <v>-13.788623551208287</v>
      </c>
      <c r="AH181" s="357">
        <f t="shared" ca="1" si="86"/>
        <v>-4.2361531352921649</v>
      </c>
    </row>
    <row r="182" spans="1:34">
      <c r="A182" s="402">
        <f t="shared" ca="1" si="64"/>
        <v>0.01</v>
      </c>
      <c r="B182" s="357">
        <f t="shared" ca="1" si="65"/>
        <v>1.7800000000000014</v>
      </c>
      <c r="C182" s="342"/>
      <c r="D182" s="359">
        <f t="shared" ca="1" si="66"/>
        <v>-1.8935798133496713</v>
      </c>
      <c r="E182" s="360">
        <f t="shared" ca="1" si="67"/>
        <v>-17.901488646652222</v>
      </c>
      <c r="F182" s="357">
        <f t="shared" ca="1" si="68"/>
        <v>18.001359400771481</v>
      </c>
      <c r="G182" s="359">
        <f t="shared" ca="1" si="69"/>
        <v>20.874303247043169</v>
      </c>
      <c r="H182" s="360">
        <f t="shared" ca="1" si="70"/>
        <v>89.100246190351626</v>
      </c>
      <c r="I182" s="357">
        <f t="shared" ca="1" si="71"/>
        <v>91.512788216897789</v>
      </c>
      <c r="J182" s="359">
        <f t="shared" ca="1" si="72"/>
        <v>20.312797441431798</v>
      </c>
      <c r="K182" s="360">
        <f t="shared" ca="1" si="73"/>
        <v>94.279270981578861</v>
      </c>
      <c r="L182" s="357">
        <f t="shared" ca="1" si="58"/>
        <v>96.442680783533888</v>
      </c>
      <c r="M182" s="359">
        <f t="shared" ca="1" si="74"/>
        <v>1.3406678844404794</v>
      </c>
      <c r="N182" s="357">
        <f t="shared" ca="1" si="75"/>
        <v>76.814611507172231</v>
      </c>
      <c r="O182" s="343"/>
      <c r="P182" s="363">
        <f t="shared" ca="1" si="76"/>
        <v>11</v>
      </c>
      <c r="Q182" s="357">
        <f t="shared" ca="1" si="77"/>
        <v>5.4286557377046449</v>
      </c>
      <c r="R182" s="359">
        <f t="shared" ca="1" si="78"/>
        <v>3.1249967818836799E-3</v>
      </c>
      <c r="S182" s="360">
        <f t="shared" ca="1" si="79"/>
        <v>0.42904577531978921</v>
      </c>
      <c r="T182" s="357">
        <f t="shared" ca="1" si="59"/>
        <v>4.2089390558871322</v>
      </c>
      <c r="U182" s="364">
        <f t="shared" ca="1" si="60"/>
        <v>0</v>
      </c>
      <c r="V182" s="359">
        <f t="shared" ca="1" si="61"/>
        <v>1.2135049764268759</v>
      </c>
      <c r="W182" s="357">
        <f t="shared" ca="1" si="62"/>
        <v>8.9582645275884971</v>
      </c>
      <c r="X182" s="343"/>
      <c r="Y182" s="367" t="str">
        <f t="shared" ca="1" si="80"/>
        <v/>
      </c>
      <c r="Z182" s="368" t="str">
        <f t="shared" ca="1" si="81"/>
        <v/>
      </c>
      <c r="AA182" s="369" t="str">
        <f t="shared" ca="1" si="82"/>
        <v/>
      </c>
      <c r="AB182" s="344"/>
      <c r="AC182" s="363" t="e">
        <f t="shared" ca="1" si="83"/>
        <v>#N/A</v>
      </c>
      <c r="AD182" s="376" t="e">
        <f t="shared" ca="1" si="84"/>
        <v>#N/A</v>
      </c>
      <c r="AE182" s="377">
        <f t="shared" ca="1" si="63"/>
        <v>94.279270981578861</v>
      </c>
      <c r="AF182" s="344"/>
      <c r="AG182" s="359">
        <f t="shared" ca="1" si="85"/>
        <v>-17.862030580536036</v>
      </c>
      <c r="AH182" s="357">
        <f t="shared" ca="1" si="86"/>
        <v>-8.3101042730177088</v>
      </c>
    </row>
    <row r="183" spans="1:34">
      <c r="A183" s="402">
        <f t="shared" ca="1" si="64"/>
        <v>0.01</v>
      </c>
      <c r="B183" s="357">
        <f t="shared" ca="1" si="65"/>
        <v>1.7900000000000014</v>
      </c>
      <c r="C183" s="342"/>
      <c r="D183" s="359">
        <f t="shared" ca="1" si="66"/>
        <v>-2.8206870207612966</v>
      </c>
      <c r="E183" s="360">
        <f t="shared" ca="1" si="67"/>
        <v>-21.849870504964557</v>
      </c>
      <c r="F183" s="357">
        <f t="shared" ca="1" si="68"/>
        <v>22.03118508734406</v>
      </c>
      <c r="G183" s="359">
        <f t="shared" ca="1" si="69"/>
        <v>20.846096376835558</v>
      </c>
      <c r="H183" s="360">
        <f t="shared" ca="1" si="70"/>
        <v>88.881747485301986</v>
      </c>
      <c r="I183" s="357">
        <f t="shared" ca="1" si="71"/>
        <v>91.293618452733611</v>
      </c>
      <c r="J183" s="359">
        <f t="shared" ca="1" si="72"/>
        <v>20.521399439551193</v>
      </c>
      <c r="K183" s="360">
        <f t="shared" ca="1" si="73"/>
        <v>95.169180949957124</v>
      </c>
      <c r="L183" s="357">
        <f t="shared" ca="1" si="58"/>
        <v>97.356565457309003</v>
      </c>
      <c r="M183" s="359">
        <f t="shared" ca="1" si="74"/>
        <v>1.3404227757038119</v>
      </c>
      <c r="N183" s="357">
        <f t="shared" ca="1" si="75"/>
        <v>76.8005678110394</v>
      </c>
      <c r="O183" s="343"/>
      <c r="P183" s="363">
        <f t="shared" ca="1" si="76"/>
        <v>12</v>
      </c>
      <c r="Q183" s="357">
        <f t="shared" ca="1" si="77"/>
        <v>3.6529999999998681</v>
      </c>
      <c r="R183" s="359">
        <f t="shared" ca="1" si="78"/>
        <v>2.1028434654519913E-3</v>
      </c>
      <c r="S183" s="360">
        <f t="shared" ca="1" si="79"/>
        <v>0.4290247468851347</v>
      </c>
      <c r="T183" s="357">
        <f t="shared" ca="1" si="59"/>
        <v>4.2087327669431716</v>
      </c>
      <c r="U183" s="364">
        <f t="shared" ca="1" si="60"/>
        <v>0</v>
      </c>
      <c r="V183" s="359">
        <f t="shared" ca="1" si="61"/>
        <v>1.2133969877920494</v>
      </c>
      <c r="W183" s="357">
        <f t="shared" ca="1" si="62"/>
        <v>8.9146131088829215</v>
      </c>
      <c r="X183" s="343"/>
      <c r="Y183" s="367" t="str">
        <f t="shared" ca="1" si="80"/>
        <v/>
      </c>
      <c r="Z183" s="368" t="str">
        <f t="shared" ca="1" si="81"/>
        <v/>
      </c>
      <c r="AA183" s="369" t="str">
        <f t="shared" ca="1" si="82"/>
        <v/>
      </c>
      <c r="AB183" s="344"/>
      <c r="AC183" s="363" t="e">
        <f t="shared" ca="1" si="83"/>
        <v>#N/A</v>
      </c>
      <c r="AD183" s="376" t="e">
        <f t="shared" ca="1" si="84"/>
        <v>#N/A</v>
      </c>
      <c r="AE183" s="377">
        <f t="shared" ca="1" si="63"/>
        <v>95.169180949957124</v>
      </c>
      <c r="AF183" s="344"/>
      <c r="AG183" s="359">
        <f t="shared" ca="1" si="85"/>
        <v>-21.917250654653991</v>
      </c>
      <c r="AH183" s="357">
        <f t="shared" ca="1" si="86"/>
        <v>-12.365870654563986</v>
      </c>
    </row>
    <row r="184" spans="1:34">
      <c r="A184" s="402">
        <f t="shared" ca="1" si="64"/>
        <v>0.01</v>
      </c>
      <c r="B184" s="357">
        <f t="shared" ca="1" si="65"/>
        <v>1.8000000000000014</v>
      </c>
      <c r="C184" s="342"/>
      <c r="D184" s="359">
        <f t="shared" ca="1" si="66"/>
        <v>-3.2526783156453574</v>
      </c>
      <c r="E184" s="360">
        <f t="shared" ca="1" si="67"/>
        <v>-23.6784829752281</v>
      </c>
      <c r="F184" s="357">
        <f t="shared" ca="1" si="68"/>
        <v>23.900846684442719</v>
      </c>
      <c r="G184" s="359">
        <f t="shared" ca="1" si="69"/>
        <v>20.813569593679105</v>
      </c>
      <c r="H184" s="360">
        <f t="shared" ca="1" si="70"/>
        <v>88.644962655549705</v>
      </c>
      <c r="I184" s="357">
        <f t="shared" ca="1" si="71"/>
        <v>91.05566475203355</v>
      </c>
      <c r="J184" s="359">
        <f t="shared" ca="1" si="72"/>
        <v>20.729697769403767</v>
      </c>
      <c r="K184" s="360">
        <f t="shared" ca="1" si="73"/>
        <v>96.056814500661389</v>
      </c>
      <c r="L184" s="357">
        <f t="shared" ca="1" si="58"/>
        <v>98.268163621924344</v>
      </c>
      <c r="M184" s="359">
        <f t="shared" ca="1" si="74"/>
        <v>1.3401767693280187</v>
      </c>
      <c r="N184" s="357">
        <f t="shared" ca="1" si="75"/>
        <v>76.786472683973145</v>
      </c>
      <c r="O184" s="343"/>
      <c r="P184" s="363">
        <f t="shared" ca="1" si="76"/>
        <v>12</v>
      </c>
      <c r="Q184" s="357">
        <f t="shared" ca="1" si="77"/>
        <v>2.8034651162789399</v>
      </c>
      <c r="R184" s="359">
        <f t="shared" ca="1" si="78"/>
        <v>1.613810101393372E-3</v>
      </c>
      <c r="S184" s="360">
        <f t="shared" ca="1" si="79"/>
        <v>0.42900860878412078</v>
      </c>
      <c r="T184" s="357">
        <f t="shared" ca="1" si="59"/>
        <v>4.2085744521722255</v>
      </c>
      <c r="U184" s="364">
        <f t="shared" ca="1" si="60"/>
        <v>0</v>
      </c>
      <c r="V184" s="359">
        <f t="shared" ca="1" si="61"/>
        <v>1.2132892849229602</v>
      </c>
      <c r="W184" s="357">
        <f t="shared" ca="1" si="62"/>
        <v>8.8674152476832084</v>
      </c>
      <c r="X184" s="343"/>
      <c r="Y184" s="367" t="str">
        <f t="shared" ca="1" si="80"/>
        <v/>
      </c>
      <c r="Z184" s="368" t="str">
        <f t="shared" ca="1" si="81"/>
        <v/>
      </c>
      <c r="AA184" s="369" t="str">
        <f t="shared" ca="1" si="82"/>
        <v/>
      </c>
      <c r="AB184" s="344"/>
      <c r="AC184" s="363" t="e">
        <f t="shared" ca="1" si="83"/>
        <v>#N/A</v>
      </c>
      <c r="AD184" s="376" t="e">
        <f t="shared" ca="1" si="84"/>
        <v>#N/A</v>
      </c>
      <c r="AE184" s="377">
        <f t="shared" ca="1" si="63"/>
        <v>96.056814500661389</v>
      </c>
      <c r="AF184" s="344"/>
      <c r="AG184" s="359">
        <f t="shared" ca="1" si="85"/>
        <v>-23.795645600516607</v>
      </c>
      <c r="AH184" s="357">
        <f t="shared" ca="1" si="86"/>
        <v>-14.244814363804856</v>
      </c>
    </row>
    <row r="185" spans="1:34">
      <c r="A185" s="402">
        <f t="shared" ca="1" si="64"/>
        <v>0.01</v>
      </c>
      <c r="B185" s="357">
        <f t="shared" ca="1" si="65"/>
        <v>1.8100000000000014</v>
      </c>
      <c r="C185" s="342"/>
      <c r="D185" s="359">
        <f t="shared" ca="1" si="66"/>
        <v>-3.6836809269306729</v>
      </c>
      <c r="E185" s="360">
        <f t="shared" ca="1" si="67"/>
        <v>-25.498791715088473</v>
      </c>
      <c r="F185" s="357">
        <f t="shared" ca="1" si="68"/>
        <v>25.763499065555855</v>
      </c>
      <c r="G185" s="359">
        <f t="shared" ca="1" si="69"/>
        <v>20.776732784409798</v>
      </c>
      <c r="H185" s="360">
        <f t="shared" ca="1" si="70"/>
        <v>88.38997473839882</v>
      </c>
      <c r="I185" s="357">
        <f t="shared" ca="1" si="71"/>
        <v>90.799010233865161</v>
      </c>
      <c r="J185" s="359">
        <f t="shared" ca="1" si="72"/>
        <v>20.937649281294213</v>
      </c>
      <c r="K185" s="360">
        <f t="shared" ca="1" si="73"/>
        <v>96.941989187631137</v>
      </c>
      <c r="L185" s="357">
        <f t="shared" ca="1" si="58"/>
        <v>99.177287848989266</v>
      </c>
      <c r="M185" s="359">
        <f t="shared" ca="1" si="74"/>
        <v>1.3399298088270062</v>
      </c>
      <c r="N185" s="357">
        <f t="shared" ca="1" si="75"/>
        <v>76.772322889558694</v>
      </c>
      <c r="O185" s="343"/>
      <c r="P185" s="363">
        <f t="shared" ca="1" si="76"/>
        <v>12</v>
      </c>
      <c r="Q185" s="357">
        <f t="shared" ca="1" si="77"/>
        <v>1.9539302325580117</v>
      </c>
      <c r="R185" s="359">
        <f t="shared" ca="1" si="78"/>
        <v>1.124776737334753E-3</v>
      </c>
      <c r="S185" s="360">
        <f t="shared" ca="1" si="79"/>
        <v>0.42899736101674746</v>
      </c>
      <c r="T185" s="357">
        <f t="shared" ca="1" si="59"/>
        <v>4.2084641115742931</v>
      </c>
      <c r="U185" s="364">
        <f t="shared" ca="1" si="60"/>
        <v>0</v>
      </c>
      <c r="V185" s="359">
        <f t="shared" ca="1" si="61"/>
        <v>1.2131818898796904</v>
      </c>
      <c r="W185" s="357">
        <f t="shared" ca="1" si="62"/>
        <v>8.8167168402363814</v>
      </c>
      <c r="X185" s="343"/>
      <c r="Y185" s="367" t="str">
        <f t="shared" ca="1" si="80"/>
        <v/>
      </c>
      <c r="Z185" s="368" t="str">
        <f t="shared" ca="1" si="81"/>
        <v/>
      </c>
      <c r="AA185" s="369" t="str">
        <f t="shared" ca="1" si="82"/>
        <v/>
      </c>
      <c r="AB185" s="344"/>
      <c r="AC185" s="363" t="e">
        <f t="shared" ca="1" si="83"/>
        <v>#N/A</v>
      </c>
      <c r="AD185" s="376" t="e">
        <f t="shared" ca="1" si="84"/>
        <v>#N/A</v>
      </c>
      <c r="AE185" s="377">
        <f t="shared" ca="1" si="63"/>
        <v>96.941989187631137</v>
      </c>
      <c r="AF185" s="344"/>
      <c r="AG185" s="359">
        <f t="shared" ca="1" si="85"/>
        <v>-25.665728706099479</v>
      </c>
      <c r="AH185" s="357">
        <f t="shared" ca="1" si="86"/>
        <v>-16.115448819404985</v>
      </c>
    </row>
    <row r="186" spans="1:34">
      <c r="A186" s="402">
        <f t="shared" ca="1" si="64"/>
        <v>0.01</v>
      </c>
      <c r="B186" s="357">
        <f t="shared" ca="1" si="65"/>
        <v>1.8200000000000014</v>
      </c>
      <c r="C186" s="342"/>
      <c r="D186" s="359">
        <f t="shared" ca="1" si="66"/>
        <v>-4.1137043898110894</v>
      </c>
      <c r="E186" s="360">
        <f t="shared" ca="1" si="67"/>
        <v>-27.310837637450099</v>
      </c>
      <c r="F186" s="357">
        <f t="shared" ca="1" si="68"/>
        <v>27.618914103670186</v>
      </c>
      <c r="G186" s="359">
        <f t="shared" ca="1" si="69"/>
        <v>20.735595740511688</v>
      </c>
      <c r="H186" s="360">
        <f t="shared" ca="1" si="70"/>
        <v>88.116866362024325</v>
      </c>
      <c r="I186" s="357">
        <f t="shared" ca="1" si="71"/>
        <v>90.5237375950462</v>
      </c>
      <c r="J186" s="359">
        <f t="shared" ca="1" si="72"/>
        <v>21.145210923918821</v>
      </c>
      <c r="K186" s="360">
        <f t="shared" ca="1" si="73"/>
        <v>97.824523393133248</v>
      </c>
      <c r="L186" s="357">
        <f t="shared" ca="1" si="58"/>
        <v>100.08375153895206</v>
      </c>
      <c r="M186" s="359">
        <f t="shared" ca="1" si="74"/>
        <v>1.3396818368100272</v>
      </c>
      <c r="N186" s="357">
        <f t="shared" ca="1" si="75"/>
        <v>76.758115139548451</v>
      </c>
      <c r="O186" s="343"/>
      <c r="P186" s="363">
        <f t="shared" ca="1" si="76"/>
        <v>12</v>
      </c>
      <c r="Q186" s="357">
        <f t="shared" ca="1" si="77"/>
        <v>1.1043953488370835</v>
      </c>
      <c r="R186" s="359">
        <f t="shared" ca="1" si="78"/>
        <v>6.3574337327613388E-4</v>
      </c>
      <c r="S186" s="360">
        <f t="shared" ca="1" si="79"/>
        <v>0.42899100358301467</v>
      </c>
      <c r="T186" s="357">
        <f t="shared" ca="1" si="59"/>
        <v>4.2084017451493745</v>
      </c>
      <c r="U186" s="364">
        <f t="shared" ca="1" si="60"/>
        <v>0</v>
      </c>
      <c r="V186" s="359">
        <f t="shared" ca="1" si="61"/>
        <v>1.2130748246142655</v>
      </c>
      <c r="W186" s="357">
        <f t="shared" ca="1" si="62"/>
        <v>8.7625657434651405</v>
      </c>
      <c r="X186" s="343"/>
      <c r="Y186" s="367" t="str">
        <f t="shared" ca="1" si="80"/>
        <v/>
      </c>
      <c r="Z186" s="368" t="str">
        <f t="shared" ca="1" si="81"/>
        <v/>
      </c>
      <c r="AA186" s="369" t="str">
        <f t="shared" ca="1" si="82"/>
        <v/>
      </c>
      <c r="AB186" s="344"/>
      <c r="AC186" s="363" t="e">
        <f t="shared" ca="1" si="83"/>
        <v>#N/A</v>
      </c>
      <c r="AD186" s="376" t="e">
        <f t="shared" ca="1" si="84"/>
        <v>#N/A</v>
      </c>
      <c r="AE186" s="377">
        <f t="shared" ca="1" si="63"/>
        <v>97.824523393133248</v>
      </c>
      <c r="AF186" s="344"/>
      <c r="AG186" s="359">
        <f t="shared" ca="1" si="85"/>
        <v>-27.527542197675412</v>
      </c>
      <c r="AH186" s="357">
        <f t="shared" ca="1" si="86"/>
        <v>-17.977816380727141</v>
      </c>
    </row>
    <row r="187" spans="1:34">
      <c r="A187" s="402">
        <f t="shared" ca="1" si="64"/>
        <v>0.01</v>
      </c>
      <c r="B187" s="357">
        <f t="shared" ca="1" si="65"/>
        <v>1.8300000000000014</v>
      </c>
      <c r="C187" s="342"/>
      <c r="D187" s="359">
        <f t="shared" ca="1" si="66"/>
        <v>-4.5427598384856989</v>
      </c>
      <c r="E187" s="360">
        <f t="shared" ca="1" si="67"/>
        <v>-29.114666555615315</v>
      </c>
      <c r="F187" s="357">
        <f t="shared" ca="1" si="68"/>
        <v>29.466938687193544</v>
      </c>
      <c r="G187" s="359">
        <f t="shared" ca="1" si="69"/>
        <v>20.690168142126829</v>
      </c>
      <c r="H187" s="360">
        <f t="shared" ca="1" si="70"/>
        <v>87.82571969646817</v>
      </c>
      <c r="I187" s="357">
        <f t="shared" ca="1" si="71"/>
        <v>90.229929058777813</v>
      </c>
      <c r="J187" s="359">
        <f t="shared" ca="1" si="72"/>
        <v>21.352339743332013</v>
      </c>
      <c r="K187" s="360">
        <f t="shared" ca="1" si="73"/>
        <v>98.704236323425704</v>
      </c>
      <c r="L187" s="357">
        <f t="shared" ca="1" si="58"/>
        <v>100.987368916639</v>
      </c>
      <c r="M187" s="359">
        <f t="shared" ca="1" si="74"/>
        <v>1.3394327949013181</v>
      </c>
      <c r="N187" s="357">
        <f t="shared" ca="1" si="75"/>
        <v>76.743846089257531</v>
      </c>
      <c r="O187" s="343"/>
      <c r="P187" s="363">
        <f t="shared" ca="1" si="76"/>
        <v>12</v>
      </c>
      <c r="Q187" s="357">
        <f t="shared" ca="1" si="77"/>
        <v>0.25486046511615568</v>
      </c>
      <c r="R187" s="359">
        <f t="shared" ca="1" si="78"/>
        <v>1.4671000921751505E-4</v>
      </c>
      <c r="S187" s="360">
        <f t="shared" ca="1" si="79"/>
        <v>0.42898953648292248</v>
      </c>
      <c r="T187" s="357">
        <f t="shared" ca="1" si="59"/>
        <v>4.2083873528974696</v>
      </c>
      <c r="U187" s="364">
        <f t="shared" ca="1" si="60"/>
        <v>0</v>
      </c>
      <c r="V187" s="359">
        <f t="shared" ca="1" si="61"/>
        <v>1.2129681109712858</v>
      </c>
      <c r="W187" s="357">
        <f t="shared" ca="1" si="62"/>
        <v>8.7050117318566702</v>
      </c>
      <c r="X187" s="343"/>
      <c r="Y187" s="367" t="str">
        <f t="shared" ca="1" si="80"/>
        <v/>
      </c>
      <c r="Z187" s="368" t="str">
        <f t="shared" ca="1" si="81"/>
        <v/>
      </c>
      <c r="AA187" s="369" t="str">
        <f t="shared" ca="1" si="82"/>
        <v/>
      </c>
      <c r="AB187" s="344"/>
      <c r="AC187" s="363" t="e">
        <f t="shared" ca="1" si="83"/>
        <v>#N/A</v>
      </c>
      <c r="AD187" s="376" t="e">
        <f t="shared" ca="1" si="84"/>
        <v>#N/A</v>
      </c>
      <c r="AE187" s="377">
        <f t="shared" ca="1" si="63"/>
        <v>98.704236323425704</v>
      </c>
      <c r="AF187" s="344"/>
      <c r="AG187" s="359">
        <f t="shared" ca="1" si="85"/>
        <v>-29.381133438293581</v>
      </c>
      <c r="AH187" s="357">
        <f t="shared" ca="1" si="86"/>
        <v>-19.831964546500458</v>
      </c>
    </row>
    <row r="188" spans="1:34">
      <c r="A188" s="402">
        <f t="shared" ca="1" si="64"/>
        <v>0.01</v>
      </c>
      <c r="B188" s="357">
        <f t="shared" ca="1" si="65"/>
        <v>1.8400000000000014</v>
      </c>
      <c r="C188" s="342"/>
      <c r="D188" s="359">
        <f t="shared" ca="1" si="66"/>
        <v>-4.6530322806932656</v>
      </c>
      <c r="E188" s="360">
        <f t="shared" ca="1" si="67"/>
        <v>-29.561212557365771</v>
      </c>
      <c r="F188" s="357">
        <f t="shared" ca="1" si="68"/>
        <v>29.925173303874672</v>
      </c>
      <c r="G188" s="359">
        <f t="shared" ca="1" si="69"/>
        <v>20.643637819319895</v>
      </c>
      <c r="H188" s="360">
        <f t="shared" ca="1" si="70"/>
        <v>87.530107570894515</v>
      </c>
      <c r="I188" s="357">
        <f t="shared" ca="1" si="71"/>
        <v>89.93152680671902</v>
      </c>
      <c r="J188" s="359">
        <f t="shared" ca="1" si="72"/>
        <v>21.559008773139247</v>
      </c>
      <c r="K188" s="360">
        <f t="shared" ca="1" si="73"/>
        <v>99.581015459762511</v>
      </c>
      <c r="L188" s="357">
        <f t="shared" ca="1" si="58"/>
        <v>101.88802431727565</v>
      </c>
      <c r="M188" s="359">
        <f t="shared" ca="1" si="74"/>
        <v>1.3391826622137957</v>
      </c>
      <c r="N188" s="357">
        <f t="shared" ca="1" si="75"/>
        <v>76.729514541944241</v>
      </c>
      <c r="O188" s="343"/>
      <c r="P188" s="363">
        <f t="shared" ca="1" si="76"/>
        <v>13</v>
      </c>
      <c r="Q188" s="357">
        <f t="shared" ca="1" si="77"/>
        <v>0</v>
      </c>
      <c r="R188" s="359">
        <f t="shared" ca="1" si="78"/>
        <v>0</v>
      </c>
      <c r="S188" s="360">
        <f t="shared" ca="1" si="79"/>
        <v>0.42898953648292248</v>
      </c>
      <c r="T188" s="357">
        <f t="shared" ca="1" si="59"/>
        <v>4.2083873528974696</v>
      </c>
      <c r="U188" s="364">
        <f t="shared" ca="1" si="60"/>
        <v>0</v>
      </c>
      <c r="V188" s="359">
        <f t="shared" ca="1" si="61"/>
        <v>1.2128617625069513</v>
      </c>
      <c r="W188" s="357">
        <f t="shared" ca="1" si="62"/>
        <v>8.6467715176390101</v>
      </c>
      <c r="X188" s="343"/>
      <c r="Y188" s="367" t="str">
        <f t="shared" ca="1" si="80"/>
        <v>Fin de propulsion</v>
      </c>
      <c r="Z188" s="368" t="str">
        <f t="shared" ca="1" si="81"/>
        <v/>
      </c>
      <c r="AA188" s="369" t="str">
        <f t="shared" ca="1" si="82"/>
        <v/>
      </c>
      <c r="AB188" s="344"/>
      <c r="AC188" s="363" t="e">
        <f t="shared" ca="1" si="83"/>
        <v>#N/A</v>
      </c>
      <c r="AD188" s="376" t="e">
        <f t="shared" ca="1" si="84"/>
        <v>#N/A</v>
      </c>
      <c r="AE188" s="377">
        <f t="shared" ca="1" si="63"/>
        <v>99.581015459762511</v>
      </c>
      <c r="AF188" s="344"/>
      <c r="AG188" s="359">
        <f t="shared" ca="1" si="85"/>
        <v>-29.840506540299383</v>
      </c>
      <c r="AH188" s="357">
        <f t="shared" ca="1" si="86"/>
        <v>-20.29189756753707</v>
      </c>
    </row>
    <row r="189" spans="1:34">
      <c r="A189" s="402">
        <f t="shared" ca="1" si="64"/>
        <v>0.01</v>
      </c>
      <c r="B189" s="357">
        <f t="shared" ca="1" si="65"/>
        <v>1.8500000000000014</v>
      </c>
      <c r="C189" s="342"/>
      <c r="D189" s="359">
        <f t="shared" ca="1" si="66"/>
        <v>-4.6268087503380588</v>
      </c>
      <c r="E189" s="360">
        <f t="shared" ca="1" si="67"/>
        <v>-29.427911880241872</v>
      </c>
      <c r="F189" s="357">
        <f t="shared" ca="1" si="68"/>
        <v>29.789416859742076</v>
      </c>
      <c r="G189" s="359">
        <f t="shared" ca="1" si="69"/>
        <v>20.597369731816514</v>
      </c>
      <c r="H189" s="360">
        <f t="shared" ca="1" si="70"/>
        <v>87.235828452092093</v>
      </c>
      <c r="I189" s="357">
        <f t="shared" ca="1" si="71"/>
        <v>89.634487813519584</v>
      </c>
      <c r="J189" s="359">
        <f t="shared" ca="1" si="72"/>
        <v>21.765213810894931</v>
      </c>
      <c r="K189" s="360">
        <f t="shared" ca="1" si="73"/>
        <v>100.45484513987745</v>
      </c>
      <c r="L189" s="357">
        <f t="shared" ca="1" si="58"/>
        <v>102.7857015557647</v>
      </c>
      <c r="M189" s="359">
        <f t="shared" ca="1" si="74"/>
        <v>1.3389314341593599</v>
      </c>
      <c r="N189" s="357">
        <f t="shared" ca="1" si="75"/>
        <v>76.715120234729781</v>
      </c>
      <c r="O189" s="343"/>
      <c r="P189" s="363">
        <f t="shared" ca="1" si="76"/>
        <v>13</v>
      </c>
      <c r="Q189" s="357">
        <f t="shared" ca="1" si="77"/>
        <v>0</v>
      </c>
      <c r="R189" s="359">
        <f t="shared" ca="1" si="78"/>
        <v>0</v>
      </c>
      <c r="S189" s="360">
        <f t="shared" ca="1" si="79"/>
        <v>0.42898953648292248</v>
      </c>
      <c r="T189" s="357">
        <f t="shared" ca="1" si="59"/>
        <v>4.2083873528974696</v>
      </c>
      <c r="U189" s="364">
        <f t="shared" ca="1" si="60"/>
        <v>0</v>
      </c>
      <c r="V189" s="359">
        <f t="shared" ca="1" si="61"/>
        <v>1.2127557810264078</v>
      </c>
      <c r="W189" s="357">
        <f t="shared" ca="1" si="62"/>
        <v>8.5889956237365332</v>
      </c>
      <c r="X189" s="343"/>
      <c r="Y189" s="367" t="str">
        <f t="shared" ca="1" si="80"/>
        <v/>
      </c>
      <c r="Z189" s="368" t="str">
        <f t="shared" ca="1" si="81"/>
        <v/>
      </c>
      <c r="AA189" s="369" t="str">
        <f t="shared" ca="1" si="82"/>
        <v/>
      </c>
      <c r="AB189" s="344"/>
      <c r="AC189" s="363" t="e">
        <f t="shared" ca="1" si="83"/>
        <v>#N/A</v>
      </c>
      <c r="AD189" s="376" t="e">
        <f t="shared" ca="1" si="84"/>
        <v>#N/A</v>
      </c>
      <c r="AE189" s="377">
        <f t="shared" ca="1" si="63"/>
        <v>100.45484513987745</v>
      </c>
      <c r="AF189" s="344"/>
      <c r="AG189" s="359">
        <f t="shared" ca="1" si="85"/>
        <v>-29.704182186374624</v>
      </c>
      <c r="AH189" s="357">
        <f t="shared" ca="1" si="86"/>
        <v>-20.156136181151883</v>
      </c>
    </row>
    <row r="190" spans="1:34">
      <c r="A190" s="402">
        <f t="shared" ca="1" si="64"/>
        <v>0.01</v>
      </c>
      <c r="B190" s="357">
        <f t="shared" ca="1" si="65"/>
        <v>1.8600000000000014</v>
      </c>
      <c r="C190" s="342"/>
      <c r="D190" s="359">
        <f t="shared" ca="1" si="66"/>
        <v>-4.6007888883799</v>
      </c>
      <c r="E190" s="360">
        <f t="shared" ca="1" si="67"/>
        <v>-29.295673920346943</v>
      </c>
      <c r="F190" s="357">
        <f t="shared" ca="1" si="68"/>
        <v>29.65474277148153</v>
      </c>
      <c r="G190" s="359">
        <f t="shared" ca="1" si="69"/>
        <v>20.551361842932714</v>
      </c>
      <c r="H190" s="360">
        <f t="shared" ca="1" si="70"/>
        <v>86.942871712888618</v>
      </c>
      <c r="I190" s="357">
        <f t="shared" ca="1" si="71"/>
        <v>89.338801286355746</v>
      </c>
      <c r="J190" s="359">
        <f t="shared" ca="1" si="72"/>
        <v>21.970957468768678</v>
      </c>
      <c r="K190" s="360">
        <f t="shared" ca="1" si="73"/>
        <v>101.32573864070235</v>
      </c>
      <c r="L190" s="357">
        <f t="shared" ca="1" si="58"/>
        <v>103.68041417345113</v>
      </c>
      <c r="M190" s="359">
        <f t="shared" ca="1" si="74"/>
        <v>1.3386791061191261</v>
      </c>
      <c r="N190" s="357">
        <f t="shared" ca="1" si="75"/>
        <v>76.700662902971587</v>
      </c>
      <c r="O190" s="343"/>
      <c r="P190" s="363">
        <f t="shared" ca="1" si="76"/>
        <v>13</v>
      </c>
      <c r="Q190" s="357">
        <f t="shared" ca="1" si="77"/>
        <v>0</v>
      </c>
      <c r="R190" s="359">
        <f t="shared" ca="1" si="78"/>
        <v>0</v>
      </c>
      <c r="S190" s="360">
        <f t="shared" ca="1" si="79"/>
        <v>0.42898953648292248</v>
      </c>
      <c r="T190" s="357">
        <f t="shared" ca="1" si="59"/>
        <v>4.2083873528974696</v>
      </c>
      <c r="U190" s="364">
        <f t="shared" ca="1" si="60"/>
        <v>0</v>
      </c>
      <c r="V190" s="359">
        <f t="shared" ca="1" si="61"/>
        <v>1.2126501648250736</v>
      </c>
      <c r="W190" s="357">
        <f t="shared" ca="1" si="62"/>
        <v>8.5316792094488321</v>
      </c>
      <c r="X190" s="343"/>
      <c r="Y190" s="367" t="str">
        <f t="shared" ca="1" si="80"/>
        <v/>
      </c>
      <c r="Z190" s="368" t="str">
        <f t="shared" ca="1" si="81"/>
        <v/>
      </c>
      <c r="AA190" s="369" t="str">
        <f t="shared" ca="1" si="82"/>
        <v/>
      </c>
      <c r="AB190" s="344"/>
      <c r="AC190" s="363" t="e">
        <f t="shared" ca="1" si="83"/>
        <v>#N/A</v>
      </c>
      <c r="AD190" s="376" t="e">
        <f t="shared" ca="1" si="84"/>
        <v>#N/A</v>
      </c>
      <c r="AE190" s="377">
        <f t="shared" ca="1" si="63"/>
        <v>101.32573864070235</v>
      </c>
      <c r="AF190" s="344"/>
      <c r="AG190" s="359">
        <f t="shared" ca="1" si="85"/>
        <v>-29.568937123954292</v>
      </c>
      <c r="AH190" s="357">
        <f t="shared" ca="1" si="86"/>
        <v>-20.021457152902958</v>
      </c>
    </row>
    <row r="191" spans="1:34">
      <c r="A191" s="402">
        <f t="shared" ca="1" si="64"/>
        <v>0.01</v>
      </c>
      <c r="B191" s="357">
        <f t="shared" ca="1" si="65"/>
        <v>1.8700000000000014</v>
      </c>
      <c r="C191" s="342"/>
      <c r="D191" s="359">
        <f t="shared" ca="1" si="66"/>
        <v>-4.5749705534193286</v>
      </c>
      <c r="E191" s="360">
        <f t="shared" ca="1" si="67"/>
        <v>-29.164487598249522</v>
      </c>
      <c r="F191" s="357">
        <f t="shared" ca="1" si="68"/>
        <v>29.521139754980737</v>
      </c>
      <c r="G191" s="359">
        <f t="shared" ca="1" si="69"/>
        <v>20.505612137398522</v>
      </c>
      <c r="H191" s="360">
        <f t="shared" ca="1" si="70"/>
        <v>86.651226836906119</v>
      </c>
      <c r="I191" s="357">
        <f t="shared" ca="1" si="71"/>
        <v>89.044456545426698</v>
      </c>
      <c r="J191" s="359">
        <f t="shared" ca="1" si="72"/>
        <v>22.176242338670335</v>
      </c>
      <c r="K191" s="360">
        <f t="shared" ca="1" si="73"/>
        <v>102.19370913345134</v>
      </c>
      <c r="L191" s="357">
        <f t="shared" ca="1" si="58"/>
        <v>104.57217560477496</v>
      </c>
      <c r="M191" s="359">
        <f t="shared" ca="1" si="74"/>
        <v>1.338425673443197</v>
      </c>
      <c r="N191" s="357">
        <f t="shared" ca="1" si="75"/>
        <v>76.686142280250138</v>
      </c>
      <c r="O191" s="343"/>
      <c r="P191" s="363">
        <f t="shared" ca="1" si="76"/>
        <v>13</v>
      </c>
      <c r="Q191" s="357">
        <f t="shared" ca="1" si="77"/>
        <v>0</v>
      </c>
      <c r="R191" s="359">
        <f t="shared" ca="1" si="78"/>
        <v>0</v>
      </c>
      <c r="S191" s="360">
        <f t="shared" ca="1" si="79"/>
        <v>0.42898953648292248</v>
      </c>
      <c r="T191" s="357">
        <f t="shared" ca="1" si="59"/>
        <v>4.2083873528974696</v>
      </c>
      <c r="U191" s="364">
        <f t="shared" ca="1" si="60"/>
        <v>0</v>
      </c>
      <c r="V191" s="359">
        <f t="shared" ca="1" si="61"/>
        <v>1.2125449122120839</v>
      </c>
      <c r="W191" s="357">
        <f t="shared" ca="1" si="62"/>
        <v>8.4748174975195472</v>
      </c>
      <c r="X191" s="343"/>
      <c r="Y191" s="367" t="str">
        <f t="shared" ca="1" si="80"/>
        <v/>
      </c>
      <c r="Z191" s="368" t="str">
        <f t="shared" ca="1" si="81"/>
        <v/>
      </c>
      <c r="AA191" s="369" t="str">
        <f t="shared" ca="1" si="82"/>
        <v/>
      </c>
      <c r="AB191" s="344"/>
      <c r="AC191" s="363" t="e">
        <f t="shared" ca="1" si="83"/>
        <v>#N/A</v>
      </c>
      <c r="AD191" s="376" t="e">
        <f t="shared" ca="1" si="84"/>
        <v>#N/A</v>
      </c>
      <c r="AE191" s="377">
        <f t="shared" ca="1" si="63"/>
        <v>102.19370913345134</v>
      </c>
      <c r="AF191" s="344"/>
      <c r="AG191" s="359">
        <f t="shared" ca="1" si="85"/>
        <v>-29.434760050809384</v>
      </c>
      <c r="AH191" s="357">
        <f t="shared" ca="1" si="86"/>
        <v>-19.887849198831141</v>
      </c>
    </row>
    <row r="192" spans="1:34">
      <c r="A192" s="402">
        <f t="shared" ca="1" si="64"/>
        <v>0.01</v>
      </c>
      <c r="B192" s="357">
        <f t="shared" ca="1" si="65"/>
        <v>1.8800000000000014</v>
      </c>
      <c r="C192" s="342"/>
      <c r="D192" s="359">
        <f t="shared" ca="1" si="66"/>
        <v>-4.5493516320888752</v>
      </c>
      <c r="E192" s="360">
        <f t="shared" ca="1" si="67"/>
        <v>-29.034341979726634</v>
      </c>
      <c r="F192" s="357">
        <f t="shared" ca="1" si="68"/>
        <v>29.388596674018071</v>
      </c>
      <c r="G192" s="359">
        <f t="shared" ca="1" si="69"/>
        <v>20.460118621077633</v>
      </c>
      <c r="H192" s="360">
        <f t="shared" ca="1" si="70"/>
        <v>86.360883417108852</v>
      </c>
      <c r="I192" s="357">
        <f t="shared" ca="1" si="71"/>
        <v>88.751443022477304</v>
      </c>
      <c r="J192" s="359">
        <f t="shared" ca="1" si="72"/>
        <v>22.381070992462714</v>
      </c>
      <c r="K192" s="360">
        <f t="shared" ca="1" si="73"/>
        <v>103.05876968472141</v>
      </c>
      <c r="L192" s="357">
        <f t="shared" ca="1" si="58"/>
        <v>105.4609991783603</v>
      </c>
      <c r="M192" s="359">
        <f t="shared" ca="1" si="74"/>
        <v>1.3381711314504283</v>
      </c>
      <c r="N192" s="357">
        <f t="shared" ca="1" si="75"/>
        <v>76.671558098355646</v>
      </c>
      <c r="O192" s="343"/>
      <c r="P192" s="363">
        <f t="shared" ca="1" si="76"/>
        <v>13</v>
      </c>
      <c r="Q192" s="357">
        <f t="shared" ca="1" si="77"/>
        <v>0</v>
      </c>
      <c r="R192" s="359">
        <f t="shared" ca="1" si="78"/>
        <v>0</v>
      </c>
      <c r="S192" s="360">
        <f t="shared" ca="1" si="79"/>
        <v>0.42898953648292248</v>
      </c>
      <c r="T192" s="357">
        <f t="shared" ca="1" si="59"/>
        <v>4.2083873528974696</v>
      </c>
      <c r="U192" s="364">
        <f t="shared" ca="1" si="60"/>
        <v>0</v>
      </c>
      <c r="V192" s="359">
        <f t="shared" ca="1" si="61"/>
        <v>1.2124400215101432</v>
      </c>
      <c r="W192" s="357">
        <f t="shared" ca="1" si="62"/>
        <v>8.418405773140778</v>
      </c>
      <c r="X192" s="343"/>
      <c r="Y192" s="367" t="str">
        <f t="shared" ca="1" si="80"/>
        <v/>
      </c>
      <c r="Z192" s="368" t="str">
        <f t="shared" ca="1" si="81"/>
        <v/>
      </c>
      <c r="AA192" s="369" t="str">
        <f t="shared" ca="1" si="82"/>
        <v/>
      </c>
      <c r="AB192" s="344"/>
      <c r="AC192" s="363" t="e">
        <f t="shared" ca="1" si="83"/>
        <v>#N/A</v>
      </c>
      <c r="AD192" s="376" t="e">
        <f t="shared" ca="1" si="84"/>
        <v>#N/A</v>
      </c>
      <c r="AE192" s="377">
        <f t="shared" ca="1" si="63"/>
        <v>103.05876968472141</v>
      </c>
      <c r="AF192" s="344"/>
      <c r="AG192" s="359">
        <f t="shared" ca="1" si="85"/>
        <v>-29.301639812454546</v>
      </c>
      <c r="AH192" s="357">
        <f t="shared" ca="1" si="86"/>
        <v>-19.755301182869104</v>
      </c>
    </row>
    <row r="193" spans="1:34">
      <c r="A193" s="402">
        <f t="shared" ca="1" si="64"/>
        <v>0.01</v>
      </c>
      <c r="B193" s="357">
        <f t="shared" ca="1" si="65"/>
        <v>1.8900000000000015</v>
      </c>
      <c r="C193" s="342"/>
      <c r="D193" s="359">
        <f t="shared" ca="1" si="66"/>
        <v>-4.5239300386131127</v>
      </c>
      <c r="E193" s="360">
        <f t="shared" ca="1" si="67"/>
        <v>-28.90522627348512</v>
      </c>
      <c r="F193" s="357">
        <f t="shared" ca="1" si="68"/>
        <v>29.257102537941797</v>
      </c>
      <c r="G193" s="359">
        <f t="shared" ca="1" si="69"/>
        <v>20.414879320691501</v>
      </c>
      <c r="H193" s="360">
        <f t="shared" ca="1" si="70"/>
        <v>86.071831154373996</v>
      </c>
      <c r="I193" s="357">
        <f t="shared" ca="1" si="71"/>
        <v>88.459750259343735</v>
      </c>
      <c r="J193" s="359">
        <f t="shared" ca="1" si="72"/>
        <v>22.58544598217156</v>
      </c>
      <c r="K193" s="360">
        <f t="shared" ca="1" si="73"/>
        <v>103.92093325757882</v>
      </c>
      <c r="L193" s="357">
        <f t="shared" ca="1" si="58"/>
        <v>106.34689811809154</v>
      </c>
      <c r="M193" s="359">
        <f t="shared" ca="1" si="74"/>
        <v>1.3379154754281968</v>
      </c>
      <c r="N193" s="357">
        <f t="shared" ca="1" si="75"/>
        <v>76.656910087274667</v>
      </c>
      <c r="O193" s="343"/>
      <c r="P193" s="363">
        <f t="shared" ca="1" si="76"/>
        <v>13</v>
      </c>
      <c r="Q193" s="357">
        <f t="shared" ca="1" si="77"/>
        <v>0</v>
      </c>
      <c r="R193" s="359">
        <f t="shared" ca="1" si="78"/>
        <v>0</v>
      </c>
      <c r="S193" s="360">
        <f t="shared" ca="1" si="79"/>
        <v>0.42898953648292248</v>
      </c>
      <c r="T193" s="357">
        <f t="shared" ca="1" si="59"/>
        <v>4.2083873528974696</v>
      </c>
      <c r="U193" s="364">
        <f t="shared" ca="1" si="60"/>
        <v>0</v>
      </c>
      <c r="V193" s="359">
        <f t="shared" ca="1" si="61"/>
        <v>1.2123354910553856</v>
      </c>
      <c r="W193" s="357">
        <f t="shared" ca="1" si="62"/>
        <v>8.3624393829756727</v>
      </c>
      <c r="X193" s="343"/>
      <c r="Y193" s="367" t="str">
        <f t="shared" ca="1" si="80"/>
        <v/>
      </c>
      <c r="Z193" s="368" t="str">
        <f t="shared" ca="1" si="81"/>
        <v/>
      </c>
      <c r="AA193" s="369" t="str">
        <f t="shared" ca="1" si="82"/>
        <v/>
      </c>
      <c r="AB193" s="344"/>
      <c r="AC193" s="363" t="e">
        <f t="shared" ca="1" si="83"/>
        <v>#N/A</v>
      </c>
      <c r="AD193" s="376" t="e">
        <f t="shared" ca="1" si="84"/>
        <v>#N/A</v>
      </c>
      <c r="AE193" s="377">
        <f t="shared" ca="1" si="63"/>
        <v>103.92093325757882</v>
      </c>
      <c r="AF193" s="344"/>
      <c r="AG193" s="359">
        <f t="shared" ca="1" si="85"/>
        <v>-29.169565399825977</v>
      </c>
      <c r="AH193" s="357">
        <f t="shared" ca="1" si="86"/>
        <v>-19.623802114520579</v>
      </c>
    </row>
    <row r="194" spans="1:34">
      <c r="A194" s="402">
        <f t="shared" ca="1" si="64"/>
        <v>0.01</v>
      </c>
      <c r="B194" s="357">
        <f t="shared" ca="1" si="65"/>
        <v>1.9000000000000015</v>
      </c>
      <c r="C194" s="342"/>
      <c r="D194" s="359">
        <f t="shared" ca="1" si="66"/>
        <v>-4.4987037143766537</v>
      </c>
      <c r="E194" s="360">
        <f t="shared" ca="1" si="67"/>
        <v>-28.777129828924537</v>
      </c>
      <c r="F194" s="357">
        <f t="shared" ca="1" si="68"/>
        <v>29.126646499391665</v>
      </c>
      <c r="G194" s="359">
        <f t="shared" ca="1" si="69"/>
        <v>20.369892283547735</v>
      </c>
      <c r="H194" s="360">
        <f t="shared" ca="1" si="70"/>
        <v>85.784059856084752</v>
      </c>
      <c r="I194" s="357">
        <f t="shared" ca="1" si="71"/>
        <v>88.169367906522211</v>
      </c>
      <c r="J194" s="359">
        <f t="shared" ca="1" si="72"/>
        <v>22.789369840192755</v>
      </c>
      <c r="K194" s="360">
        <f t="shared" ca="1" si="73"/>
        <v>104.78021271263111</v>
      </c>
      <c r="L194" s="357">
        <f t="shared" ca="1" si="58"/>
        <v>107.22988554417705</v>
      </c>
      <c r="M194" s="359">
        <f t="shared" ca="1" si="74"/>
        <v>1.3376587006321621</v>
      </c>
      <c r="N194" s="357">
        <f t="shared" ca="1" si="75"/>
        <v>76.642197975176558</v>
      </c>
      <c r="O194" s="343"/>
      <c r="P194" s="363">
        <f t="shared" ca="1" si="76"/>
        <v>13</v>
      </c>
      <c r="Q194" s="357">
        <f t="shared" ca="1" si="77"/>
        <v>0</v>
      </c>
      <c r="R194" s="359">
        <f t="shared" ca="1" si="78"/>
        <v>0</v>
      </c>
      <c r="S194" s="360">
        <f t="shared" ca="1" si="79"/>
        <v>0.42898953648292248</v>
      </c>
      <c r="T194" s="357">
        <f t="shared" ca="1" si="59"/>
        <v>4.2083873528974696</v>
      </c>
      <c r="U194" s="364">
        <f t="shared" ca="1" si="60"/>
        <v>0</v>
      </c>
      <c r="V194" s="359">
        <f t="shared" ca="1" si="61"/>
        <v>1.2122313191972316</v>
      </c>
      <c r="W194" s="357">
        <f t="shared" ca="1" si="62"/>
        <v>8.3069137341988739</v>
      </c>
      <c r="X194" s="343"/>
      <c r="Y194" s="367" t="str">
        <f t="shared" ca="1" si="80"/>
        <v/>
      </c>
      <c r="Z194" s="368" t="str">
        <f t="shared" ca="1" si="81"/>
        <v/>
      </c>
      <c r="AA194" s="369" t="str">
        <f t="shared" ca="1" si="82"/>
        <v/>
      </c>
      <c r="AB194" s="344"/>
      <c r="AC194" s="363" t="e">
        <f t="shared" ca="1" si="83"/>
        <v>#N/A</v>
      </c>
      <c r="AD194" s="376" t="e">
        <f t="shared" ca="1" si="84"/>
        <v>#N/A</v>
      </c>
      <c r="AE194" s="377">
        <f t="shared" ca="1" si="63"/>
        <v>104.78021271263111</v>
      </c>
      <c r="AF194" s="344"/>
      <c r="AG194" s="359">
        <f t="shared" ca="1" si="85"/>
        <v>-29.038525947001638</v>
      </c>
      <c r="AH194" s="357">
        <f t="shared" ca="1" si="86"/>
        <v>-19.493341146581955</v>
      </c>
    </row>
    <row r="195" spans="1:34">
      <c r="A195" s="402">
        <f t="shared" ca="1" si="64"/>
        <v>0.01</v>
      </c>
      <c r="B195" s="357">
        <f t="shared" ca="1" si="65"/>
        <v>1.9100000000000015</v>
      </c>
      <c r="C195" s="342"/>
      <c r="D195" s="359">
        <f t="shared" ca="1" si="66"/>
        <v>-4.4736706275001072</v>
      </c>
      <c r="E195" s="360">
        <f t="shared" ca="1" si="67"/>
        <v>-28.650042133940914</v>
      </c>
      <c r="F195" s="357">
        <f t="shared" ca="1" si="68"/>
        <v>28.997217852062064</v>
      </c>
      <c r="G195" s="359">
        <f t="shared" ca="1" si="69"/>
        <v>20.325155577272735</v>
      </c>
      <c r="H195" s="360">
        <f t="shared" ca="1" si="70"/>
        <v>85.497559434745341</v>
      </c>
      <c r="I195" s="357">
        <f t="shared" ca="1" si="71"/>
        <v>87.880285721759876</v>
      </c>
      <c r="J195" s="359">
        <f t="shared" ca="1" si="72"/>
        <v>22.992845079496856</v>
      </c>
      <c r="K195" s="360">
        <f t="shared" ca="1" si="73"/>
        <v>105.63662080908526</v>
      </c>
      <c r="L195" s="357">
        <f t="shared" ca="1" si="58"/>
        <v>108.10997447420014</v>
      </c>
      <c r="M195" s="359">
        <f t="shared" ca="1" si="74"/>
        <v>1.3374008022860291</v>
      </c>
      <c r="N195" s="357">
        <f t="shared" ca="1" si="75"/>
        <v>76.627421488399733</v>
      </c>
      <c r="O195" s="343"/>
      <c r="P195" s="363">
        <f t="shared" ca="1" si="76"/>
        <v>13</v>
      </c>
      <c r="Q195" s="357">
        <f t="shared" ca="1" si="77"/>
        <v>0</v>
      </c>
      <c r="R195" s="359">
        <f t="shared" ca="1" si="78"/>
        <v>0</v>
      </c>
      <c r="S195" s="360">
        <f t="shared" ca="1" si="79"/>
        <v>0.42898953648292248</v>
      </c>
      <c r="T195" s="357">
        <f t="shared" ca="1" si="59"/>
        <v>4.2083873528974696</v>
      </c>
      <c r="U195" s="364">
        <f t="shared" ca="1" si="60"/>
        <v>0</v>
      </c>
      <c r="V195" s="359">
        <f t="shared" ca="1" si="61"/>
        <v>1.2121275042982529</v>
      </c>
      <c r="W195" s="357">
        <f t="shared" ca="1" si="62"/>
        <v>8.2518242935544315</v>
      </c>
      <c r="X195" s="343"/>
      <c r="Y195" s="367" t="str">
        <f t="shared" ca="1" si="80"/>
        <v/>
      </c>
      <c r="Z195" s="368" t="str">
        <f t="shared" ca="1" si="81"/>
        <v/>
      </c>
      <c r="AA195" s="369" t="str">
        <f t="shared" ca="1" si="82"/>
        <v/>
      </c>
      <c r="AB195" s="344"/>
      <c r="AC195" s="363" t="e">
        <f t="shared" ca="1" si="83"/>
        <v>#N/A</v>
      </c>
      <c r="AD195" s="376" t="e">
        <f t="shared" ca="1" si="84"/>
        <v>#N/A</v>
      </c>
      <c r="AE195" s="377">
        <f t="shared" ca="1" si="63"/>
        <v>105.63662080908526</v>
      </c>
      <c r="AF195" s="344"/>
      <c r="AG195" s="359">
        <f t="shared" ca="1" si="85"/>
        <v>-28.90851072896303</v>
      </c>
      <c r="AH195" s="357">
        <f t="shared" ca="1" si="86"/>
        <v>-19.363907572905479</v>
      </c>
    </row>
    <row r="196" spans="1:34">
      <c r="A196" s="402">
        <f t="shared" ca="1" si="64"/>
        <v>0.01</v>
      </c>
      <c r="B196" s="357">
        <f t="shared" ca="1" si="65"/>
        <v>1.9200000000000015</v>
      </c>
      <c r="C196" s="342"/>
      <c r="D196" s="359">
        <f t="shared" ca="1" si="66"/>
        <v>-4.4488287724237257</v>
      </c>
      <c r="E196" s="360">
        <f t="shared" ca="1" si="67"/>
        <v>-28.523952812770567</v>
      </c>
      <c r="F196" s="357">
        <f t="shared" ca="1" si="68"/>
        <v>28.868806028506047</v>
      </c>
      <c r="G196" s="359">
        <f t="shared" ca="1" si="69"/>
        <v>20.280667289548497</v>
      </c>
      <c r="H196" s="360">
        <f t="shared" ca="1" si="70"/>
        <v>85.212319906617637</v>
      </c>
      <c r="I196" s="357">
        <f t="shared" ca="1" si="71"/>
        <v>87.592493568667791</v>
      </c>
      <c r="J196" s="359">
        <f t="shared" ca="1" si="72"/>
        <v>23.195874193830964</v>
      </c>
      <c r="K196" s="360">
        <f t="shared" ca="1" si="73"/>
        <v>106.49017020579207</v>
      </c>
      <c r="L196" s="357">
        <f t="shared" ref="L196:L259" ca="1" si="87">SQRT(pos_x^2+pos_z^2)</f>
        <v>108.98717782415783</v>
      </c>
      <c r="M196" s="359">
        <f t="shared" ca="1" si="74"/>
        <v>1.3371417755813069</v>
      </c>
      <c r="N196" s="357">
        <f t="shared" ca="1" si="75"/>
        <v>76.61258035143797</v>
      </c>
      <c r="O196" s="343"/>
      <c r="P196" s="363">
        <f t="shared" ca="1" si="76"/>
        <v>13</v>
      </c>
      <c r="Q196" s="357">
        <f t="shared" ca="1" si="77"/>
        <v>0</v>
      </c>
      <c r="R196" s="359">
        <f t="shared" ca="1" si="78"/>
        <v>0</v>
      </c>
      <c r="S196" s="360">
        <f t="shared" ca="1" si="79"/>
        <v>0.42898953648292248</v>
      </c>
      <c r="T196" s="357">
        <f t="shared" ref="T196:T259" ca="1" si="88">m*g</f>
        <v>4.2083873528974696</v>
      </c>
      <c r="U196" s="364">
        <f t="shared" ref="U196:U259" ca="1" si="89">IF(pos_xz&lt;L_rampe,Poids*COS(Beta),0)</f>
        <v>0</v>
      </c>
      <c r="V196" s="359">
        <f t="shared" ref="V196:V259" ca="1" si="90">Rho_moyen*(20000-Alt_rampe-pos_z)/(20000+Alt_rampe+pos_z)</f>
        <v>1.2120240447340336</v>
      </c>
      <c r="W196" s="357">
        <f t="shared" ref="W196:W259" ca="1" si="91">1/2*Rho*Sref*Cx*vit_xz^2</f>
        <v>8.1971665864307557</v>
      </c>
      <c r="X196" s="343"/>
      <c r="Y196" s="367" t="str">
        <f t="shared" ca="1" si="80"/>
        <v/>
      </c>
      <c r="Z196" s="368" t="str">
        <f t="shared" ca="1" si="81"/>
        <v/>
      </c>
      <c r="AA196" s="369" t="str">
        <f t="shared" ca="1" si="82"/>
        <v/>
      </c>
      <c r="AB196" s="344"/>
      <c r="AC196" s="363" t="e">
        <f t="shared" ca="1" si="83"/>
        <v>#N/A</v>
      </c>
      <c r="AD196" s="376" t="e">
        <f t="shared" ca="1" si="84"/>
        <v>#N/A</v>
      </c>
      <c r="AE196" s="377">
        <f t="shared" ref="AE196:AE259" ca="1" si="92">IF(t&lt;T_para, pos_z, NA())</f>
        <v>106.49017020579207</v>
      </c>
      <c r="AF196" s="344"/>
      <c r="AG196" s="359">
        <f t="shared" ca="1" si="85"/>
        <v>-28.779509159397783</v>
      </c>
      <c r="AH196" s="357">
        <f t="shared" ca="1" si="86"/>
        <v>-19.235490826203229</v>
      </c>
    </row>
    <row r="197" spans="1:34">
      <c r="A197" s="402">
        <f t="shared" ref="A197:A260" ca="1" si="93">IF(B196+0.01&lt;=T_ini+ROUNDUP(Temps_fin_propu,0), 0.01, IF(K196&gt;0, 0.1, 0.0001))</f>
        <v>0.01</v>
      </c>
      <c r="B197" s="357">
        <f t="shared" ref="B197:B260" ca="1" si="94">B196+pas</f>
        <v>1.9300000000000015</v>
      </c>
      <c r="C197" s="342"/>
      <c r="D197" s="359">
        <f t="shared" ref="D197:D260" ca="1" si="95">IF(AND(L196&lt;L_rampe,Poussee&lt;Poids*SIN(M196)),0,(-W196+Poussee)/m*COS(M196)-U196/m*SIN(M196))</f>
        <v>-4.4241761694985815</v>
      </c>
      <c r="E197" s="360">
        <f t="shared" ref="E197:E260" ca="1" si="96">IF(AND(L196&lt;L_rampe,Poussee&lt;Poids*SIN(M196)),0,(-W196+Poussee)/m*SIN(M196)+U196/m*COS(M196)-Poids/m)</f>
        <v>-28.398851623872801</v>
      </c>
      <c r="F197" s="357">
        <f t="shared" ref="F197:F260" ca="1" si="97">SQRT(acc_x^2+acc_z^2)</f>
        <v>28.741400597978899</v>
      </c>
      <c r="G197" s="359">
        <f t="shared" ref="G197:G260" ca="1" si="98">G196+acc_x*pas</f>
        <v>20.236425527853509</v>
      </c>
      <c r="H197" s="360">
        <f t="shared" ref="H197:H260" ca="1" si="99">H196+acc_z*pas</f>
        <v>84.928331390378915</v>
      </c>
      <c r="I197" s="357">
        <f t="shared" ref="I197:I260" ca="1" si="100">SQRT(vit_x^2+vit_z^2)</f>
        <v>87.30598141535539</v>
      </c>
      <c r="J197" s="359">
        <f t="shared" ref="J197:J260" ca="1" si="101">J196+0.5*(vit_x+G196)*pas*(K196&gt;=0)</f>
        <v>23.398459657917975</v>
      </c>
      <c r="K197" s="360">
        <f t="shared" ref="K197:K260" ca="1" si="102">K196+0.5*(vit_z+H196)*pas</f>
        <v>107.34087346227705</v>
      </c>
      <c r="L197" s="357">
        <f t="shared" ca="1" si="87"/>
        <v>109.86150840948702</v>
      </c>
      <c r="M197" s="359">
        <f t="shared" ref="M197:M260" ca="1" si="103">IF(AND(L196&gt;L_rampe,G197&gt;0),ATAN2(G197,H197),$M$4)</f>
        <v>1.3368816156770649</v>
      </c>
      <c r="N197" s="357">
        <f t="shared" ref="N197:N260" ca="1" si="104">DEGREES(Beta)</f>
        <v>76.597674286926363</v>
      </c>
      <c r="O197" s="343"/>
      <c r="P197" s="363">
        <f t="shared" ref="P197:P260" ca="1" si="105">MATCH(t-pas/2-T_ini,CdP_t)</f>
        <v>13</v>
      </c>
      <c r="Q197" s="357">
        <f t="shared" ref="Q197:Q260" ca="1" si="106">(INDEX(CdP,2,i_P+1)-INDEX(CdP,2,i_P+0))/(INDEX(CdP,1,i_P+1)-INDEX(CdP,1,i_P+0))*(t-pas/2-T_ini-INDEX(CdP,1,i_P+0))+INDEX(CdP,2,i_P+0)</f>
        <v>0</v>
      </c>
      <c r="R197" s="359">
        <f t="shared" ref="R197:R260" ca="1" si="107">Poussee/(g*ISP)</f>
        <v>0</v>
      </c>
      <c r="S197" s="360">
        <f t="shared" ref="S197:S260" ca="1" si="108">S196-Débit*pas</f>
        <v>0.42898953648292248</v>
      </c>
      <c r="T197" s="357">
        <f t="shared" ca="1" si="88"/>
        <v>4.2083873528974696</v>
      </c>
      <c r="U197" s="364">
        <f t="shared" ca="1" si="89"/>
        <v>0</v>
      </c>
      <c r="V197" s="359">
        <f t="shared" ca="1" si="90"/>
        <v>1.2119209388930356</v>
      </c>
      <c r="W197" s="357">
        <f t="shared" ca="1" si="91"/>
        <v>8.1429361959523661</v>
      </c>
      <c r="X197" s="343"/>
      <c r="Y197" s="367" t="str">
        <f t="shared" ref="Y197:Y260" ca="1" si="109">IF(AND(pos_z&lt;=0,K196&gt;0),"Impact balistique","") &amp; IF(AND(H198&lt;0,vit_z&gt;=0),"Apogée","") &amp; IF(AND(Poussee=0,Q196&gt;0),"Fin de propulsion","") &amp; IF(AND(L198&gt;L_rampe,pos_xz&lt;=L_rampe),"Sortie de rampe","")</f>
        <v/>
      </c>
      <c r="Z197" s="368" t="str">
        <f t="shared" ref="Z197:Z260" ca="1" si="110">IF(ABS(t-T_para)&lt;pas/2,"Para","")</f>
        <v/>
      </c>
      <c r="AA197" s="369" t="str">
        <f t="shared" ref="AA197:AA260" ca="1" si="111">IF(ABS(t-T_satellite)&lt;pas/2,"Satellite","")</f>
        <v/>
      </c>
      <c r="AB197" s="344"/>
      <c r="AC197" s="363" t="e">
        <f t="shared" ref="AC197:AC260" ca="1" si="112">IF(ABS(t-ROUND(t,0))&lt;0.001,t,NA())</f>
        <v>#N/A</v>
      </c>
      <c r="AD197" s="376" t="e">
        <f t="shared" ref="AD197:AD260" ca="1" si="113">IF(ABS(t-ROUND(t,0))&lt;0.001,pos_x,NA())</f>
        <v>#N/A</v>
      </c>
      <c r="AE197" s="377">
        <f t="shared" ca="1" si="92"/>
        <v>107.34087346227705</v>
      </c>
      <c r="AF197" s="344"/>
      <c r="AG197" s="359">
        <f t="shared" ref="AG197:AG260" ca="1" si="114">IF(AND(L196&lt;L_rampe,Poussee&lt;Poids*SIN(M196)),0,(-W196+Poussee)/m-Poids*SIN(M196)/m)</f>
        <v>-28.651510788541835</v>
      </c>
      <c r="AH197" s="357">
        <f t="shared" ref="AH197:AH260" ca="1" si="115">IF(AND(L196&lt;L_rampe,Poussee&lt;Poids*SIN(M196)), g*SIN(M196), (-W196+Poussee)/m)</f>
        <v>-19.108080475890755</v>
      </c>
    </row>
    <row r="198" spans="1:34">
      <c r="A198" s="402">
        <f t="shared" ca="1" si="93"/>
        <v>0.01</v>
      </c>
      <c r="B198" s="357">
        <f t="shared" ca="1" si="94"/>
        <v>1.9400000000000015</v>
      </c>
      <c r="C198" s="342"/>
      <c r="D198" s="359">
        <f t="shared" ca="1" si="95"/>
        <v>-4.3997108645851881</v>
      </c>
      <c r="E198" s="360">
        <f t="shared" ca="1" si="96"/>
        <v>-28.274728457851118</v>
      </c>
      <c r="F198" s="357">
        <f t="shared" ca="1" si="97"/>
        <v>28.61499126432096</v>
      </c>
      <c r="G198" s="359">
        <f t="shared" ca="1" si="98"/>
        <v>20.192428419207658</v>
      </c>
      <c r="H198" s="360">
        <f t="shared" ca="1" si="99"/>
        <v>84.64558410580041</v>
      </c>
      <c r="I198" s="357">
        <f t="shared" ca="1" si="100"/>
        <v>87.020739333086311</v>
      </c>
      <c r="J198" s="359">
        <f t="shared" ca="1" si="101"/>
        <v>23.600603927653282</v>
      </c>
      <c r="K198" s="360">
        <f t="shared" ca="1" si="102"/>
        <v>108.18874303975794</v>
      </c>
      <c r="L198" s="357">
        <f t="shared" ca="1" si="87"/>
        <v>110.73297894607882</v>
      </c>
      <c r="M198" s="359">
        <f t="shared" ca="1" si="103"/>
        <v>1.3366203176996885</v>
      </c>
      <c r="N198" s="357">
        <f t="shared" ca="1" si="104"/>
        <v>76.582703015627402</v>
      </c>
      <c r="O198" s="343"/>
      <c r="P198" s="363">
        <f t="shared" ca="1" si="105"/>
        <v>13</v>
      </c>
      <c r="Q198" s="357">
        <f t="shared" ca="1" si="106"/>
        <v>0</v>
      </c>
      <c r="R198" s="359">
        <f t="shared" ca="1" si="107"/>
        <v>0</v>
      </c>
      <c r="S198" s="360">
        <f t="shared" ca="1" si="108"/>
        <v>0.42898953648292248</v>
      </c>
      <c r="T198" s="357">
        <f t="shared" ca="1" si="88"/>
        <v>4.2083873528974696</v>
      </c>
      <c r="U198" s="364">
        <f t="shared" ca="1" si="89"/>
        <v>0</v>
      </c>
      <c r="V198" s="359">
        <f t="shared" ca="1" si="90"/>
        <v>1.2118181851764669</v>
      </c>
      <c r="W198" s="357">
        <f t="shared" ca="1" si="91"/>
        <v>8.0891287620880163</v>
      </c>
      <c r="X198" s="343"/>
      <c r="Y198" s="367" t="str">
        <f t="shared" ca="1" si="109"/>
        <v/>
      </c>
      <c r="Z198" s="368" t="str">
        <f t="shared" ca="1" si="110"/>
        <v/>
      </c>
      <c r="AA198" s="369" t="str">
        <f t="shared" ca="1" si="111"/>
        <v/>
      </c>
      <c r="AB198" s="344"/>
      <c r="AC198" s="363" t="e">
        <f t="shared" ca="1" si="112"/>
        <v>#N/A</v>
      </c>
      <c r="AD198" s="376" t="e">
        <f t="shared" ca="1" si="113"/>
        <v>#N/A</v>
      </c>
      <c r="AE198" s="377">
        <f t="shared" ca="1" si="92"/>
        <v>108.18874303975794</v>
      </c>
      <c r="AF198" s="344"/>
      <c r="AG198" s="359">
        <f t="shared" ca="1" si="114"/>
        <v>-28.524505301060827</v>
      </c>
      <c r="AH198" s="357">
        <f t="shared" ca="1" si="115"/>
        <v>-18.981666225969885</v>
      </c>
    </row>
    <row r="199" spans="1:34">
      <c r="A199" s="402">
        <f t="shared" ca="1" si="93"/>
        <v>0.01</v>
      </c>
      <c r="B199" s="357">
        <f t="shared" ca="1" si="94"/>
        <v>1.9500000000000015</v>
      </c>
      <c r="C199" s="342"/>
      <c r="D199" s="359">
        <f t="shared" ca="1" si="95"/>
        <v>-4.3754309286593287</v>
      </c>
      <c r="E199" s="360">
        <f t="shared" ca="1" si="96"/>
        <v>-28.151573335411939</v>
      </c>
      <c r="F199" s="357">
        <f t="shared" ca="1" si="97"/>
        <v>28.489567863878616</v>
      </c>
      <c r="G199" s="359">
        <f t="shared" ca="1" si="98"/>
        <v>20.148674109921064</v>
      </c>
      <c r="H199" s="360">
        <f t="shared" ca="1" si="99"/>
        <v>84.364068372446297</v>
      </c>
      <c r="I199" s="357">
        <f t="shared" ca="1" si="100"/>
        <v>86.736757494954787</v>
      </c>
      <c r="J199" s="359">
        <f t="shared" ca="1" si="101"/>
        <v>23.802309440298924</v>
      </c>
      <c r="K199" s="360">
        <f t="shared" ca="1" si="102"/>
        <v>109.03379130214917</v>
      </c>
      <c r="L199" s="357">
        <f t="shared" ca="1" si="87"/>
        <v>111.60160205128045</v>
      </c>
      <c r="M199" s="359">
        <f t="shared" ca="1" si="103"/>
        <v>1.3363578767426312</v>
      </c>
      <c r="N199" s="357">
        <f t="shared" ca="1" si="104"/>
        <v>76.567666256416643</v>
      </c>
      <c r="O199" s="343"/>
      <c r="P199" s="363">
        <f t="shared" ca="1" si="105"/>
        <v>13</v>
      </c>
      <c r="Q199" s="357">
        <f t="shared" ca="1" si="106"/>
        <v>0</v>
      </c>
      <c r="R199" s="359">
        <f t="shared" ca="1" si="107"/>
        <v>0</v>
      </c>
      <c r="S199" s="360">
        <f t="shared" ca="1" si="108"/>
        <v>0.42898953648292248</v>
      </c>
      <c r="T199" s="357">
        <f t="shared" ca="1" si="88"/>
        <v>4.2083873528974696</v>
      </c>
      <c r="U199" s="364">
        <f t="shared" ca="1" si="89"/>
        <v>0</v>
      </c>
      <c r="V199" s="359">
        <f t="shared" ca="1" si="90"/>
        <v>1.2117157819981479</v>
      </c>
      <c r="W199" s="357">
        <f t="shared" ca="1" si="91"/>
        <v>8.0357399807748493</v>
      </c>
      <c r="X199" s="343"/>
      <c r="Y199" s="367" t="str">
        <f t="shared" ca="1" si="109"/>
        <v/>
      </c>
      <c r="Z199" s="368" t="str">
        <f t="shared" ca="1" si="110"/>
        <v/>
      </c>
      <c r="AA199" s="369" t="str">
        <f t="shared" ca="1" si="111"/>
        <v/>
      </c>
      <c r="AB199" s="344"/>
      <c r="AC199" s="363" t="e">
        <f t="shared" ca="1" si="112"/>
        <v>#N/A</v>
      </c>
      <c r="AD199" s="376" t="e">
        <f t="shared" ca="1" si="113"/>
        <v>#N/A</v>
      </c>
      <c r="AE199" s="377">
        <f t="shared" ca="1" si="92"/>
        <v>109.03379130214917</v>
      </c>
      <c r="AF199" s="344"/>
      <c r="AG199" s="359">
        <f t="shared" ca="1" si="114"/>
        <v>-28.398482513969626</v>
      </c>
      <c r="AH199" s="357">
        <f t="shared" ca="1" si="115"/>
        <v>-18.856237912949734</v>
      </c>
    </row>
    <row r="200" spans="1:34">
      <c r="A200" s="402">
        <f t="shared" ca="1" si="93"/>
        <v>0.01</v>
      </c>
      <c r="B200" s="357">
        <f t="shared" ca="1" si="94"/>
        <v>1.9600000000000015</v>
      </c>
      <c r="C200" s="342"/>
      <c r="D200" s="359">
        <f t="shared" ca="1" si="95"/>
        <v>-4.3513344574249802</v>
      </c>
      <c r="E200" s="360">
        <f t="shared" ca="1" si="96"/>
        <v>-28.02937640535994</v>
      </c>
      <c r="F200" s="357">
        <f t="shared" ca="1" si="97"/>
        <v>28.36512036346263</v>
      </c>
      <c r="G200" s="359">
        <f t="shared" ca="1" si="98"/>
        <v>20.105160765346813</v>
      </c>
      <c r="H200" s="360">
        <f t="shared" ca="1" si="99"/>
        <v>84.083774608392702</v>
      </c>
      <c r="I200" s="357">
        <f t="shared" ca="1" si="100"/>
        <v>86.45402617458268</v>
      </c>
      <c r="J200" s="359">
        <f t="shared" ca="1" si="101"/>
        <v>24.003578614675263</v>
      </c>
      <c r="K200" s="360">
        <f t="shared" ca="1" si="102"/>
        <v>109.87603051705337</v>
      </c>
      <c r="L200" s="357">
        <f t="shared" ca="1" si="87"/>
        <v>112.46739024488538</v>
      </c>
      <c r="M200" s="359">
        <f t="shared" ca="1" si="103"/>
        <v>1.3360942878661635</v>
      </c>
      <c r="N200" s="357">
        <f t="shared" ca="1" si="104"/>
        <v>76.552563726268446</v>
      </c>
      <c r="O200" s="343"/>
      <c r="P200" s="363">
        <f t="shared" ca="1" si="105"/>
        <v>13</v>
      </c>
      <c r="Q200" s="357">
        <f t="shared" ca="1" si="106"/>
        <v>0</v>
      </c>
      <c r="R200" s="359">
        <f t="shared" ca="1" si="107"/>
        <v>0</v>
      </c>
      <c r="S200" s="360">
        <f t="shared" ca="1" si="108"/>
        <v>0.42898953648292248</v>
      </c>
      <c r="T200" s="357">
        <f t="shared" ca="1" si="88"/>
        <v>4.2083873528974696</v>
      </c>
      <c r="U200" s="364">
        <f t="shared" ca="1" si="89"/>
        <v>0</v>
      </c>
      <c r="V200" s="359">
        <f t="shared" ca="1" si="90"/>
        <v>1.2116137277843846</v>
      </c>
      <c r="W200" s="357">
        <f t="shared" ca="1" si="91"/>
        <v>7.9827656030583398</v>
      </c>
      <c r="X200" s="343"/>
      <c r="Y200" s="367" t="str">
        <f t="shared" ca="1" si="109"/>
        <v/>
      </c>
      <c r="Z200" s="368" t="str">
        <f t="shared" ca="1" si="110"/>
        <v/>
      </c>
      <c r="AA200" s="369" t="str">
        <f t="shared" ca="1" si="111"/>
        <v/>
      </c>
      <c r="AB200" s="344"/>
      <c r="AC200" s="363" t="e">
        <f t="shared" ca="1" si="112"/>
        <v>#N/A</v>
      </c>
      <c r="AD200" s="376" t="e">
        <f t="shared" ca="1" si="113"/>
        <v>#N/A</v>
      </c>
      <c r="AE200" s="377">
        <f t="shared" ca="1" si="92"/>
        <v>109.87603051705337</v>
      </c>
      <c r="AF200" s="344"/>
      <c r="AG200" s="359">
        <f t="shared" ca="1" si="114"/>
        <v>-28.273432374589177</v>
      </c>
      <c r="AH200" s="357">
        <f t="shared" ca="1" si="115"/>
        <v>-18.731785503805035</v>
      </c>
    </row>
    <row r="201" spans="1:34">
      <c r="A201" s="402">
        <f t="shared" ca="1" si="93"/>
        <v>0.01</v>
      </c>
      <c r="B201" s="357">
        <f t="shared" ca="1" si="94"/>
        <v>1.9700000000000015</v>
      </c>
      <c r="C201" s="342"/>
      <c r="D201" s="359">
        <f t="shared" ca="1" si="95"/>
        <v>-4.3274195709342465</v>
      </c>
      <c r="E201" s="360">
        <f t="shared" ca="1" si="96"/>
        <v>-27.908127942629555</v>
      </c>
      <c r="F201" s="357">
        <f t="shared" ca="1" si="97"/>
        <v>28.241638858343283</v>
      </c>
      <c r="G201" s="359">
        <f t="shared" ca="1" si="98"/>
        <v>20.061886569637469</v>
      </c>
      <c r="H201" s="360">
        <f t="shared" ca="1" si="99"/>
        <v>83.804693328966408</v>
      </c>
      <c r="I201" s="357">
        <f t="shared" ca="1" si="100"/>
        <v>86.172535744836395</v>
      </c>
      <c r="J201" s="359">
        <f t="shared" ca="1" si="101"/>
        <v>24.204413851350186</v>
      </c>
      <c r="K201" s="360">
        <f t="shared" ca="1" si="102"/>
        <v>110.71547285674016</v>
      </c>
      <c r="L201" s="357">
        <f t="shared" ca="1" si="87"/>
        <v>113.33035595011162</v>
      </c>
      <c r="M201" s="359">
        <f t="shared" ca="1" si="103"/>
        <v>1.3358295460971217</v>
      </c>
      <c r="N201" s="357">
        <f t="shared" ca="1" si="104"/>
        <v>76.537395140241529</v>
      </c>
      <c r="O201" s="343"/>
      <c r="P201" s="363">
        <f t="shared" ca="1" si="105"/>
        <v>13</v>
      </c>
      <c r="Q201" s="357">
        <f t="shared" ca="1" si="106"/>
        <v>0</v>
      </c>
      <c r="R201" s="359">
        <f t="shared" ca="1" si="107"/>
        <v>0</v>
      </c>
      <c r="S201" s="360">
        <f t="shared" ca="1" si="108"/>
        <v>0.42898953648292248</v>
      </c>
      <c r="T201" s="357">
        <f t="shared" ca="1" si="88"/>
        <v>4.2083873528974696</v>
      </c>
      <c r="U201" s="364">
        <f t="shared" ca="1" si="89"/>
        <v>0</v>
      </c>
      <c r="V201" s="359">
        <f t="shared" ca="1" si="90"/>
        <v>1.2115120209738377</v>
      </c>
      <c r="W201" s="357">
        <f t="shared" ca="1" si="91"/>
        <v>7.93020143424756</v>
      </c>
      <c r="X201" s="343"/>
      <c r="Y201" s="367" t="str">
        <f t="shared" ca="1" si="109"/>
        <v/>
      </c>
      <c r="Z201" s="368" t="str">
        <f t="shared" ca="1" si="110"/>
        <v/>
      </c>
      <c r="AA201" s="369" t="str">
        <f t="shared" ca="1" si="111"/>
        <v/>
      </c>
      <c r="AB201" s="344"/>
      <c r="AC201" s="363" t="e">
        <f t="shared" ca="1" si="112"/>
        <v>#N/A</v>
      </c>
      <c r="AD201" s="376" t="e">
        <f t="shared" ca="1" si="113"/>
        <v>#N/A</v>
      </c>
      <c r="AE201" s="377">
        <f t="shared" ca="1" si="92"/>
        <v>110.71547285674016</v>
      </c>
      <c r="AF201" s="344"/>
      <c r="AG201" s="359">
        <f t="shared" ca="1" si="114"/>
        <v>-28.149344958540198</v>
      </c>
      <c r="AH201" s="357">
        <f t="shared" ca="1" si="115"/>
        <v>-18.608299093971311</v>
      </c>
    </row>
    <row r="202" spans="1:34">
      <c r="A202" s="402">
        <f t="shared" ca="1" si="93"/>
        <v>0.01</v>
      </c>
      <c r="B202" s="357">
        <f t="shared" ca="1" si="94"/>
        <v>1.9800000000000015</v>
      </c>
      <c r="C202" s="342"/>
      <c r="D202" s="359">
        <f t="shared" ca="1" si="95"/>
        <v>-4.3036844132140084</v>
      </c>
      <c r="E202" s="360">
        <f t="shared" ca="1" si="96"/>
        <v>-27.787818346351578</v>
      </c>
      <c r="F202" s="357">
        <f t="shared" ca="1" si="97"/>
        <v>28.119113570281243</v>
      </c>
      <c r="G202" s="359">
        <f t="shared" ca="1" si="98"/>
        <v>20.01884972550533</v>
      </c>
      <c r="H202" s="360">
        <f t="shared" ca="1" si="99"/>
        <v>83.526815145502894</v>
      </c>
      <c r="I202" s="357">
        <f t="shared" ca="1" si="100"/>
        <v>85.892276676563753</v>
      </c>
      <c r="J202" s="359">
        <f t="shared" ca="1" si="101"/>
        <v>24.404817532825898</v>
      </c>
      <c r="K202" s="360">
        <f t="shared" ca="1" si="102"/>
        <v>111.55213039911251</v>
      </c>
      <c r="L202" s="357">
        <f t="shared" ca="1" si="87"/>
        <v>114.19051149456827</v>
      </c>
      <c r="M202" s="359">
        <f t="shared" ca="1" si="103"/>
        <v>1.3355636464286522</v>
      </c>
      <c r="N202" s="357">
        <f t="shared" ca="1" si="104"/>
        <v>76.522160211464296</v>
      </c>
      <c r="O202" s="343"/>
      <c r="P202" s="363">
        <f t="shared" ca="1" si="105"/>
        <v>13</v>
      </c>
      <c r="Q202" s="357">
        <f t="shared" ca="1" si="106"/>
        <v>0</v>
      </c>
      <c r="R202" s="359">
        <f t="shared" ca="1" si="107"/>
        <v>0</v>
      </c>
      <c r="S202" s="360">
        <f t="shared" ca="1" si="108"/>
        <v>0.42898953648292248</v>
      </c>
      <c r="T202" s="357">
        <f t="shared" ca="1" si="88"/>
        <v>4.2083873528974696</v>
      </c>
      <c r="U202" s="364">
        <f t="shared" ca="1" si="89"/>
        <v>0</v>
      </c>
      <c r="V202" s="359">
        <f t="shared" ca="1" si="90"/>
        <v>1.2114106600173977</v>
      </c>
      <c r="W202" s="357">
        <f t="shared" ca="1" si="91"/>
        <v>7.878043333085623</v>
      </c>
      <c r="X202" s="343"/>
      <c r="Y202" s="367" t="str">
        <f t="shared" ca="1" si="109"/>
        <v/>
      </c>
      <c r="Z202" s="368" t="str">
        <f t="shared" ca="1" si="110"/>
        <v/>
      </c>
      <c r="AA202" s="369" t="str">
        <f t="shared" ca="1" si="111"/>
        <v/>
      </c>
      <c r="AB202" s="344"/>
      <c r="AC202" s="363" t="e">
        <f t="shared" ca="1" si="112"/>
        <v>#N/A</v>
      </c>
      <c r="AD202" s="376" t="e">
        <f t="shared" ca="1" si="113"/>
        <v>#N/A</v>
      </c>
      <c r="AE202" s="377">
        <f t="shared" ca="1" si="92"/>
        <v>111.55213039911251</v>
      </c>
      <c r="AF202" s="344"/>
      <c r="AG202" s="359">
        <f t="shared" ca="1" si="114"/>
        <v>-28.026210467772533</v>
      </c>
      <c r="AH202" s="357">
        <f t="shared" ca="1" si="115"/>
        <v>-18.485768905375739</v>
      </c>
    </row>
    <row r="203" spans="1:34">
      <c r="A203" s="402">
        <f t="shared" ca="1" si="93"/>
        <v>0.01</v>
      </c>
      <c r="B203" s="357">
        <f t="shared" ca="1" si="94"/>
        <v>1.9900000000000015</v>
      </c>
      <c r="C203" s="342"/>
      <c r="D203" s="359">
        <f t="shared" ca="1" si="95"/>
        <v>-4.2801271518993298</v>
      </c>
      <c r="E203" s="360">
        <f t="shared" ca="1" si="96"/>
        <v>-27.668438137954439</v>
      </c>
      <c r="F203" s="357">
        <f t="shared" ca="1" si="97"/>
        <v>27.997534845593773</v>
      </c>
      <c r="G203" s="359">
        <f t="shared" ca="1" si="98"/>
        <v>19.976048453986337</v>
      </c>
      <c r="H203" s="360">
        <f t="shared" ca="1" si="99"/>
        <v>83.250130764123355</v>
      </c>
      <c r="I203" s="357">
        <f t="shared" ca="1" si="100"/>
        <v>85.613239537349884</v>
      </c>
      <c r="J203" s="359">
        <f t="shared" ca="1" si="101"/>
        <v>24.604792023723355</v>
      </c>
      <c r="K203" s="360">
        <f t="shared" ca="1" si="102"/>
        <v>112.38601512866065</v>
      </c>
      <c r="L203" s="357">
        <f t="shared" ca="1" si="87"/>
        <v>115.04786911121049</v>
      </c>
      <c r="M203" s="359">
        <f t="shared" ca="1" si="103"/>
        <v>1.3352965838199553</v>
      </c>
      <c r="N203" s="357">
        <f t="shared" ca="1" si="104"/>
        <v>76.506858651120211</v>
      </c>
      <c r="O203" s="343"/>
      <c r="P203" s="363">
        <f t="shared" ca="1" si="105"/>
        <v>13</v>
      </c>
      <c r="Q203" s="357">
        <f t="shared" ca="1" si="106"/>
        <v>0</v>
      </c>
      <c r="R203" s="359">
        <f t="shared" ca="1" si="107"/>
        <v>0</v>
      </c>
      <c r="S203" s="360">
        <f t="shared" ca="1" si="108"/>
        <v>0.42898953648292248</v>
      </c>
      <c r="T203" s="357">
        <f t="shared" ca="1" si="88"/>
        <v>4.2083873528974696</v>
      </c>
      <c r="U203" s="364">
        <f t="shared" ca="1" si="89"/>
        <v>0</v>
      </c>
      <c r="V203" s="359">
        <f t="shared" ca="1" si="90"/>
        <v>1.2113096433780606</v>
      </c>
      <c r="W203" s="357">
        <f t="shared" ca="1" si="91"/>
        <v>7.8262872109348329</v>
      </c>
      <c r="X203" s="343"/>
      <c r="Y203" s="367" t="str">
        <f t="shared" ca="1" si="109"/>
        <v/>
      </c>
      <c r="Z203" s="368" t="str">
        <f t="shared" ca="1" si="110"/>
        <v/>
      </c>
      <c r="AA203" s="369" t="str">
        <f t="shared" ca="1" si="111"/>
        <v/>
      </c>
      <c r="AB203" s="344"/>
      <c r="AC203" s="363" t="e">
        <f t="shared" ca="1" si="112"/>
        <v>#N/A</v>
      </c>
      <c r="AD203" s="376" t="e">
        <f t="shared" ca="1" si="113"/>
        <v>#N/A</v>
      </c>
      <c r="AE203" s="377">
        <f t="shared" ca="1" si="92"/>
        <v>112.38601512866065</v>
      </c>
      <c r="AF203" s="344"/>
      <c r="AG203" s="359">
        <f t="shared" ca="1" si="114"/>
        <v>-27.904019228629856</v>
      </c>
      <c r="AH203" s="357">
        <f t="shared" ca="1" si="115"/>
        <v>-18.364185284503407</v>
      </c>
    </row>
    <row r="204" spans="1:34">
      <c r="A204" s="402">
        <f t="shared" ca="1" si="93"/>
        <v>0.01</v>
      </c>
      <c r="B204" s="357">
        <f t="shared" ca="1" si="94"/>
        <v>2.0000000000000013</v>
      </c>
      <c r="C204" s="342"/>
      <c r="D204" s="359">
        <f t="shared" ca="1" si="95"/>
        <v>-4.2567459778733285</v>
      </c>
      <c r="E204" s="360">
        <f t="shared" ca="1" si="96"/>
        <v>-27.54997795929922</v>
      </c>
      <c r="F204" s="357">
        <f t="shared" ca="1" si="97"/>
        <v>27.876893153255324</v>
      </c>
      <c r="G204" s="359">
        <f t="shared" ca="1" si="98"/>
        <v>19.933480994207603</v>
      </c>
      <c r="H204" s="360">
        <f t="shared" ca="1" si="99"/>
        <v>82.974630984530364</v>
      </c>
      <c r="I204" s="357">
        <f t="shared" ca="1" si="100"/>
        <v>85.335414990292406</v>
      </c>
      <c r="J204" s="359">
        <f t="shared" ca="1" si="101"/>
        <v>24.804339670964325</v>
      </c>
      <c r="K204" s="360">
        <f t="shared" ca="1" si="102"/>
        <v>113.21713893740392</v>
      </c>
      <c r="L204" s="357">
        <f t="shared" ca="1" si="87"/>
        <v>115.90244093928305</v>
      </c>
      <c r="M204" s="359">
        <f t="shared" ca="1" si="103"/>
        <v>1.3350283531960241</v>
      </c>
      <c r="N204" s="357">
        <f t="shared" ca="1" si="104"/>
        <v>76.49149016843279</v>
      </c>
      <c r="O204" s="343"/>
      <c r="P204" s="363">
        <f t="shared" ca="1" si="105"/>
        <v>13</v>
      </c>
      <c r="Q204" s="357">
        <f t="shared" ca="1" si="106"/>
        <v>0</v>
      </c>
      <c r="R204" s="359">
        <f t="shared" ca="1" si="107"/>
        <v>0</v>
      </c>
      <c r="S204" s="360">
        <f t="shared" ca="1" si="108"/>
        <v>0.42898953648292248</v>
      </c>
      <c r="T204" s="357">
        <f t="shared" ca="1" si="88"/>
        <v>4.2083873528974696</v>
      </c>
      <c r="U204" s="364">
        <f t="shared" ca="1" si="89"/>
        <v>0</v>
      </c>
      <c r="V204" s="359">
        <f t="shared" ca="1" si="90"/>
        <v>1.2112089695308041</v>
      </c>
      <c r="W204" s="357">
        <f t="shared" ca="1" si="91"/>
        <v>7.7749290309763737</v>
      </c>
      <c r="X204" s="343"/>
      <c r="Y204" s="367" t="str">
        <f t="shared" ca="1" si="109"/>
        <v/>
      </c>
      <c r="Z204" s="368" t="str">
        <f t="shared" ca="1" si="110"/>
        <v/>
      </c>
      <c r="AA204" s="369" t="str">
        <f t="shared" ca="1" si="111"/>
        <v/>
      </c>
      <c r="AB204" s="344"/>
      <c r="AC204" s="363">
        <f t="shared" ca="1" si="112"/>
        <v>2.0000000000000013</v>
      </c>
      <c r="AD204" s="376">
        <f t="shared" ca="1" si="113"/>
        <v>24.804339670964325</v>
      </c>
      <c r="AE204" s="377">
        <f t="shared" ca="1" si="92"/>
        <v>113.21713893740392</v>
      </c>
      <c r="AF204" s="344"/>
      <c r="AG204" s="359">
        <f t="shared" ca="1" si="114"/>
        <v>-27.7827616899487</v>
      </c>
      <c r="AH204" s="357">
        <f t="shared" ca="1" si="115"/>
        <v>-18.243538700497854</v>
      </c>
    </row>
    <row r="205" spans="1:34">
      <c r="A205" s="402">
        <f t="shared" ca="1" si="93"/>
        <v>0.1</v>
      </c>
      <c r="B205" s="357">
        <f t="shared" ca="1" si="94"/>
        <v>2.1000000000000014</v>
      </c>
      <c r="C205" s="342"/>
      <c r="D205" s="359">
        <f t="shared" ca="1" si="95"/>
        <v>-4.2335391049135085</v>
      </c>
      <c r="E205" s="360">
        <f t="shared" ca="1" si="96"/>
        <v>-27.432428570847883</v>
      </c>
      <c r="F205" s="357">
        <f t="shared" ca="1" si="97"/>
        <v>27.75717908303189</v>
      </c>
      <c r="G205" s="359">
        <f t="shared" ca="1" si="98"/>
        <v>19.510127083716252</v>
      </c>
      <c r="H205" s="360">
        <f t="shared" ca="1" si="99"/>
        <v>80.23138812744557</v>
      </c>
      <c r="I205" s="357">
        <f t="shared" ca="1" si="100"/>
        <v>82.569490126072424</v>
      </c>
      <c r="J205" s="359">
        <f t="shared" ca="1" si="101"/>
        <v>26.776520074860517</v>
      </c>
      <c r="K205" s="360">
        <f t="shared" ca="1" si="102"/>
        <v>121.37743989300272</v>
      </c>
      <c r="L205" s="357">
        <f t="shared" ca="1" si="87"/>
        <v>124.29587661020335</v>
      </c>
      <c r="M205" s="359">
        <f t="shared" ca="1" si="103"/>
        <v>1.3322530923816309</v>
      </c>
      <c r="N205" s="357">
        <f t="shared" ca="1" si="104"/>
        <v>76.332479436720021</v>
      </c>
      <c r="O205" s="343"/>
      <c r="P205" s="363">
        <f t="shared" ca="1" si="105"/>
        <v>23</v>
      </c>
      <c r="Q205" s="357">
        <f t="shared" ca="1" si="106"/>
        <v>0</v>
      </c>
      <c r="R205" s="359">
        <f t="shared" ca="1" si="107"/>
        <v>0</v>
      </c>
      <c r="S205" s="360">
        <f t="shared" ca="1" si="108"/>
        <v>0.42898953648292248</v>
      </c>
      <c r="T205" s="357">
        <f t="shared" ca="1" si="88"/>
        <v>4.2083873528974696</v>
      </c>
      <c r="U205" s="364">
        <f t="shared" ca="1" si="89"/>
        <v>0</v>
      </c>
      <c r="V205" s="359">
        <f t="shared" ca="1" si="90"/>
        <v>1.2102209557409187</v>
      </c>
      <c r="W205" s="357">
        <f t="shared" ca="1" si="91"/>
        <v>7.2731512631181232</v>
      </c>
      <c r="X205" s="343"/>
      <c r="Y205" s="367" t="str">
        <f t="shared" ca="1" si="109"/>
        <v/>
      </c>
      <c r="Z205" s="368" t="str">
        <f t="shared" ca="1" si="110"/>
        <v/>
      </c>
      <c r="AA205" s="369" t="str">
        <f t="shared" ca="1" si="111"/>
        <v/>
      </c>
      <c r="AB205" s="344"/>
      <c r="AC205" s="363" t="e">
        <f t="shared" ca="1" si="112"/>
        <v>#N/A</v>
      </c>
      <c r="AD205" s="376" t="e">
        <f t="shared" ca="1" si="113"/>
        <v>#N/A</v>
      </c>
      <c r="AE205" s="377">
        <f t="shared" ca="1" si="92"/>
        <v>121.37743989300272</v>
      </c>
      <c r="AF205" s="344"/>
      <c r="AG205" s="359">
        <f t="shared" ca="1" si="114"/>
        <v>-27.662428421191301</v>
      </c>
      <c r="AH205" s="357">
        <f t="shared" ca="1" si="115"/>
        <v>-18.123819743295495</v>
      </c>
    </row>
    <row r="206" spans="1:34">
      <c r="A206" s="402">
        <f t="shared" ca="1" si="93"/>
        <v>0.1</v>
      </c>
      <c r="B206" s="357">
        <f t="shared" ca="1" si="94"/>
        <v>2.2000000000000015</v>
      </c>
      <c r="C206" s="342"/>
      <c r="D206" s="359">
        <f t="shared" ca="1" si="95"/>
        <v>-4.0060504657946323</v>
      </c>
      <c r="E206" s="360">
        <f t="shared" ca="1" si="96"/>
        <v>-26.284059261641751</v>
      </c>
      <c r="F206" s="357">
        <f t="shared" ca="1" si="97"/>
        <v>26.587595069956759</v>
      </c>
      <c r="G206" s="359">
        <f t="shared" ca="1" si="98"/>
        <v>19.109522037136788</v>
      </c>
      <c r="H206" s="360">
        <f t="shared" ca="1" si="99"/>
        <v>77.602982201281392</v>
      </c>
      <c r="I206" s="357">
        <f t="shared" ca="1" si="100"/>
        <v>79.921190425444834</v>
      </c>
      <c r="J206" s="359">
        <f t="shared" ca="1" si="101"/>
        <v>28.70750253090317</v>
      </c>
      <c r="K206" s="360">
        <f t="shared" ca="1" si="102"/>
        <v>129.26915840943906</v>
      </c>
      <c r="L206" s="357">
        <f t="shared" ca="1" si="87"/>
        <v>132.41841268285336</v>
      </c>
      <c r="M206" s="359">
        <f t="shared" ca="1" si="103"/>
        <v>1.3293527573538491</v>
      </c>
      <c r="N206" s="357">
        <f t="shared" ca="1" si="104"/>
        <v>76.166302480454164</v>
      </c>
      <c r="O206" s="343"/>
      <c r="P206" s="363">
        <f t="shared" ca="1" si="105"/>
        <v>23</v>
      </c>
      <c r="Q206" s="357">
        <f t="shared" ca="1" si="106"/>
        <v>0</v>
      </c>
      <c r="R206" s="359">
        <f t="shared" ca="1" si="107"/>
        <v>0</v>
      </c>
      <c r="S206" s="360">
        <f t="shared" ca="1" si="108"/>
        <v>0.42898953648292248</v>
      </c>
      <c r="T206" s="357">
        <f t="shared" ca="1" si="88"/>
        <v>4.2083873528974696</v>
      </c>
      <c r="U206" s="364">
        <f t="shared" ca="1" si="89"/>
        <v>0</v>
      </c>
      <c r="V206" s="359">
        <f t="shared" ca="1" si="90"/>
        <v>1.2092662227023374</v>
      </c>
      <c r="W206" s="357">
        <f t="shared" ca="1" si="91"/>
        <v>6.8087055965775365</v>
      </c>
      <c r="X206" s="343"/>
      <c r="Y206" s="367" t="str">
        <f t="shared" ca="1" si="109"/>
        <v/>
      </c>
      <c r="Z206" s="368" t="str">
        <f t="shared" ca="1" si="110"/>
        <v/>
      </c>
      <c r="AA206" s="369" t="str">
        <f t="shared" ca="1" si="111"/>
        <v/>
      </c>
      <c r="AB206" s="344"/>
      <c r="AC206" s="363" t="e">
        <f t="shared" ca="1" si="112"/>
        <v>#N/A</v>
      </c>
      <c r="AD206" s="376" t="e">
        <f t="shared" ca="1" si="113"/>
        <v>#N/A</v>
      </c>
      <c r="AE206" s="377">
        <f t="shared" ca="1" si="92"/>
        <v>129.26915840943906</v>
      </c>
      <c r="AF206" s="344"/>
      <c r="AG206" s="359">
        <f t="shared" ca="1" si="114"/>
        <v>-26.48635846652067</v>
      </c>
      <c r="AH206" s="357">
        <f t="shared" ca="1" si="115"/>
        <v>-16.954146067867224</v>
      </c>
    </row>
    <row r="207" spans="1:34">
      <c r="A207" s="402">
        <f t="shared" ca="1" si="93"/>
        <v>0.1</v>
      </c>
      <c r="B207" s="357">
        <f t="shared" ca="1" si="94"/>
        <v>2.3000000000000016</v>
      </c>
      <c r="C207" s="342"/>
      <c r="D207" s="359">
        <f t="shared" ca="1" si="95"/>
        <v>-3.7949471948993749</v>
      </c>
      <c r="E207" s="360">
        <f t="shared" ca="1" si="96"/>
        <v>-25.221124310082654</v>
      </c>
      <c r="F207" s="357">
        <f t="shared" ca="1" si="97"/>
        <v>25.505033536082969</v>
      </c>
      <c r="G207" s="359">
        <f t="shared" ca="1" si="98"/>
        <v>18.730027317646851</v>
      </c>
      <c r="H207" s="360">
        <f t="shared" ca="1" si="99"/>
        <v>75.080869770273125</v>
      </c>
      <c r="I207" s="357">
        <f t="shared" ca="1" si="100"/>
        <v>77.381851417373767</v>
      </c>
      <c r="J207" s="359">
        <f t="shared" ca="1" si="101"/>
        <v>30.599479998642352</v>
      </c>
      <c r="K207" s="360">
        <f t="shared" ca="1" si="102"/>
        <v>136.90335100801678</v>
      </c>
      <c r="L207" s="357">
        <f t="shared" ca="1" si="87"/>
        <v>140.2813447804503</v>
      </c>
      <c r="M207" s="359">
        <f t="shared" ca="1" si="103"/>
        <v>1.3263215305206353</v>
      </c>
      <c r="N207" s="357">
        <f t="shared" ca="1" si="104"/>
        <v>75.992625976164206</v>
      </c>
      <c r="O207" s="343"/>
      <c r="P207" s="363">
        <f t="shared" ca="1" si="105"/>
        <v>23</v>
      </c>
      <c r="Q207" s="357">
        <f t="shared" ca="1" si="106"/>
        <v>0</v>
      </c>
      <c r="R207" s="359">
        <f t="shared" ca="1" si="107"/>
        <v>0</v>
      </c>
      <c r="S207" s="360">
        <f t="shared" ca="1" si="108"/>
        <v>0.42898953648292248</v>
      </c>
      <c r="T207" s="357">
        <f t="shared" ca="1" si="88"/>
        <v>4.2083873528974696</v>
      </c>
      <c r="U207" s="364">
        <f t="shared" ca="1" si="89"/>
        <v>0</v>
      </c>
      <c r="V207" s="359">
        <f t="shared" ca="1" si="90"/>
        <v>1.2083433570135873</v>
      </c>
      <c r="W207" s="357">
        <f t="shared" ca="1" si="91"/>
        <v>6.3780414456715029</v>
      </c>
      <c r="X207" s="343"/>
      <c r="Y207" s="367" t="str">
        <f t="shared" ca="1" si="109"/>
        <v/>
      </c>
      <c r="Z207" s="368" t="str">
        <f t="shared" ca="1" si="110"/>
        <v/>
      </c>
      <c r="AA207" s="369" t="str">
        <f t="shared" ca="1" si="111"/>
        <v/>
      </c>
      <c r="AB207" s="344"/>
      <c r="AC207" s="363" t="e">
        <f t="shared" ca="1" si="112"/>
        <v>#N/A</v>
      </c>
      <c r="AD207" s="376" t="e">
        <f t="shared" ca="1" si="113"/>
        <v>#N/A</v>
      </c>
      <c r="AE207" s="377">
        <f t="shared" ca="1" si="92"/>
        <v>136.90335100801678</v>
      </c>
      <c r="AF207" s="344"/>
      <c r="AG207" s="359">
        <f t="shared" ca="1" si="114"/>
        <v>-25.396945130288362</v>
      </c>
      <c r="AH207" s="357">
        <f t="shared" ca="1" si="115"/>
        <v>-15.871495730172855</v>
      </c>
    </row>
    <row r="208" spans="1:34">
      <c r="A208" s="402">
        <f t="shared" ca="1" si="93"/>
        <v>0.1</v>
      </c>
      <c r="B208" s="357">
        <f t="shared" ca="1" si="94"/>
        <v>2.4000000000000017</v>
      </c>
      <c r="C208" s="342"/>
      <c r="D208" s="359">
        <f t="shared" ca="1" si="95"/>
        <v>-3.5986526707568465</v>
      </c>
      <c r="E208" s="360">
        <f t="shared" ca="1" si="96"/>
        <v>-24.235498048632095</v>
      </c>
      <c r="F208" s="357">
        <f t="shared" ca="1" si="97"/>
        <v>24.501217657700106</v>
      </c>
      <c r="G208" s="359">
        <f t="shared" ca="1" si="98"/>
        <v>18.370162050571167</v>
      </c>
      <c r="H208" s="360">
        <f t="shared" ca="1" si="99"/>
        <v>72.657319965409911</v>
      </c>
      <c r="I208" s="357">
        <f t="shared" ca="1" si="100"/>
        <v>74.943638811577586</v>
      </c>
      <c r="J208" s="359">
        <f t="shared" ca="1" si="101"/>
        <v>32.45448946705325</v>
      </c>
      <c r="K208" s="360">
        <f t="shared" ca="1" si="102"/>
        <v>144.29026049480095</v>
      </c>
      <c r="L208" s="357">
        <f t="shared" ca="1" si="87"/>
        <v>147.89514244972545</v>
      </c>
      <c r="M208" s="359">
        <f t="shared" ca="1" si="103"/>
        <v>1.3231531724852366</v>
      </c>
      <c r="N208" s="357">
        <f t="shared" ca="1" si="104"/>
        <v>75.811092432749504</v>
      </c>
      <c r="O208" s="343"/>
      <c r="P208" s="363">
        <f t="shared" ca="1" si="105"/>
        <v>23</v>
      </c>
      <c r="Q208" s="357">
        <f t="shared" ca="1" si="106"/>
        <v>0</v>
      </c>
      <c r="R208" s="359">
        <f t="shared" ca="1" si="107"/>
        <v>0</v>
      </c>
      <c r="S208" s="360">
        <f t="shared" ca="1" si="108"/>
        <v>0.42898953648292248</v>
      </c>
      <c r="T208" s="357">
        <f t="shared" ca="1" si="88"/>
        <v>4.2083873528974696</v>
      </c>
      <c r="U208" s="364">
        <f t="shared" ca="1" si="89"/>
        <v>0</v>
      </c>
      <c r="V208" s="359">
        <f t="shared" ca="1" si="90"/>
        <v>1.207451050216173</v>
      </c>
      <c r="W208" s="357">
        <f t="shared" ca="1" si="91"/>
        <v>5.9780264343219001</v>
      </c>
      <c r="X208" s="343"/>
      <c r="Y208" s="367" t="str">
        <f t="shared" ca="1" si="109"/>
        <v/>
      </c>
      <c r="Z208" s="368" t="str">
        <f t="shared" ca="1" si="110"/>
        <v/>
      </c>
      <c r="AA208" s="369" t="str">
        <f t="shared" ca="1" si="111"/>
        <v/>
      </c>
      <c r="AB208" s="344"/>
      <c r="AC208" s="363" t="e">
        <f t="shared" ca="1" si="112"/>
        <v>#N/A</v>
      </c>
      <c r="AD208" s="376" t="e">
        <f t="shared" ca="1" si="113"/>
        <v>#N/A</v>
      </c>
      <c r="AE208" s="377">
        <f t="shared" ca="1" si="92"/>
        <v>144.29026049480095</v>
      </c>
      <c r="AF208" s="344"/>
      <c r="AG208" s="359">
        <f t="shared" ca="1" si="114"/>
        <v>-24.385887660648276</v>
      </c>
      <c r="AH208" s="357">
        <f t="shared" ca="1" si="115"/>
        <v>-14.867592104837748</v>
      </c>
    </row>
    <row r="209" spans="1:34">
      <c r="A209" s="402">
        <f t="shared" ca="1" si="93"/>
        <v>0.1</v>
      </c>
      <c r="B209" s="357">
        <f t="shared" ca="1" si="94"/>
        <v>2.5000000000000018</v>
      </c>
      <c r="C209" s="342"/>
      <c r="D209" s="359">
        <f t="shared" ca="1" si="95"/>
        <v>-3.4157756883524004</v>
      </c>
      <c r="E209" s="360">
        <f t="shared" ca="1" si="96"/>
        <v>-23.320011857025079</v>
      </c>
      <c r="F209" s="357">
        <f t="shared" ca="1" si="97"/>
        <v>23.568845465251997</v>
      </c>
      <c r="G209" s="359">
        <f t="shared" ca="1" si="98"/>
        <v>18.028584481735926</v>
      </c>
      <c r="H209" s="360">
        <f t="shared" ca="1" si="99"/>
        <v>70.325318779707402</v>
      </c>
      <c r="I209" s="357">
        <f t="shared" ca="1" si="100"/>
        <v>72.599451236786607</v>
      </c>
      <c r="J209" s="359">
        <f t="shared" ca="1" si="101"/>
        <v>34.274426793668603</v>
      </c>
      <c r="K209" s="360">
        <f t="shared" ca="1" si="102"/>
        <v>151.43939243205682</v>
      </c>
      <c r="L209" s="357">
        <f t="shared" ca="1" si="87"/>
        <v>155.26952666967546</v>
      </c>
      <c r="M209" s="359">
        <f t="shared" ca="1" si="103"/>
        <v>1.3198409868075252</v>
      </c>
      <c r="N209" s="357">
        <f t="shared" ca="1" si="104"/>
        <v>75.621318172452959</v>
      </c>
      <c r="O209" s="343"/>
      <c r="P209" s="363">
        <f t="shared" ca="1" si="105"/>
        <v>23</v>
      </c>
      <c r="Q209" s="357">
        <f t="shared" ca="1" si="106"/>
        <v>0</v>
      </c>
      <c r="R209" s="359">
        <f t="shared" ca="1" si="107"/>
        <v>0</v>
      </c>
      <c r="S209" s="360">
        <f t="shared" ca="1" si="108"/>
        <v>0.42898953648292248</v>
      </c>
      <c r="T209" s="357">
        <f t="shared" ca="1" si="88"/>
        <v>4.2083873528974696</v>
      </c>
      <c r="U209" s="364">
        <f t="shared" ca="1" si="89"/>
        <v>0</v>
      </c>
      <c r="V209" s="359">
        <f t="shared" ca="1" si="90"/>
        <v>1.2065880888589091</v>
      </c>
      <c r="W209" s="357">
        <f t="shared" ca="1" si="91"/>
        <v>5.6058884971202847</v>
      </c>
      <c r="X209" s="343"/>
      <c r="Y209" s="367" t="str">
        <f t="shared" ca="1" si="109"/>
        <v/>
      </c>
      <c r="Z209" s="368" t="str">
        <f t="shared" ca="1" si="110"/>
        <v/>
      </c>
      <c r="AA209" s="369" t="str">
        <f t="shared" ca="1" si="111"/>
        <v/>
      </c>
      <c r="AB209" s="344"/>
      <c r="AC209" s="363" t="e">
        <f t="shared" ca="1" si="112"/>
        <v>#N/A</v>
      </c>
      <c r="AD209" s="376" t="e">
        <f t="shared" ca="1" si="113"/>
        <v>#N/A</v>
      </c>
      <c r="AE209" s="377">
        <f t="shared" ca="1" si="92"/>
        <v>151.43939243205682</v>
      </c>
      <c r="AF209" s="344"/>
      <c r="AG209" s="359">
        <f t="shared" ca="1" si="114"/>
        <v>-23.445858032516732</v>
      </c>
      <c r="AH209" s="357">
        <f t="shared" ca="1" si="115"/>
        <v>-13.935133437828915</v>
      </c>
    </row>
    <row r="210" spans="1:34">
      <c r="A210" s="402">
        <f t="shared" ca="1" si="93"/>
        <v>0.1</v>
      </c>
      <c r="B210" s="357">
        <f t="shared" ca="1" si="94"/>
        <v>2.6000000000000019</v>
      </c>
      <c r="C210" s="342"/>
      <c r="D210" s="359">
        <f t="shared" ca="1" si="95"/>
        <v>-3.2450847777155603</v>
      </c>
      <c r="E210" s="360">
        <f t="shared" ca="1" si="96"/>
        <v>-22.46832166087222</v>
      </c>
      <c r="F210" s="357">
        <f t="shared" ca="1" si="97"/>
        <v>22.701454875645769</v>
      </c>
      <c r="G210" s="359">
        <f t="shared" ca="1" si="98"/>
        <v>17.704076003964371</v>
      </c>
      <c r="H210" s="360">
        <f t="shared" ca="1" si="99"/>
        <v>68.078486613620186</v>
      </c>
      <c r="I210" s="357">
        <f t="shared" ca="1" si="100"/>
        <v>70.342836499212979</v>
      </c>
      <c r="J210" s="359">
        <f t="shared" ca="1" si="101"/>
        <v>36.06105981795362</v>
      </c>
      <c r="K210" s="360">
        <f t="shared" ca="1" si="102"/>
        <v>158.35958270172321</v>
      </c>
      <c r="L210" s="357">
        <f t="shared" ca="1" si="87"/>
        <v>162.41353844017419</v>
      </c>
      <c r="M210" s="359">
        <f t="shared" ca="1" si="103"/>
        <v>1.3163777810876962</v>
      </c>
      <c r="N210" s="357">
        <f t="shared" ca="1" si="104"/>
        <v>75.422891101121195</v>
      </c>
      <c r="O210" s="343"/>
      <c r="P210" s="363">
        <f t="shared" ca="1" si="105"/>
        <v>23</v>
      </c>
      <c r="Q210" s="357">
        <f t="shared" ca="1" si="106"/>
        <v>0</v>
      </c>
      <c r="R210" s="359">
        <f t="shared" ca="1" si="107"/>
        <v>0</v>
      </c>
      <c r="S210" s="360">
        <f t="shared" ca="1" si="108"/>
        <v>0.42898953648292248</v>
      </c>
      <c r="T210" s="357">
        <f t="shared" ca="1" si="88"/>
        <v>4.2083873528974696</v>
      </c>
      <c r="U210" s="364">
        <f t="shared" ca="1" si="89"/>
        <v>0</v>
      </c>
      <c r="V210" s="359">
        <f t="shared" ca="1" si="90"/>
        <v>1.2057533457260008</v>
      </c>
      <c r="W210" s="357">
        <f t="shared" ca="1" si="91"/>
        <v>5.2591671593334004</v>
      </c>
      <c r="X210" s="343"/>
      <c r="Y210" s="367" t="str">
        <f t="shared" ca="1" si="109"/>
        <v/>
      </c>
      <c r="Z210" s="368" t="str">
        <f t="shared" ca="1" si="110"/>
        <v/>
      </c>
      <c r="AA210" s="369" t="str">
        <f t="shared" ca="1" si="111"/>
        <v/>
      </c>
      <c r="AB210" s="344"/>
      <c r="AC210" s="363" t="e">
        <f t="shared" ca="1" si="112"/>
        <v>#N/A</v>
      </c>
      <c r="AD210" s="376" t="e">
        <f t="shared" ca="1" si="113"/>
        <v>#N/A</v>
      </c>
      <c r="AE210" s="377">
        <f t="shared" ca="1" si="92"/>
        <v>158.35958270172321</v>
      </c>
      <c r="AF210" s="344"/>
      <c r="AG210" s="359">
        <f t="shared" ca="1" si="114"/>
        <v>-22.570365758921838</v>
      </c>
      <c r="AH210" s="357">
        <f t="shared" ca="1" si="115"/>
        <v>-13.06765788060998</v>
      </c>
    </row>
    <row r="211" spans="1:34">
      <c r="A211" s="402">
        <f t="shared" ca="1" si="93"/>
        <v>0.1</v>
      </c>
      <c r="B211" s="357">
        <f t="shared" ca="1" si="94"/>
        <v>2.700000000000002</v>
      </c>
      <c r="C211" s="342"/>
      <c r="D211" s="359">
        <f t="shared" ca="1" si="95"/>
        <v>-3.085486595187414</v>
      </c>
      <c r="E211" s="360">
        <f t="shared" ca="1" si="96"/>
        <v>-21.67479643557418</v>
      </c>
      <c r="F211" s="357">
        <f t="shared" ca="1" si="97"/>
        <v>21.893310120962987</v>
      </c>
      <c r="G211" s="359">
        <f t="shared" ca="1" si="98"/>
        <v>17.395527344445629</v>
      </c>
      <c r="H211" s="360">
        <f t="shared" ca="1" si="99"/>
        <v>65.911006970062772</v>
      </c>
      <c r="I211" s="357">
        <f t="shared" ca="1" si="100"/>
        <v>68.167919224507799</v>
      </c>
      <c r="J211" s="359">
        <f t="shared" ca="1" si="101"/>
        <v>37.816039985374118</v>
      </c>
      <c r="K211" s="360">
        <f t="shared" ca="1" si="102"/>
        <v>165.05905738090735</v>
      </c>
      <c r="L211" s="357">
        <f t="shared" ca="1" si="87"/>
        <v>169.33559963471674</v>
      </c>
      <c r="M211" s="359">
        <f t="shared" ca="1" si="103"/>
        <v>1.312755823939499</v>
      </c>
      <c r="N211" s="357">
        <f t="shared" ca="1" si="104"/>
        <v>75.215368242952252</v>
      </c>
      <c r="O211" s="343"/>
      <c r="P211" s="363">
        <f t="shared" ca="1" si="105"/>
        <v>23</v>
      </c>
      <c r="Q211" s="357">
        <f t="shared" ca="1" si="106"/>
        <v>0</v>
      </c>
      <c r="R211" s="359">
        <f t="shared" ca="1" si="107"/>
        <v>0</v>
      </c>
      <c r="S211" s="360">
        <f t="shared" ca="1" si="108"/>
        <v>0.42898953648292248</v>
      </c>
      <c r="T211" s="357">
        <f t="shared" ca="1" si="88"/>
        <v>4.2083873528974696</v>
      </c>
      <c r="U211" s="364">
        <f t="shared" ca="1" si="89"/>
        <v>0</v>
      </c>
      <c r="V211" s="359">
        <f t="shared" ca="1" si="90"/>
        <v>1.2049457720687806</v>
      </c>
      <c r="W211" s="357">
        <f t="shared" ca="1" si="91"/>
        <v>4.9356723651021985</v>
      </c>
      <c r="X211" s="343"/>
      <c r="Y211" s="367" t="str">
        <f t="shared" ca="1" si="109"/>
        <v/>
      </c>
      <c r="Z211" s="368" t="str">
        <f t="shared" ca="1" si="110"/>
        <v/>
      </c>
      <c r="AA211" s="369" t="str">
        <f t="shared" ca="1" si="111"/>
        <v/>
      </c>
      <c r="AB211" s="344"/>
      <c r="AC211" s="363" t="e">
        <f t="shared" ca="1" si="112"/>
        <v>#N/A</v>
      </c>
      <c r="AD211" s="376" t="e">
        <f t="shared" ca="1" si="113"/>
        <v>#N/A</v>
      </c>
      <c r="AE211" s="377">
        <f t="shared" ca="1" si="92"/>
        <v>165.05905738090735</v>
      </c>
      <c r="AF211" s="344"/>
      <c r="AG211" s="359">
        <f t="shared" ca="1" si="114"/>
        <v>-21.753644071485674</v>
      </c>
      <c r="AH211" s="357">
        <f t="shared" ca="1" si="115"/>
        <v>-12.25942992095044</v>
      </c>
    </row>
    <row r="212" spans="1:34">
      <c r="A212" s="402">
        <f t="shared" ca="1" si="93"/>
        <v>0.1</v>
      </c>
      <c r="B212" s="357">
        <f t="shared" ca="1" si="94"/>
        <v>2.800000000000002</v>
      </c>
      <c r="C212" s="342"/>
      <c r="D212" s="359">
        <f t="shared" ca="1" si="95"/>
        <v>-2.9360076638870058</v>
      </c>
      <c r="E212" s="360">
        <f t="shared" ca="1" si="96"/>
        <v>-20.934423983639874</v>
      </c>
      <c r="F212" s="357">
        <f t="shared" ca="1" si="97"/>
        <v>21.139305772167628</v>
      </c>
      <c r="G212" s="359">
        <f t="shared" ca="1" si="98"/>
        <v>17.101926578056929</v>
      </c>
      <c r="H212" s="360">
        <f t="shared" ca="1" si="99"/>
        <v>63.817564571698782</v>
      </c>
      <c r="I212" s="357">
        <f t="shared" ca="1" si="100"/>
        <v>66.069338127032822</v>
      </c>
      <c r="J212" s="359">
        <f t="shared" ca="1" si="101"/>
        <v>39.540912681499243</v>
      </c>
      <c r="K212" s="360">
        <f t="shared" ca="1" si="102"/>
        <v>171.54548595799542</v>
      </c>
      <c r="L212" s="357">
        <f t="shared" ca="1" si="87"/>
        <v>176.04356713112455</v>
      </c>
      <c r="M212" s="359">
        <f t="shared" ca="1" si="103"/>
        <v>1.3089667973614303</v>
      </c>
      <c r="N212" s="357">
        <f t="shared" ca="1" si="104"/>
        <v>74.998273011566013</v>
      </c>
      <c r="O212" s="343"/>
      <c r="P212" s="363">
        <f t="shared" ca="1" si="105"/>
        <v>23</v>
      </c>
      <c r="Q212" s="357">
        <f t="shared" ca="1" si="106"/>
        <v>0</v>
      </c>
      <c r="R212" s="359">
        <f t="shared" ca="1" si="107"/>
        <v>0</v>
      </c>
      <c r="S212" s="360">
        <f t="shared" ca="1" si="108"/>
        <v>0.42898953648292248</v>
      </c>
      <c r="T212" s="357">
        <f t="shared" ca="1" si="88"/>
        <v>4.2083873528974696</v>
      </c>
      <c r="U212" s="364">
        <f t="shared" ca="1" si="89"/>
        <v>0</v>
      </c>
      <c r="V212" s="359">
        <f t="shared" ca="1" si="90"/>
        <v>1.2041643907062223</v>
      </c>
      <c r="W212" s="357">
        <f t="shared" ca="1" si="91"/>
        <v>4.633449542742941</v>
      </c>
      <c r="X212" s="343"/>
      <c r="Y212" s="367" t="str">
        <f t="shared" ca="1" si="109"/>
        <v/>
      </c>
      <c r="Z212" s="368" t="str">
        <f t="shared" ca="1" si="110"/>
        <v/>
      </c>
      <c r="AA212" s="369" t="str">
        <f t="shared" ca="1" si="111"/>
        <v/>
      </c>
      <c r="AB212" s="344"/>
      <c r="AC212" s="363" t="e">
        <f t="shared" ca="1" si="112"/>
        <v>#N/A</v>
      </c>
      <c r="AD212" s="376" t="e">
        <f t="shared" ca="1" si="113"/>
        <v>#N/A</v>
      </c>
      <c r="AE212" s="377">
        <f t="shared" ca="1" si="92"/>
        <v>171.54548595799542</v>
      </c>
      <c r="AF212" s="344"/>
      <c r="AG212" s="359">
        <f t="shared" ca="1" si="114"/>
        <v>-20.990553664811777</v>
      </c>
      <c r="AH212" s="357">
        <f t="shared" ca="1" si="115"/>
        <v>-11.505344409020758</v>
      </c>
    </row>
    <row r="213" spans="1:34">
      <c r="A213" s="402">
        <f t="shared" ca="1" si="93"/>
        <v>0.1</v>
      </c>
      <c r="B213" s="357">
        <f t="shared" ca="1" si="94"/>
        <v>2.9000000000000021</v>
      </c>
      <c r="C213" s="342"/>
      <c r="D213" s="359">
        <f t="shared" ca="1" si="95"/>
        <v>-2.7957788817486637</v>
      </c>
      <c r="E213" s="360">
        <f t="shared" ca="1" si="96"/>
        <v>-20.242730985005707</v>
      </c>
      <c r="F213" s="357">
        <f t="shared" ca="1" si="97"/>
        <v>20.434885301536241</v>
      </c>
      <c r="G213" s="359">
        <f t="shared" ca="1" si="98"/>
        <v>16.822348689882062</v>
      </c>
      <c r="H213" s="360">
        <f t="shared" ca="1" si="99"/>
        <v>61.793291473198209</v>
      </c>
      <c r="I213" s="357">
        <f t="shared" ca="1" si="100"/>
        <v>64.042191456379811</v>
      </c>
      <c r="J213" s="359">
        <f t="shared" ca="1" si="101"/>
        <v>41.237126444896191</v>
      </c>
      <c r="K213" s="360">
        <f t="shared" ca="1" si="102"/>
        <v>177.82602876024026</v>
      </c>
      <c r="L213" s="357">
        <f t="shared" ca="1" si="87"/>
        <v>182.5447810869162</v>
      </c>
      <c r="M213" s="359">
        <f t="shared" ca="1" si="103"/>
        <v>1.3050017439469661</v>
      </c>
      <c r="N213" s="357">
        <f t="shared" ca="1" si="104"/>
        <v>74.771092185373277</v>
      </c>
      <c r="O213" s="343"/>
      <c r="P213" s="363">
        <f t="shared" ca="1" si="105"/>
        <v>23</v>
      </c>
      <c r="Q213" s="357">
        <f t="shared" ca="1" si="106"/>
        <v>0</v>
      </c>
      <c r="R213" s="359">
        <f t="shared" ca="1" si="107"/>
        <v>0</v>
      </c>
      <c r="S213" s="360">
        <f t="shared" ca="1" si="108"/>
        <v>0.42898953648292248</v>
      </c>
      <c r="T213" s="357">
        <f t="shared" ca="1" si="88"/>
        <v>4.2083873528974696</v>
      </c>
      <c r="U213" s="364">
        <f t="shared" ca="1" si="89"/>
        <v>0</v>
      </c>
      <c r="V213" s="359">
        <f t="shared" ca="1" si="90"/>
        <v>1.2034082898801088</v>
      </c>
      <c r="W213" s="357">
        <f t="shared" ca="1" si="91"/>
        <v>4.3507498474358153</v>
      </c>
      <c r="X213" s="343"/>
      <c r="Y213" s="367" t="str">
        <f t="shared" ca="1" si="109"/>
        <v/>
      </c>
      <c r="Z213" s="368" t="str">
        <f t="shared" ca="1" si="110"/>
        <v/>
      </c>
      <c r="AA213" s="369" t="str">
        <f t="shared" ca="1" si="111"/>
        <v/>
      </c>
      <c r="AB213" s="344"/>
      <c r="AC213" s="363" t="e">
        <f t="shared" ca="1" si="112"/>
        <v>#N/A</v>
      </c>
      <c r="AD213" s="376" t="e">
        <f t="shared" ca="1" si="113"/>
        <v>#N/A</v>
      </c>
      <c r="AE213" s="377">
        <f t="shared" ca="1" si="92"/>
        <v>177.82602876024026</v>
      </c>
      <c r="AF213" s="344"/>
      <c r="AG213" s="359">
        <f t="shared" ca="1" si="114"/>
        <v>-20.276500944076297</v>
      </c>
      <c r="AH213" s="357">
        <f t="shared" ca="1" si="115"/>
        <v>-10.800845122541567</v>
      </c>
    </row>
    <row r="214" spans="1:34">
      <c r="A214" s="402">
        <f t="shared" ca="1" si="93"/>
        <v>0.1</v>
      </c>
      <c r="B214" s="357">
        <f t="shared" ca="1" si="94"/>
        <v>3.0000000000000022</v>
      </c>
      <c r="C214" s="342"/>
      <c r="D214" s="359">
        <f t="shared" ca="1" si="95"/>
        <v>-2.6640223270567187</v>
      </c>
      <c r="E214" s="360">
        <f t="shared" ca="1" si="96"/>
        <v>-19.595714895205738</v>
      </c>
      <c r="F214" s="357">
        <f t="shared" ca="1" si="97"/>
        <v>19.775971713502344</v>
      </c>
      <c r="G214" s="359">
        <f t="shared" ca="1" si="98"/>
        <v>16.55594645717639</v>
      </c>
      <c r="H214" s="360">
        <f t="shared" ca="1" si="99"/>
        <v>59.833719983677639</v>
      </c>
      <c r="I214" s="357">
        <f t="shared" ca="1" si="100"/>
        <v>62.081989418655361</v>
      </c>
      <c r="J214" s="359">
        <f t="shared" ca="1" si="101"/>
        <v>42.906041202249114</v>
      </c>
      <c r="K214" s="360">
        <f t="shared" ca="1" si="102"/>
        <v>183.90737933308407</v>
      </c>
      <c r="L214" s="357">
        <f t="shared" ca="1" si="87"/>
        <v>188.84610810078129</v>
      </c>
      <c r="M214" s="359">
        <f t="shared" ca="1" si="103"/>
        <v>1.3008510082975107</v>
      </c>
      <c r="N214" s="357">
        <f t="shared" ca="1" si="104"/>
        <v>74.533272550785</v>
      </c>
      <c r="O214" s="343"/>
      <c r="P214" s="363">
        <f t="shared" ca="1" si="105"/>
        <v>23</v>
      </c>
      <c r="Q214" s="357">
        <f t="shared" ca="1" si="106"/>
        <v>0</v>
      </c>
      <c r="R214" s="359">
        <f t="shared" ca="1" si="107"/>
        <v>0</v>
      </c>
      <c r="S214" s="360">
        <f t="shared" ca="1" si="108"/>
        <v>0.42898953648292248</v>
      </c>
      <c r="T214" s="357">
        <f t="shared" ca="1" si="88"/>
        <v>4.2083873528974696</v>
      </c>
      <c r="U214" s="364">
        <f t="shared" ca="1" si="89"/>
        <v>0</v>
      </c>
      <c r="V214" s="359">
        <f t="shared" ca="1" si="90"/>
        <v>1.2026766177679054</v>
      </c>
      <c r="W214" s="357">
        <f t="shared" ca="1" si="91"/>
        <v>4.0860047204201893</v>
      </c>
      <c r="X214" s="343"/>
      <c r="Y214" s="367" t="str">
        <f t="shared" ca="1" si="109"/>
        <v/>
      </c>
      <c r="Z214" s="368" t="str">
        <f t="shared" ca="1" si="110"/>
        <v/>
      </c>
      <c r="AA214" s="369" t="str">
        <f t="shared" ca="1" si="111"/>
        <v/>
      </c>
      <c r="AB214" s="344"/>
      <c r="AC214" s="363">
        <f t="shared" ca="1" si="112"/>
        <v>3.0000000000000022</v>
      </c>
      <c r="AD214" s="376">
        <f t="shared" ca="1" si="113"/>
        <v>42.906041202249114</v>
      </c>
      <c r="AE214" s="377">
        <f t="shared" ca="1" si="92"/>
        <v>183.90737933308407</v>
      </c>
      <c r="AF214" s="344"/>
      <c r="AG214" s="359">
        <f t="shared" ca="1" si="114"/>
        <v>-19.607368300377356</v>
      </c>
      <c r="AH214" s="357">
        <f t="shared" ca="1" si="115"/>
        <v>-10.1418554007296</v>
      </c>
    </row>
    <row r="215" spans="1:34">
      <c r="A215" s="402">
        <f t="shared" ca="1" si="93"/>
        <v>0.1</v>
      </c>
      <c r="B215" s="357">
        <f t="shared" ca="1" si="94"/>
        <v>3.1000000000000023</v>
      </c>
      <c r="C215" s="342"/>
      <c r="D215" s="359">
        <f t="shared" ca="1" si="95"/>
        <v>-2.5400399796447943</v>
      </c>
      <c r="E215" s="360">
        <f t="shared" ca="1" si="96"/>
        <v>-18.989785721252755</v>
      </c>
      <c r="F215" s="357">
        <f t="shared" ca="1" si="97"/>
        <v>19.158908237091406</v>
      </c>
      <c r="G215" s="359">
        <f t="shared" ca="1" si="98"/>
        <v>16.301942459211912</v>
      </c>
      <c r="H215" s="360">
        <f t="shared" ca="1" si="99"/>
        <v>57.934741411552366</v>
      </c>
      <c r="I215" s="357">
        <f t="shared" ca="1" si="100"/>
        <v>60.184612571378217</v>
      </c>
      <c r="J215" s="359">
        <f t="shared" ca="1" si="101"/>
        <v>44.548935648068529</v>
      </c>
      <c r="K215" s="360">
        <f t="shared" ca="1" si="102"/>
        <v>189.79580240284557</v>
      </c>
      <c r="L215" s="357">
        <f t="shared" ca="1" si="87"/>
        <v>194.95397989555318</v>
      </c>
      <c r="M215" s="359">
        <f t="shared" ca="1" si="103"/>
        <v>1.2965041719127386</v>
      </c>
      <c r="N215" s="357">
        <f t="shared" ca="1" si="104"/>
        <v>74.284217171703645</v>
      </c>
      <c r="O215" s="343"/>
      <c r="P215" s="363">
        <f t="shared" ca="1" si="105"/>
        <v>23</v>
      </c>
      <c r="Q215" s="357">
        <f t="shared" ca="1" si="106"/>
        <v>0</v>
      </c>
      <c r="R215" s="359">
        <f t="shared" ca="1" si="107"/>
        <v>0</v>
      </c>
      <c r="S215" s="360">
        <f t="shared" ca="1" si="108"/>
        <v>0.42898953648292248</v>
      </c>
      <c r="T215" s="357">
        <f t="shared" ca="1" si="88"/>
        <v>4.2083873528974696</v>
      </c>
      <c r="U215" s="364">
        <f t="shared" ca="1" si="89"/>
        <v>0</v>
      </c>
      <c r="V215" s="359">
        <f t="shared" ca="1" si="90"/>
        <v>1.2019685775706743</v>
      </c>
      <c r="W215" s="357">
        <f t="shared" ca="1" si="91"/>
        <v>3.8378040619616192</v>
      </c>
      <c r="X215" s="343"/>
      <c r="Y215" s="367" t="str">
        <f t="shared" ca="1" si="109"/>
        <v/>
      </c>
      <c r="Z215" s="368" t="str">
        <f t="shared" ca="1" si="110"/>
        <v/>
      </c>
      <c r="AA215" s="369" t="str">
        <f t="shared" ca="1" si="111"/>
        <v/>
      </c>
      <c r="AB215" s="344"/>
      <c r="AC215" s="363" t="e">
        <f t="shared" ca="1" si="112"/>
        <v>#N/A</v>
      </c>
      <c r="AD215" s="376" t="e">
        <f t="shared" ca="1" si="113"/>
        <v>#N/A</v>
      </c>
      <c r="AE215" s="377">
        <f t="shared" ca="1" si="92"/>
        <v>189.79580240284557</v>
      </c>
      <c r="AF215" s="344"/>
      <c r="AG215" s="359">
        <f t="shared" ca="1" si="114"/>
        <v>-18.979454401045583</v>
      </c>
      <c r="AH215" s="357">
        <f t="shared" ca="1" si="115"/>
        <v>-9.5247188402760674</v>
      </c>
    </row>
    <row r="216" spans="1:34">
      <c r="A216" s="402">
        <f t="shared" ca="1" si="93"/>
        <v>0.1</v>
      </c>
      <c r="B216" s="357">
        <f t="shared" ca="1" si="94"/>
        <v>3.2000000000000024</v>
      </c>
      <c r="C216" s="342"/>
      <c r="D216" s="359">
        <f t="shared" ca="1" si="95"/>
        <v>-2.4232040461149889</v>
      </c>
      <c r="E216" s="360">
        <f t="shared" ca="1" si="96"/>
        <v>-18.4217160669874</v>
      </c>
      <c r="F216" s="357">
        <f t="shared" ca="1" si="97"/>
        <v>18.580407441759984</v>
      </c>
      <c r="G216" s="359">
        <f t="shared" ca="1" si="98"/>
        <v>16.059622054600414</v>
      </c>
      <c r="H216" s="360">
        <f t="shared" ca="1" si="99"/>
        <v>56.092569804853625</v>
      </c>
      <c r="I216" s="357">
        <f t="shared" ca="1" si="100"/>
        <v>58.346275355407087</v>
      </c>
      <c r="J216" s="359">
        <f t="shared" ca="1" si="101"/>
        <v>46.167013873759146</v>
      </c>
      <c r="K216" s="360">
        <f t="shared" ca="1" si="102"/>
        <v>195.49716796366587</v>
      </c>
      <c r="L216" s="357">
        <f t="shared" ca="1" si="87"/>
        <v>200.87442806846681</v>
      </c>
      <c r="M216" s="359">
        <f t="shared" ca="1" si="103"/>
        <v>1.29194998073047</v>
      </c>
      <c r="N216" s="357">
        <f t="shared" ca="1" si="104"/>
        <v>74.023281237863969</v>
      </c>
      <c r="O216" s="343"/>
      <c r="P216" s="363">
        <f t="shared" ca="1" si="105"/>
        <v>23</v>
      </c>
      <c r="Q216" s="357">
        <f t="shared" ca="1" si="106"/>
        <v>0</v>
      </c>
      <c r="R216" s="359">
        <f t="shared" ca="1" si="107"/>
        <v>0</v>
      </c>
      <c r="S216" s="360">
        <f t="shared" ca="1" si="108"/>
        <v>0.42898953648292248</v>
      </c>
      <c r="T216" s="357">
        <f t="shared" ca="1" si="88"/>
        <v>4.2083873528974696</v>
      </c>
      <c r="U216" s="364">
        <f t="shared" ca="1" si="89"/>
        <v>0</v>
      </c>
      <c r="V216" s="359">
        <f t="shared" ca="1" si="90"/>
        <v>1.2012834231052865</v>
      </c>
      <c r="W216" s="357">
        <f t="shared" ca="1" si="91"/>
        <v>3.6048774418042724</v>
      </c>
      <c r="X216" s="343"/>
      <c r="Y216" s="367" t="str">
        <f t="shared" ca="1" si="109"/>
        <v/>
      </c>
      <c r="Z216" s="368" t="str">
        <f t="shared" ca="1" si="110"/>
        <v/>
      </c>
      <c r="AA216" s="369" t="str">
        <f t="shared" ca="1" si="111"/>
        <v/>
      </c>
      <c r="AB216" s="344"/>
      <c r="AC216" s="363" t="e">
        <f t="shared" ca="1" si="112"/>
        <v>#N/A</v>
      </c>
      <c r="AD216" s="376" t="e">
        <f t="shared" ca="1" si="113"/>
        <v>#N/A</v>
      </c>
      <c r="AE216" s="377">
        <f t="shared" ca="1" si="92"/>
        <v>195.49716796366587</v>
      </c>
      <c r="AF216" s="344"/>
      <c r="AG216" s="359">
        <f t="shared" ca="1" si="114"/>
        <v>-18.38942284976989</v>
      </c>
      <c r="AH216" s="357">
        <f t="shared" ca="1" si="115"/>
        <v>-8.9461484152408861</v>
      </c>
    </row>
    <row r="217" spans="1:34">
      <c r="A217" s="402">
        <f t="shared" ca="1" si="93"/>
        <v>0.1</v>
      </c>
      <c r="B217" s="357">
        <f t="shared" ca="1" si="94"/>
        <v>3.3000000000000025</v>
      </c>
      <c r="C217" s="342"/>
      <c r="D217" s="359">
        <f t="shared" ca="1" si="95"/>
        <v>-2.3129486335581841</v>
      </c>
      <c r="E217" s="360">
        <f t="shared" ca="1" si="96"/>
        <v>-17.888598129010042</v>
      </c>
      <c r="F217" s="357">
        <f t="shared" ca="1" si="97"/>
        <v>18.037507433198751</v>
      </c>
      <c r="G217" s="359">
        <f t="shared" ca="1" si="98"/>
        <v>15.828327191244595</v>
      </c>
      <c r="H217" s="360">
        <f t="shared" ca="1" si="99"/>
        <v>54.303709991952623</v>
      </c>
      <c r="I217" s="357">
        <f t="shared" ca="1" si="100"/>
        <v>56.563494062541686</v>
      </c>
      <c r="J217" s="359">
        <f t="shared" ca="1" si="101"/>
        <v>47.761411336051395</v>
      </c>
      <c r="K217" s="360">
        <f t="shared" ca="1" si="102"/>
        <v>201.01698195350619</v>
      </c>
      <c r="L217" s="357">
        <f t="shared" ca="1" si="87"/>
        <v>206.61311537873806</v>
      </c>
      <c r="M217" s="359">
        <f t="shared" ca="1" si="103"/>
        <v>1.2871762643700073</v>
      </c>
      <c r="N217" s="357">
        <f t="shared" ca="1" si="104"/>
        <v>73.749767437816899</v>
      </c>
      <c r="O217" s="343"/>
      <c r="P217" s="363">
        <f t="shared" ca="1" si="105"/>
        <v>23</v>
      </c>
      <c r="Q217" s="357">
        <f t="shared" ca="1" si="106"/>
        <v>0</v>
      </c>
      <c r="R217" s="359">
        <f t="shared" ca="1" si="107"/>
        <v>0</v>
      </c>
      <c r="S217" s="360">
        <f t="shared" ca="1" si="108"/>
        <v>0.42898953648292248</v>
      </c>
      <c r="T217" s="357">
        <f t="shared" ca="1" si="88"/>
        <v>4.2083873528974696</v>
      </c>
      <c r="U217" s="364">
        <f t="shared" ca="1" si="89"/>
        <v>0</v>
      </c>
      <c r="V217" s="359">
        <f t="shared" ca="1" si="90"/>
        <v>1.2006204548401669</v>
      </c>
      <c r="W217" s="357">
        <f t="shared" ca="1" si="91"/>
        <v>3.3860778724372462</v>
      </c>
      <c r="X217" s="343"/>
      <c r="Y217" s="367" t="str">
        <f t="shared" ca="1" si="109"/>
        <v/>
      </c>
      <c r="Z217" s="368" t="str">
        <f t="shared" ca="1" si="110"/>
        <v/>
      </c>
      <c r="AA217" s="369" t="str">
        <f t="shared" ca="1" si="111"/>
        <v/>
      </c>
      <c r="AB217" s="344"/>
      <c r="AC217" s="363" t="e">
        <f t="shared" ca="1" si="112"/>
        <v>#N/A</v>
      </c>
      <c r="AD217" s="376" t="e">
        <f t="shared" ca="1" si="113"/>
        <v>#N/A</v>
      </c>
      <c r="AE217" s="377">
        <f t="shared" ca="1" si="92"/>
        <v>201.01698195350619</v>
      </c>
      <c r="AF217" s="344"/>
      <c r="AG217" s="359">
        <f t="shared" ca="1" si="114"/>
        <v>-17.834257864974191</v>
      </c>
      <c r="AH217" s="357">
        <f t="shared" ca="1" si="115"/>
        <v>-8.4031826775051837</v>
      </c>
    </row>
    <row r="218" spans="1:34">
      <c r="A218" s="402">
        <f t="shared" ca="1" si="93"/>
        <v>0.1</v>
      </c>
      <c r="B218" s="357">
        <f t="shared" ca="1" si="94"/>
        <v>3.4000000000000026</v>
      </c>
      <c r="C218" s="342"/>
      <c r="D218" s="359">
        <f t="shared" ca="1" si="95"/>
        <v>-2.2087625613666644</v>
      </c>
      <c r="E218" s="360">
        <f t="shared" ca="1" si="96"/>
        <v>-17.387806556834676</v>
      </c>
      <c r="F218" s="357">
        <f t="shared" ca="1" si="97"/>
        <v>17.527534022514349</v>
      </c>
      <c r="G218" s="359">
        <f t="shared" ca="1" si="98"/>
        <v>15.607450935107929</v>
      </c>
      <c r="H218" s="360">
        <f t="shared" ca="1" si="99"/>
        <v>52.564929336269152</v>
      </c>
      <c r="I218" s="357">
        <f t="shared" ca="1" si="100"/>
        <v>54.833058649128546</v>
      </c>
      <c r="J218" s="359">
        <f t="shared" ca="1" si="101"/>
        <v>49.333200242369024</v>
      </c>
      <c r="K218" s="360">
        <f t="shared" ca="1" si="102"/>
        <v>206.36041391991728</v>
      </c>
      <c r="L218" s="357">
        <f t="shared" ca="1" si="87"/>
        <v>212.17536397836878</v>
      </c>
      <c r="M218" s="359">
        <f t="shared" ca="1" si="103"/>
        <v>1.2821698459964279</v>
      </c>
      <c r="N218" s="357">
        <f t="shared" ca="1" si="104"/>
        <v>73.462920794534057</v>
      </c>
      <c r="O218" s="343"/>
      <c r="P218" s="363">
        <f t="shared" ca="1" si="105"/>
        <v>23</v>
      </c>
      <c r="Q218" s="357">
        <f t="shared" ca="1" si="106"/>
        <v>0</v>
      </c>
      <c r="R218" s="359">
        <f t="shared" ca="1" si="107"/>
        <v>0</v>
      </c>
      <c r="S218" s="360">
        <f t="shared" ca="1" si="108"/>
        <v>0.42898953648292248</v>
      </c>
      <c r="T218" s="357">
        <f t="shared" ca="1" si="88"/>
        <v>4.2083873528974696</v>
      </c>
      <c r="U218" s="364">
        <f t="shared" ca="1" si="89"/>
        <v>0</v>
      </c>
      <c r="V218" s="359">
        <f t="shared" ca="1" si="90"/>
        <v>1.1999790163222319</v>
      </c>
      <c r="W218" s="357">
        <f t="shared" ca="1" si="91"/>
        <v>3.1803677525546949</v>
      </c>
      <c r="X218" s="343"/>
      <c r="Y218" s="367" t="str">
        <f t="shared" ca="1" si="109"/>
        <v/>
      </c>
      <c r="Z218" s="368" t="str">
        <f t="shared" ca="1" si="110"/>
        <v/>
      </c>
      <c r="AA218" s="369" t="str">
        <f t="shared" ca="1" si="111"/>
        <v/>
      </c>
      <c r="AB218" s="344"/>
      <c r="AC218" s="363" t="e">
        <f t="shared" ca="1" si="112"/>
        <v>#N/A</v>
      </c>
      <c r="AD218" s="376" t="e">
        <f t="shared" ca="1" si="113"/>
        <v>#N/A</v>
      </c>
      <c r="AE218" s="377">
        <f t="shared" ca="1" si="92"/>
        <v>206.36041391991728</v>
      </c>
      <c r="AF218" s="344"/>
      <c r="AG218" s="359">
        <f t="shared" ca="1" si="114"/>
        <v>-17.311225860356721</v>
      </c>
      <c r="AH218" s="357">
        <f t="shared" ca="1" si="115"/>
        <v>-7.8931479312946866</v>
      </c>
    </row>
    <row r="219" spans="1:34">
      <c r="A219" s="402">
        <f t="shared" ca="1" si="93"/>
        <v>0.1</v>
      </c>
      <c r="B219" s="357">
        <f t="shared" ca="1" si="94"/>
        <v>3.5000000000000027</v>
      </c>
      <c r="C219" s="342"/>
      <c r="D219" s="359">
        <f t="shared" ca="1" si="95"/>
        <v>-2.1101831371636668</v>
      </c>
      <c r="E219" s="360">
        <f t="shared" ca="1" si="96"/>
        <v>-16.916966278656311</v>
      </c>
      <c r="F219" s="357">
        <f t="shared" ca="1" si="97"/>
        <v>17.048067953453394</v>
      </c>
      <c r="G219" s="359">
        <f t="shared" ca="1" si="98"/>
        <v>15.396432621391563</v>
      </c>
      <c r="H219" s="360">
        <f t="shared" ca="1" si="99"/>
        <v>50.873232708403521</v>
      </c>
      <c r="I219" s="357">
        <f t="shared" ca="1" si="100"/>
        <v>53.152007898746668</v>
      </c>
      <c r="J219" s="359">
        <f t="shared" ca="1" si="101"/>
        <v>50.883394420194001</v>
      </c>
      <c r="K219" s="360">
        <f t="shared" ca="1" si="102"/>
        <v>211.53232202215091</v>
      </c>
      <c r="L219" s="357">
        <f t="shared" ca="1" si="87"/>
        <v>217.56618093767233</v>
      </c>
      <c r="M219" s="359">
        <f t="shared" ca="1" si="103"/>
        <v>1.2769164415657417</v>
      </c>
      <c r="N219" s="357">
        <f t="shared" ca="1" si="104"/>
        <v>73.161922892580407</v>
      </c>
      <c r="O219" s="343"/>
      <c r="P219" s="363">
        <f t="shared" ca="1" si="105"/>
        <v>23</v>
      </c>
      <c r="Q219" s="357">
        <f t="shared" ca="1" si="106"/>
        <v>0</v>
      </c>
      <c r="R219" s="359">
        <f t="shared" ca="1" si="107"/>
        <v>0</v>
      </c>
      <c r="S219" s="360">
        <f t="shared" ca="1" si="108"/>
        <v>0.42898953648292248</v>
      </c>
      <c r="T219" s="357">
        <f t="shared" ca="1" si="88"/>
        <v>4.2083873528974696</v>
      </c>
      <c r="U219" s="364">
        <f t="shared" ca="1" si="89"/>
        <v>0</v>
      </c>
      <c r="V219" s="359">
        <f t="shared" ca="1" si="90"/>
        <v>1.1993584909497641</v>
      </c>
      <c r="W219" s="357">
        <f t="shared" ca="1" si="91"/>
        <v>2.986806654649766</v>
      </c>
      <c r="X219" s="343"/>
      <c r="Y219" s="367" t="str">
        <f t="shared" ca="1" si="109"/>
        <v/>
      </c>
      <c r="Z219" s="368" t="str">
        <f t="shared" ca="1" si="110"/>
        <v/>
      </c>
      <c r="AA219" s="369" t="str">
        <f t="shared" ca="1" si="111"/>
        <v>Satellite</v>
      </c>
      <c r="AB219" s="344"/>
      <c r="AC219" s="363" t="e">
        <f t="shared" ca="1" si="112"/>
        <v>#N/A</v>
      </c>
      <c r="AD219" s="376" t="e">
        <f t="shared" ca="1" si="113"/>
        <v>#N/A</v>
      </c>
      <c r="AE219" s="377">
        <f t="shared" ca="1" si="92"/>
        <v>211.53232202215091</v>
      </c>
      <c r="AF219" s="344"/>
      <c r="AG219" s="359">
        <f t="shared" ca="1" si="114"/>
        <v>-16.817842001116368</v>
      </c>
      <c r="AH219" s="357">
        <f t="shared" ca="1" si="115"/>
        <v>-7.4136254665533112</v>
      </c>
    </row>
    <row r="220" spans="1:34">
      <c r="A220" s="402">
        <f t="shared" ca="1" si="93"/>
        <v>0.1</v>
      </c>
      <c r="B220" s="357">
        <f t="shared" ca="1" si="94"/>
        <v>3.6000000000000028</v>
      </c>
      <c r="C220" s="342"/>
      <c r="D220" s="359">
        <f t="shared" ca="1" si="95"/>
        <v>-2.016790752439245</v>
      </c>
      <c r="E220" s="360">
        <f t="shared" ca="1" si="96"/>
        <v>-16.473924546420328</v>
      </c>
      <c r="F220" s="357">
        <f t="shared" ca="1" si="97"/>
        <v>16.596916427465516</v>
      </c>
      <c r="G220" s="359">
        <f t="shared" ca="1" si="98"/>
        <v>15.194753546147638</v>
      </c>
      <c r="H220" s="360">
        <f t="shared" ca="1" si="99"/>
        <v>49.22584025376149</v>
      </c>
      <c r="I220" s="357">
        <f t="shared" ca="1" si="100"/>
        <v>51.517607514489754</v>
      </c>
      <c r="J220" s="359">
        <f t="shared" ca="1" si="101"/>
        <v>52.412953728570962</v>
      </c>
      <c r="K220" s="360">
        <f t="shared" ca="1" si="102"/>
        <v>216.53727567025916</v>
      </c>
      <c r="L220" s="357">
        <f t="shared" ca="1" si="87"/>
        <v>222.7902813707347</v>
      </c>
      <c r="M220" s="359">
        <f t="shared" ca="1" si="103"/>
        <v>1.2714005470287155</v>
      </c>
      <c r="N220" s="357">
        <f t="shared" ca="1" si="104"/>
        <v>72.845885415369537</v>
      </c>
      <c r="O220" s="343"/>
      <c r="P220" s="363">
        <f t="shared" ca="1" si="105"/>
        <v>23</v>
      </c>
      <c r="Q220" s="357">
        <f t="shared" ca="1" si="106"/>
        <v>0</v>
      </c>
      <c r="R220" s="359">
        <f t="shared" ca="1" si="107"/>
        <v>0</v>
      </c>
      <c r="S220" s="360">
        <f t="shared" ca="1" si="108"/>
        <v>0.42898953648292248</v>
      </c>
      <c r="T220" s="357">
        <f t="shared" ca="1" si="88"/>
        <v>4.2083873528974696</v>
      </c>
      <c r="U220" s="364">
        <f t="shared" ca="1" si="89"/>
        <v>0</v>
      </c>
      <c r="V220" s="359">
        <f t="shared" ca="1" si="90"/>
        <v>1.1987582990520049</v>
      </c>
      <c r="W220" s="357">
        <f t="shared" ca="1" si="91"/>
        <v>2.804540684913746</v>
      </c>
      <c r="X220" s="343"/>
      <c r="Y220" s="367" t="str">
        <f t="shared" ca="1" si="109"/>
        <v/>
      </c>
      <c r="Z220" s="368" t="str">
        <f t="shared" ca="1" si="110"/>
        <v/>
      </c>
      <c r="AA220" s="369" t="str">
        <f t="shared" ca="1" si="111"/>
        <v/>
      </c>
      <c r="AB220" s="344"/>
      <c r="AC220" s="363" t="e">
        <f t="shared" ca="1" si="112"/>
        <v>#N/A</v>
      </c>
      <c r="AD220" s="376" t="e">
        <f t="shared" ca="1" si="113"/>
        <v>#N/A</v>
      </c>
      <c r="AE220" s="377">
        <f t="shared" ca="1" si="92"/>
        <v>216.53727567025916</v>
      </c>
      <c r="AF220" s="344"/>
      <c r="AG220" s="359">
        <f t="shared" ca="1" si="114"/>
        <v>-16.351840962579946</v>
      </c>
      <c r="AH220" s="357">
        <f t="shared" ca="1" si="115"/>
        <v>-6.9624230911018197</v>
      </c>
    </row>
    <row r="221" spans="1:34">
      <c r="A221" s="402">
        <f t="shared" ca="1" si="93"/>
        <v>0.1</v>
      </c>
      <c r="B221" s="357">
        <f t="shared" ca="1" si="94"/>
        <v>3.7000000000000028</v>
      </c>
      <c r="C221" s="342"/>
      <c r="D221" s="359">
        <f t="shared" ca="1" si="95"/>
        <v>-1.9282041775821801</v>
      </c>
      <c r="E221" s="360">
        <f t="shared" ca="1" si="96"/>
        <v>-16.056726577961552</v>
      </c>
      <c r="F221" s="357">
        <f t="shared" ca="1" si="97"/>
        <v>16.172088292792068</v>
      </c>
      <c r="G221" s="359">
        <f t="shared" ca="1" si="98"/>
        <v>15.001933128389419</v>
      </c>
      <c r="H221" s="360">
        <f t="shared" ca="1" si="99"/>
        <v>47.620167595965334</v>
      </c>
      <c r="I221" s="357">
        <f t="shared" ca="1" si="100"/>
        <v>49.927330786418921</v>
      </c>
      <c r="J221" s="359">
        <f t="shared" ca="1" si="101"/>
        <v>53.922788062297812</v>
      </c>
      <c r="K221" s="360">
        <f t="shared" ca="1" si="102"/>
        <v>221.37957606274551</v>
      </c>
      <c r="L221" s="357">
        <f t="shared" ca="1" si="87"/>
        <v>227.85210942655854</v>
      </c>
      <c r="M221" s="359">
        <f t="shared" ca="1" si="103"/>
        <v>1.2656053118606465</v>
      </c>
      <c r="N221" s="357">
        <f t="shared" ca="1" si="104"/>
        <v>72.513842898953399</v>
      </c>
      <c r="O221" s="343"/>
      <c r="P221" s="363">
        <f t="shared" ca="1" si="105"/>
        <v>23</v>
      </c>
      <c r="Q221" s="357">
        <f t="shared" ca="1" si="106"/>
        <v>0</v>
      </c>
      <c r="R221" s="359">
        <f t="shared" ca="1" si="107"/>
        <v>0</v>
      </c>
      <c r="S221" s="360">
        <f t="shared" ca="1" si="108"/>
        <v>0.42898953648292248</v>
      </c>
      <c r="T221" s="357">
        <f t="shared" ca="1" si="88"/>
        <v>4.2083873528974696</v>
      </c>
      <c r="U221" s="364">
        <f t="shared" ca="1" si="89"/>
        <v>0</v>
      </c>
      <c r="V221" s="359">
        <f t="shared" ca="1" si="90"/>
        <v>1.1981778952413427</v>
      </c>
      <c r="W221" s="357">
        <f t="shared" ca="1" si="91"/>
        <v>2.6327931879851993</v>
      </c>
      <c r="X221" s="343"/>
      <c r="Y221" s="367" t="str">
        <f t="shared" ca="1" si="109"/>
        <v/>
      </c>
      <c r="Z221" s="368" t="str">
        <f t="shared" ca="1" si="110"/>
        <v/>
      </c>
      <c r="AA221" s="369" t="str">
        <f t="shared" ca="1" si="111"/>
        <v/>
      </c>
      <c r="AB221" s="344"/>
      <c r="AC221" s="363" t="e">
        <f t="shared" ca="1" si="112"/>
        <v>#N/A</v>
      </c>
      <c r="AD221" s="376" t="e">
        <f t="shared" ca="1" si="113"/>
        <v>#N/A</v>
      </c>
      <c r="AE221" s="377">
        <f t="shared" ca="1" si="92"/>
        <v>221.37957606274551</v>
      </c>
      <c r="AF221" s="344"/>
      <c r="AG221" s="359">
        <f t="shared" ca="1" si="114"/>
        <v>-15.91115124202005</v>
      </c>
      <c r="AH221" s="357">
        <f t="shared" ca="1" si="115"/>
        <v>-6.5375503279329781</v>
      </c>
    </row>
    <row r="222" spans="1:34">
      <c r="A222" s="402">
        <f t="shared" ca="1" si="93"/>
        <v>0.1</v>
      </c>
      <c r="B222" s="357">
        <f t="shared" ca="1" si="94"/>
        <v>3.8000000000000029</v>
      </c>
      <c r="C222" s="342"/>
      <c r="D222" s="359">
        <f t="shared" ca="1" si="95"/>
        <v>-1.8440764557311975</v>
      </c>
      <c r="E222" s="360">
        <f t="shared" ca="1" si="96"/>
        <v>-15.663594275494621</v>
      </c>
      <c r="F222" s="357">
        <f t="shared" ca="1" si="97"/>
        <v>15.771772367171991</v>
      </c>
      <c r="G222" s="359">
        <f t="shared" ca="1" si="98"/>
        <v>14.817525482816299</v>
      </c>
      <c r="H222" s="360">
        <f t="shared" ca="1" si="99"/>
        <v>46.05380816841587</v>
      </c>
      <c r="I222" s="357">
        <f t="shared" ca="1" si="100"/>
        <v>48.378841534777976</v>
      </c>
      <c r="J222" s="359">
        <f t="shared" ca="1" si="101"/>
        <v>55.413760992858101</v>
      </c>
      <c r="K222" s="360">
        <f t="shared" ca="1" si="102"/>
        <v>226.06327485096458</v>
      </c>
      <c r="L222" s="357">
        <f t="shared" ca="1" si="87"/>
        <v>232.75585737788933</v>
      </c>
      <c r="M222" s="359">
        <f t="shared" ca="1" si="103"/>
        <v>1.2595123970410329</v>
      </c>
      <c r="N222" s="357">
        <f t="shared" ca="1" si="104"/>
        <v>72.164744594856828</v>
      </c>
      <c r="O222" s="343"/>
      <c r="P222" s="363">
        <f t="shared" ca="1" si="105"/>
        <v>23</v>
      </c>
      <c r="Q222" s="357">
        <f t="shared" ca="1" si="106"/>
        <v>0</v>
      </c>
      <c r="R222" s="359">
        <f t="shared" ca="1" si="107"/>
        <v>0</v>
      </c>
      <c r="S222" s="360">
        <f t="shared" ca="1" si="108"/>
        <v>0.42898953648292248</v>
      </c>
      <c r="T222" s="357">
        <f t="shared" ca="1" si="88"/>
        <v>4.2083873528974696</v>
      </c>
      <c r="U222" s="364">
        <f t="shared" ca="1" si="89"/>
        <v>0</v>
      </c>
      <c r="V222" s="359">
        <f t="shared" ca="1" si="90"/>
        <v>1.197616766008365</v>
      </c>
      <c r="W222" s="357">
        <f t="shared" ca="1" si="91"/>
        <v>2.4708566055482057</v>
      </c>
      <c r="X222" s="343"/>
      <c r="Y222" s="367" t="str">
        <f t="shared" ca="1" si="109"/>
        <v/>
      </c>
      <c r="Z222" s="368" t="str">
        <f t="shared" ca="1" si="110"/>
        <v/>
      </c>
      <c r="AA222" s="369" t="str">
        <f t="shared" ca="1" si="111"/>
        <v/>
      </c>
      <c r="AB222" s="344"/>
      <c r="AC222" s="363" t="e">
        <f t="shared" ca="1" si="112"/>
        <v>#N/A</v>
      </c>
      <c r="AD222" s="376" t="e">
        <f t="shared" ca="1" si="113"/>
        <v>#N/A</v>
      </c>
      <c r="AE222" s="377">
        <f t="shared" ca="1" si="92"/>
        <v>226.06327485096458</v>
      </c>
      <c r="AF222" s="344"/>
      <c r="AG222" s="359">
        <f t="shared" ca="1" si="114"/>
        <v>-15.493872475097293</v>
      </c>
      <c r="AH222" s="357">
        <f t="shared" ca="1" si="115"/>
        <v>-6.1371967474316413</v>
      </c>
    </row>
    <row r="223" spans="1:34">
      <c r="A223" s="402">
        <f t="shared" ca="1" si="93"/>
        <v>0.1</v>
      </c>
      <c r="B223" s="357">
        <f t="shared" ca="1" si="94"/>
        <v>3.900000000000003</v>
      </c>
      <c r="C223" s="342"/>
      <c r="D223" s="359">
        <f t="shared" ca="1" si="95"/>
        <v>-1.7640913110970775</v>
      </c>
      <c r="E223" s="360">
        <f t="shared" ca="1" si="96"/>
        <v>-15.292907583121806</v>
      </c>
      <c r="F223" s="357">
        <f t="shared" ca="1" si="97"/>
        <v>15.394318448693747</v>
      </c>
      <c r="G223" s="359">
        <f t="shared" ca="1" si="98"/>
        <v>14.641116351706591</v>
      </c>
      <c r="H223" s="360">
        <f t="shared" ca="1" si="99"/>
        <v>44.524517410103691</v>
      </c>
      <c r="I223" s="357">
        <f t="shared" ca="1" si="100"/>
        <v>46.869979076449745</v>
      </c>
      <c r="J223" s="359">
        <f t="shared" ca="1" si="101"/>
        <v>56.886693084584245</v>
      </c>
      <c r="K223" s="360">
        <f t="shared" ca="1" si="102"/>
        <v>230.59219112989055</v>
      </c>
      <c r="L223" s="357">
        <f t="shared" ca="1" si="87"/>
        <v>237.50548301077947</v>
      </c>
      <c r="M223" s="359">
        <f t="shared" ca="1" si="103"/>
        <v>1.2531018153259066</v>
      </c>
      <c r="N223" s="357">
        <f t="shared" ca="1" si="104"/>
        <v>71.797445318356353</v>
      </c>
      <c r="O223" s="343"/>
      <c r="P223" s="363">
        <f t="shared" ca="1" si="105"/>
        <v>23</v>
      </c>
      <c r="Q223" s="357">
        <f t="shared" ca="1" si="106"/>
        <v>0</v>
      </c>
      <c r="R223" s="359">
        <f t="shared" ca="1" si="107"/>
        <v>0</v>
      </c>
      <c r="S223" s="360">
        <f t="shared" ca="1" si="108"/>
        <v>0.42898953648292248</v>
      </c>
      <c r="T223" s="357">
        <f t="shared" ca="1" si="88"/>
        <v>4.2083873528974696</v>
      </c>
      <c r="U223" s="364">
        <f t="shared" ca="1" si="89"/>
        <v>0</v>
      </c>
      <c r="V223" s="359">
        <f t="shared" ca="1" si="90"/>
        <v>1.1970744275337657</v>
      </c>
      <c r="W223" s="357">
        <f t="shared" ca="1" si="91"/>
        <v>2.3180853278438542</v>
      </c>
      <c r="X223" s="343"/>
      <c r="Y223" s="367" t="str">
        <f t="shared" ca="1" si="109"/>
        <v/>
      </c>
      <c r="Z223" s="368" t="str">
        <f t="shared" ca="1" si="110"/>
        <v/>
      </c>
      <c r="AA223" s="369" t="str">
        <f t="shared" ca="1" si="111"/>
        <v/>
      </c>
      <c r="AB223" s="344"/>
      <c r="AC223" s="363" t="e">
        <f t="shared" ca="1" si="112"/>
        <v>#N/A</v>
      </c>
      <c r="AD223" s="376" t="e">
        <f t="shared" ca="1" si="113"/>
        <v>#N/A</v>
      </c>
      <c r="AE223" s="377">
        <f t="shared" ca="1" si="92"/>
        <v>230.59219112989055</v>
      </c>
      <c r="AF223" s="344"/>
      <c r="AG223" s="359">
        <f t="shared" ca="1" si="114"/>
        <v>-15.098255290001374</v>
      </c>
      <c r="AH223" s="357">
        <f t="shared" ca="1" si="115"/>
        <v>-5.7597129892853864</v>
      </c>
    </row>
    <row r="224" spans="1:34">
      <c r="A224" s="402">
        <f t="shared" ca="1" si="93"/>
        <v>0.1</v>
      </c>
      <c r="B224" s="357">
        <f t="shared" ca="1" si="94"/>
        <v>4.0000000000000027</v>
      </c>
      <c r="C224" s="342"/>
      <c r="D224" s="359">
        <f t="shared" ca="1" si="95"/>
        <v>-1.6879600008110531</v>
      </c>
      <c r="E224" s="360">
        <f t="shared" ca="1" si="96"/>
        <v>-14.943188114778565</v>
      </c>
      <c r="F224" s="357">
        <f t="shared" ca="1" si="97"/>
        <v>15.038220639357483</v>
      </c>
      <c r="G224" s="359">
        <f t="shared" ca="1" si="98"/>
        <v>14.472320351625486</v>
      </c>
      <c r="H224" s="360">
        <f t="shared" ca="1" si="99"/>
        <v>43.030198598625837</v>
      </c>
      <c r="I224" s="357">
        <f t="shared" ca="1" si="100"/>
        <v>45.398745002447527</v>
      </c>
      <c r="J224" s="359">
        <f t="shared" ca="1" si="101"/>
        <v>58.34236491975085</v>
      </c>
      <c r="K224" s="360">
        <f t="shared" ca="1" si="102"/>
        <v>234.96992693032703</v>
      </c>
      <c r="L224" s="357">
        <f t="shared" ca="1" si="87"/>
        <v>242.1047254930655</v>
      </c>
      <c r="M224" s="359">
        <f t="shared" ca="1" si="103"/>
        <v>1.2463517513310187</v>
      </c>
      <c r="N224" s="357">
        <f t="shared" ca="1" si="104"/>
        <v>71.410695140006055</v>
      </c>
      <c r="O224" s="343"/>
      <c r="P224" s="363">
        <f t="shared" ca="1" si="105"/>
        <v>23</v>
      </c>
      <c r="Q224" s="357">
        <f t="shared" ca="1" si="106"/>
        <v>0</v>
      </c>
      <c r="R224" s="359">
        <f t="shared" ca="1" si="107"/>
        <v>0</v>
      </c>
      <c r="S224" s="360">
        <f t="shared" ca="1" si="108"/>
        <v>0.42898953648292248</v>
      </c>
      <c r="T224" s="357">
        <f t="shared" ca="1" si="88"/>
        <v>4.2083873528974696</v>
      </c>
      <c r="U224" s="364">
        <f t="shared" ca="1" si="89"/>
        <v>0</v>
      </c>
      <c r="V224" s="359">
        <f t="shared" ca="1" si="90"/>
        <v>1.1965504236943221</v>
      </c>
      <c r="W224" s="357">
        <f t="shared" ca="1" si="91"/>
        <v>2.1738894020475952</v>
      </c>
      <c r="X224" s="343"/>
      <c r="Y224" s="367" t="str">
        <f t="shared" ca="1" si="109"/>
        <v/>
      </c>
      <c r="Z224" s="368" t="str">
        <f t="shared" ca="1" si="110"/>
        <v/>
      </c>
      <c r="AA224" s="369" t="str">
        <f t="shared" ca="1" si="111"/>
        <v/>
      </c>
      <c r="AB224" s="344"/>
      <c r="AC224" s="363">
        <f t="shared" ca="1" si="112"/>
        <v>4.0000000000000027</v>
      </c>
      <c r="AD224" s="376">
        <f t="shared" ca="1" si="113"/>
        <v>58.34236491975085</v>
      </c>
      <c r="AE224" s="377">
        <f t="shared" ca="1" si="92"/>
        <v>234.96992693032703</v>
      </c>
      <c r="AF224" s="344"/>
      <c r="AG224" s="359">
        <f t="shared" ca="1" si="114"/>
        <v>-14.722683298455689</v>
      </c>
      <c r="AH224" s="357">
        <f t="shared" ca="1" si="115"/>
        <v>-5.4035940989347049</v>
      </c>
    </row>
    <row r="225" spans="1:34">
      <c r="A225" s="402">
        <f t="shared" ca="1" si="93"/>
        <v>0.1</v>
      </c>
      <c r="B225" s="357">
        <f t="shared" ca="1" si="94"/>
        <v>4.1000000000000023</v>
      </c>
      <c r="C225" s="342"/>
      <c r="D225" s="359">
        <f t="shared" ca="1" si="95"/>
        <v>-1.6154185504740513</v>
      </c>
      <c r="E225" s="360">
        <f t="shared" ca="1" si="96"/>
        <v>-14.61308474093412</v>
      </c>
      <c r="F225" s="357">
        <f t="shared" ca="1" si="97"/>
        <v>14.702102663868773</v>
      </c>
      <c r="G225" s="359">
        <f t="shared" ca="1" si="98"/>
        <v>14.310778496578081</v>
      </c>
      <c r="H225" s="360">
        <f t="shared" ca="1" si="99"/>
        <v>41.568890124532423</v>
      </c>
      <c r="I225" s="357">
        <f t="shared" ca="1" si="100"/>
        <v>43.963291589274462</v>
      </c>
      <c r="J225" s="359">
        <f t="shared" ca="1" si="101"/>
        <v>59.781519862161026</v>
      </c>
      <c r="K225" s="360">
        <f t="shared" ca="1" si="102"/>
        <v>239.19988136648496</v>
      </c>
      <c r="L225" s="357">
        <f t="shared" ca="1" si="87"/>
        <v>246.55711987847852</v>
      </c>
      <c r="M225" s="359">
        <f t="shared" ca="1" si="103"/>
        <v>1.2392383585699545</v>
      </c>
      <c r="N225" s="357">
        <f t="shared" ca="1" si="104"/>
        <v>71.003127756778156</v>
      </c>
      <c r="O225" s="343"/>
      <c r="P225" s="363">
        <f t="shared" ca="1" si="105"/>
        <v>23</v>
      </c>
      <c r="Q225" s="357">
        <f t="shared" ca="1" si="106"/>
        <v>0</v>
      </c>
      <c r="R225" s="359">
        <f t="shared" ca="1" si="107"/>
        <v>0</v>
      </c>
      <c r="S225" s="360">
        <f t="shared" ca="1" si="108"/>
        <v>0.42898953648292248</v>
      </c>
      <c r="T225" s="357">
        <f t="shared" ca="1" si="88"/>
        <v>4.2083873528974696</v>
      </c>
      <c r="U225" s="364">
        <f t="shared" ca="1" si="89"/>
        <v>0</v>
      </c>
      <c r="V225" s="359">
        <f t="shared" ca="1" si="90"/>
        <v>1.1960443242429051</v>
      </c>
      <c r="W225" s="357">
        <f t="shared" ca="1" si="91"/>
        <v>2.0377289821419171</v>
      </c>
      <c r="X225" s="343"/>
      <c r="Y225" s="367" t="str">
        <f t="shared" ca="1" si="109"/>
        <v/>
      </c>
      <c r="Z225" s="368" t="str">
        <f t="shared" ca="1" si="110"/>
        <v/>
      </c>
      <c r="AA225" s="369" t="str">
        <f t="shared" ca="1" si="111"/>
        <v/>
      </c>
      <c r="AB225" s="344"/>
      <c r="AC225" s="363" t="e">
        <f t="shared" ca="1" si="112"/>
        <v>#N/A</v>
      </c>
      <c r="AD225" s="376" t="e">
        <f t="shared" ca="1" si="113"/>
        <v>#N/A</v>
      </c>
      <c r="AE225" s="377">
        <f t="shared" ca="1" si="92"/>
        <v>239.19988136648496</v>
      </c>
      <c r="AF225" s="344"/>
      <c r="AG225" s="359">
        <f t="shared" ca="1" si="114"/>
        <v>-14.365656875981983</v>
      </c>
      <c r="AH225" s="357">
        <f t="shared" ca="1" si="115"/>
        <v>-5.0674648614282338</v>
      </c>
    </row>
    <row r="226" spans="1:34">
      <c r="A226" s="402">
        <f t="shared" ca="1" si="93"/>
        <v>0.1</v>
      </c>
      <c r="B226" s="357">
        <f t="shared" ca="1" si="94"/>
        <v>4.200000000000002</v>
      </c>
      <c r="C226" s="342"/>
      <c r="D226" s="359">
        <f t="shared" ca="1" si="95"/>
        <v>-1.5462253228466061</v>
      </c>
      <c r="E226" s="360">
        <f t="shared" ca="1" si="96"/>
        <v>-14.301360869609528</v>
      </c>
      <c r="F226" s="357">
        <f t="shared" ca="1" si="97"/>
        <v>14.384704914311266</v>
      </c>
      <c r="G226" s="359">
        <f t="shared" ca="1" si="98"/>
        <v>14.15615596429342</v>
      </c>
      <c r="H226" s="360">
        <f t="shared" ca="1" si="99"/>
        <v>40.138754037571474</v>
      </c>
      <c r="I226" s="357">
        <f t="shared" ca="1" si="100"/>
        <v>42.561911697832144</v>
      </c>
      <c r="J226" s="359">
        <f t="shared" ca="1" si="101"/>
        <v>61.204866585204599</v>
      </c>
      <c r="K226" s="360">
        <f t="shared" ca="1" si="102"/>
        <v>243.28526357459015</v>
      </c>
      <c r="L226" s="357">
        <f t="shared" ca="1" si="87"/>
        <v>250.86601038456863</v>
      </c>
      <c r="M226" s="359">
        <f t="shared" ca="1" si="103"/>
        <v>1.2317355301610715</v>
      </c>
      <c r="N226" s="357">
        <f t="shared" ca="1" si="104"/>
        <v>70.57324735453831</v>
      </c>
      <c r="O226" s="343"/>
      <c r="P226" s="363">
        <f t="shared" ca="1" si="105"/>
        <v>23</v>
      </c>
      <c r="Q226" s="357">
        <f t="shared" ca="1" si="106"/>
        <v>0</v>
      </c>
      <c r="R226" s="359">
        <f t="shared" ca="1" si="107"/>
        <v>0</v>
      </c>
      <c r="S226" s="360">
        <f t="shared" ca="1" si="108"/>
        <v>0.42898953648292248</v>
      </c>
      <c r="T226" s="357">
        <f t="shared" ca="1" si="88"/>
        <v>4.2083873528974696</v>
      </c>
      <c r="U226" s="364">
        <f t="shared" ca="1" si="89"/>
        <v>0</v>
      </c>
      <c r="V226" s="359">
        <f t="shared" ca="1" si="90"/>
        <v>1.1955557231448857</v>
      </c>
      <c r="W226" s="357">
        <f t="shared" ca="1" si="91"/>
        <v>1.9091094221514502</v>
      </c>
      <c r="X226" s="343"/>
      <c r="Y226" s="367" t="str">
        <f t="shared" ca="1" si="109"/>
        <v/>
      </c>
      <c r="Z226" s="368" t="str">
        <f t="shared" ca="1" si="110"/>
        <v/>
      </c>
      <c r="AA226" s="369" t="str">
        <f t="shared" ca="1" si="111"/>
        <v/>
      </c>
      <c r="AB226" s="344"/>
      <c r="AC226" s="363" t="e">
        <f t="shared" ca="1" si="112"/>
        <v>#N/A</v>
      </c>
      <c r="AD226" s="376" t="e">
        <f t="shared" ca="1" si="113"/>
        <v>#N/A</v>
      </c>
      <c r="AE226" s="377">
        <f t="shared" ca="1" si="92"/>
        <v>243.28526357459015</v>
      </c>
      <c r="AF226" s="344"/>
      <c r="AG226" s="359">
        <f t="shared" ca="1" si="114"/>
        <v>-14.02577842628093</v>
      </c>
      <c r="AH226" s="357">
        <f t="shared" ca="1" si="115"/>
        <v>-4.7500668637474712</v>
      </c>
    </row>
    <row r="227" spans="1:34">
      <c r="A227" s="402">
        <f t="shared" ca="1" si="93"/>
        <v>0.1</v>
      </c>
      <c r="B227" s="357">
        <f t="shared" ca="1" si="94"/>
        <v>4.3000000000000016</v>
      </c>
      <c r="C227" s="342"/>
      <c r="D227" s="359">
        <f t="shared" ca="1" si="95"/>
        <v>-1.4801588768762506</v>
      </c>
      <c r="E227" s="360">
        <f t="shared" ca="1" si="96"/>
        <v>-14.006883196633337</v>
      </c>
      <c r="F227" s="357">
        <f t="shared" ca="1" si="97"/>
        <v>14.084872991437477</v>
      </c>
      <c r="G227" s="359">
        <f t="shared" ca="1" si="98"/>
        <v>14.008140076605795</v>
      </c>
      <c r="H227" s="360">
        <f t="shared" ca="1" si="99"/>
        <v>38.738065717908142</v>
      </c>
      <c r="I227" s="357">
        <f t="shared" ca="1" si="100"/>
        <v>41.193030041146272</v>
      </c>
      <c r="J227" s="359">
        <f t="shared" ca="1" si="101"/>
        <v>62.613081387249558</v>
      </c>
      <c r="K227" s="360">
        <f t="shared" ca="1" si="102"/>
        <v>247.22910456236411</v>
      </c>
      <c r="L227" s="357">
        <f t="shared" ca="1" si="87"/>
        <v>255.03456256655627</v>
      </c>
      <c r="M227" s="359">
        <f t="shared" ca="1" si="103"/>
        <v>1.2238146394242011</v>
      </c>
      <c r="N227" s="357">
        <f t="shared" ca="1" si="104"/>
        <v>70.119413745331372</v>
      </c>
      <c r="O227" s="343"/>
      <c r="P227" s="363">
        <f t="shared" ca="1" si="105"/>
        <v>23</v>
      </c>
      <c r="Q227" s="357">
        <f t="shared" ca="1" si="106"/>
        <v>0</v>
      </c>
      <c r="R227" s="359">
        <f t="shared" ca="1" si="107"/>
        <v>0</v>
      </c>
      <c r="S227" s="360">
        <f t="shared" ca="1" si="108"/>
        <v>0.42898953648292248</v>
      </c>
      <c r="T227" s="357">
        <f t="shared" ca="1" si="88"/>
        <v>4.2083873528974696</v>
      </c>
      <c r="U227" s="364">
        <f t="shared" ca="1" si="89"/>
        <v>0</v>
      </c>
      <c r="V227" s="359">
        <f t="shared" ca="1" si="90"/>
        <v>1.1950842370553656</v>
      </c>
      <c r="W227" s="357">
        <f t="shared" ca="1" si="91"/>
        <v>1.7875769290255197</v>
      </c>
      <c r="X227" s="343"/>
      <c r="Y227" s="367" t="str">
        <f t="shared" ca="1" si="109"/>
        <v/>
      </c>
      <c r="Z227" s="368" t="str">
        <f t="shared" ca="1" si="110"/>
        <v/>
      </c>
      <c r="AA227" s="369" t="str">
        <f t="shared" ca="1" si="111"/>
        <v/>
      </c>
      <c r="AB227" s="344"/>
      <c r="AC227" s="363" t="e">
        <f t="shared" ca="1" si="112"/>
        <v>#N/A</v>
      </c>
      <c r="AD227" s="376" t="e">
        <f t="shared" ca="1" si="113"/>
        <v>#N/A</v>
      </c>
      <c r="AE227" s="377">
        <f t="shared" ca="1" si="92"/>
        <v>247.22910456236411</v>
      </c>
      <c r="AF227" s="344"/>
      <c r="AG227" s="359">
        <f t="shared" ca="1" si="114"/>
        <v>-13.701738857875489</v>
      </c>
      <c r="AH227" s="357">
        <f t="shared" ca="1" si="115"/>
        <v>-4.4502470568473864</v>
      </c>
    </row>
    <row r="228" spans="1:34">
      <c r="A228" s="402">
        <f t="shared" ca="1" si="93"/>
        <v>0.1</v>
      </c>
      <c r="B228" s="357">
        <f t="shared" ca="1" si="94"/>
        <v>4.4000000000000012</v>
      </c>
      <c r="C228" s="342"/>
      <c r="D228" s="359">
        <f t="shared" ca="1" si="95"/>
        <v>-1.4170160807862326</v>
      </c>
      <c r="E228" s="360">
        <f t="shared" ca="1" si="96"/>
        <v>-13.72861173293823</v>
      </c>
      <c r="F228" s="357">
        <f t="shared" ca="1" si="97"/>
        <v>13.801547546814307</v>
      </c>
      <c r="G228" s="359">
        <f t="shared" ca="1" si="98"/>
        <v>13.866438468527171</v>
      </c>
      <c r="H228" s="360">
        <f t="shared" ca="1" si="99"/>
        <v>37.365204544614322</v>
      </c>
      <c r="I228" s="357">
        <f t="shared" ca="1" si="100"/>
        <v>39.855195727311603</v>
      </c>
      <c r="J228" s="359">
        <f t="shared" ca="1" si="101"/>
        <v>64.006810314506211</v>
      </c>
      <c r="K228" s="360">
        <f t="shared" ca="1" si="102"/>
        <v>251.03426807549025</v>
      </c>
      <c r="L228" s="357">
        <f t="shared" ca="1" si="87"/>
        <v>259.06577449527038</v>
      </c>
      <c r="M228" s="359">
        <f t="shared" ca="1" si="103"/>
        <v>1.2154442460258623</v>
      </c>
      <c r="N228" s="357">
        <f t="shared" ca="1" si="104"/>
        <v>69.639825530742399</v>
      </c>
      <c r="O228" s="343"/>
      <c r="P228" s="363">
        <f t="shared" ca="1" si="105"/>
        <v>23</v>
      </c>
      <c r="Q228" s="357">
        <f t="shared" ca="1" si="106"/>
        <v>0</v>
      </c>
      <c r="R228" s="359">
        <f t="shared" ca="1" si="107"/>
        <v>0</v>
      </c>
      <c r="S228" s="360">
        <f t="shared" ca="1" si="108"/>
        <v>0.42898953648292248</v>
      </c>
      <c r="T228" s="357">
        <f t="shared" ca="1" si="88"/>
        <v>4.2083873528974696</v>
      </c>
      <c r="U228" s="364">
        <f t="shared" ca="1" si="89"/>
        <v>0</v>
      </c>
      <c r="V228" s="359">
        <f t="shared" ca="1" si="90"/>
        <v>1.1946295039234358</v>
      </c>
      <c r="W228" s="357">
        <f t="shared" ca="1" si="91"/>
        <v>1.6727147035513652</v>
      </c>
      <c r="X228" s="343"/>
      <c r="Y228" s="367" t="str">
        <f t="shared" ca="1" si="109"/>
        <v/>
      </c>
      <c r="Z228" s="368" t="str">
        <f t="shared" ca="1" si="110"/>
        <v/>
      </c>
      <c r="AA228" s="369" t="str">
        <f t="shared" ca="1" si="111"/>
        <v/>
      </c>
      <c r="AB228" s="344"/>
      <c r="AC228" s="363" t="e">
        <f t="shared" ca="1" si="112"/>
        <v>#N/A</v>
      </c>
      <c r="AD228" s="376" t="e">
        <f t="shared" ca="1" si="113"/>
        <v>#N/A</v>
      </c>
      <c r="AE228" s="377">
        <f t="shared" ca="1" si="92"/>
        <v>251.03426807549025</v>
      </c>
      <c r="AF228" s="344"/>
      <c r="AG228" s="359">
        <f t="shared" ca="1" si="114"/>
        <v>-13.392305026496448</v>
      </c>
      <c r="AH228" s="357">
        <f t="shared" ca="1" si="115"/>
        <v>-4.1669476222683599</v>
      </c>
    </row>
    <row r="229" spans="1:34">
      <c r="A229" s="402">
        <f t="shared" ca="1" si="93"/>
        <v>0.1</v>
      </c>
      <c r="B229" s="357">
        <f t="shared" ca="1" si="94"/>
        <v>4.5000000000000009</v>
      </c>
      <c r="C229" s="342"/>
      <c r="D229" s="359">
        <f t="shared" ca="1" si="95"/>
        <v>-1.3566104484726103</v>
      </c>
      <c r="E229" s="360">
        <f t="shared" ca="1" si="96"/>
        <v>-13.465590944249444</v>
      </c>
      <c r="F229" s="357">
        <f t="shared" ca="1" si="97"/>
        <v>13.533755258122472</v>
      </c>
      <c r="G229" s="359">
        <f t="shared" ca="1" si="98"/>
        <v>13.73077742367991</v>
      </c>
      <c r="H229" s="360">
        <f t="shared" ca="1" si="99"/>
        <v>36.018645450189375</v>
      </c>
      <c r="I229" s="357">
        <f t="shared" ca="1" si="100"/>
        <v>38.547076007462429</v>
      </c>
      <c r="J229" s="359">
        <f t="shared" ca="1" si="101"/>
        <v>65.386671109116563</v>
      </c>
      <c r="K229" s="360">
        <f t="shared" ca="1" si="102"/>
        <v>254.70346057523042</v>
      </c>
      <c r="L229" s="357">
        <f t="shared" ca="1" si="87"/>
        <v>262.96248703518478</v>
      </c>
      <c r="M229" s="359">
        <f t="shared" ca="1" si="103"/>
        <v>1.2065897626949214</v>
      </c>
      <c r="N229" s="357">
        <f t="shared" ca="1" si="104"/>
        <v>69.13250100611053</v>
      </c>
      <c r="O229" s="343"/>
      <c r="P229" s="363">
        <f t="shared" ca="1" si="105"/>
        <v>23</v>
      </c>
      <c r="Q229" s="357">
        <f t="shared" ca="1" si="106"/>
        <v>0</v>
      </c>
      <c r="R229" s="359">
        <f t="shared" ca="1" si="107"/>
        <v>0</v>
      </c>
      <c r="S229" s="360">
        <f t="shared" ca="1" si="108"/>
        <v>0.42898953648292248</v>
      </c>
      <c r="T229" s="357">
        <f t="shared" ca="1" si="88"/>
        <v>4.2083873528974696</v>
      </c>
      <c r="U229" s="364">
        <f t="shared" ca="1" si="89"/>
        <v>0</v>
      </c>
      <c r="V229" s="359">
        <f t="shared" ca="1" si="90"/>
        <v>1.1941911817112532</v>
      </c>
      <c r="W229" s="357">
        <f t="shared" ca="1" si="91"/>
        <v>1.564139507864079</v>
      </c>
      <c r="X229" s="343"/>
      <c r="Y229" s="367" t="str">
        <f t="shared" ca="1" si="109"/>
        <v/>
      </c>
      <c r="Z229" s="368" t="str">
        <f t="shared" ca="1" si="110"/>
        <v/>
      </c>
      <c r="AA229" s="369" t="str">
        <f t="shared" ca="1" si="111"/>
        <v/>
      </c>
      <c r="AB229" s="344"/>
      <c r="AC229" s="363" t="e">
        <f t="shared" ca="1" si="112"/>
        <v>#N/A</v>
      </c>
      <c r="AD229" s="376" t="e">
        <f t="shared" ca="1" si="113"/>
        <v>#N/A</v>
      </c>
      <c r="AE229" s="377">
        <f t="shared" ca="1" si="92"/>
        <v>254.70346057523042</v>
      </c>
      <c r="AF229" s="344"/>
      <c r="AG229" s="359">
        <f t="shared" ca="1" si="114"/>
        <v>-13.096307914950524</v>
      </c>
      <c r="AH229" s="357">
        <f t="shared" ca="1" si="115"/>
        <v>-3.8991969763764946</v>
      </c>
    </row>
    <row r="230" spans="1:34">
      <c r="A230" s="402">
        <f t="shared" ca="1" si="93"/>
        <v>0.1</v>
      </c>
      <c r="B230" s="357">
        <f t="shared" ca="1" si="94"/>
        <v>4.6000000000000005</v>
      </c>
      <c r="C230" s="342"/>
      <c r="D230" s="359">
        <f t="shared" ca="1" si="95"/>
        <v>-1.2987706731605591</v>
      </c>
      <c r="E230" s="360">
        <f t="shared" ca="1" si="96"/>
        <v>-13.216941861645642</v>
      </c>
      <c r="F230" s="357">
        <f t="shared" ca="1" si="97"/>
        <v>13.280600793472519</v>
      </c>
      <c r="G230" s="359">
        <f t="shared" ca="1" si="98"/>
        <v>13.600900356363855</v>
      </c>
      <c r="H230" s="360">
        <f t="shared" ca="1" si="99"/>
        <v>34.696951264024811</v>
      </c>
      <c r="I230" s="357">
        <f t="shared" ca="1" si="100"/>
        <v>37.267451180914577</v>
      </c>
      <c r="J230" s="359">
        <f t="shared" ca="1" si="101"/>
        <v>66.753254998118749</v>
      </c>
      <c r="K230" s="360">
        <f t="shared" ca="1" si="102"/>
        <v>258.23924041094114</v>
      </c>
      <c r="L230" s="357">
        <f t="shared" ca="1" si="87"/>
        <v>266.7273933079685</v>
      </c>
      <c r="M230" s="359">
        <f t="shared" ca="1" si="103"/>
        <v>1.1972130768159714</v>
      </c>
      <c r="N230" s="357">
        <f t="shared" ca="1" si="104"/>
        <v>68.595256479426794</v>
      </c>
      <c r="O230" s="343"/>
      <c r="P230" s="363">
        <f t="shared" ca="1" si="105"/>
        <v>23</v>
      </c>
      <c r="Q230" s="357">
        <f t="shared" ca="1" si="106"/>
        <v>0</v>
      </c>
      <c r="R230" s="359">
        <f t="shared" ca="1" si="107"/>
        <v>0</v>
      </c>
      <c r="S230" s="360">
        <f t="shared" ca="1" si="108"/>
        <v>0.42898953648292248</v>
      </c>
      <c r="T230" s="357">
        <f t="shared" ca="1" si="88"/>
        <v>4.2083873528974696</v>
      </c>
      <c r="U230" s="364">
        <f t="shared" ca="1" si="89"/>
        <v>0</v>
      </c>
      <c r="V230" s="359">
        <f t="shared" ca="1" si="90"/>
        <v>1.193768947217055</v>
      </c>
      <c r="W230" s="357">
        <f t="shared" ca="1" si="91"/>
        <v>1.4614986067153863</v>
      </c>
      <c r="X230" s="343"/>
      <c r="Y230" s="367" t="str">
        <f t="shared" ca="1" si="109"/>
        <v/>
      </c>
      <c r="Z230" s="368" t="str">
        <f t="shared" ca="1" si="110"/>
        <v/>
      </c>
      <c r="AA230" s="369" t="str">
        <f t="shared" ca="1" si="111"/>
        <v/>
      </c>
      <c r="AB230" s="344"/>
      <c r="AC230" s="363" t="e">
        <f t="shared" ca="1" si="112"/>
        <v>#N/A</v>
      </c>
      <c r="AD230" s="376" t="e">
        <f t="shared" ca="1" si="113"/>
        <v>#N/A</v>
      </c>
      <c r="AE230" s="377">
        <f t="shared" ca="1" si="92"/>
        <v>258.23924041094114</v>
      </c>
      <c r="AF230" s="344"/>
      <c r="AG230" s="359">
        <f t="shared" ca="1" si="114"/>
        <v>-12.812631334017073</v>
      </c>
      <c r="AH230" s="357">
        <f t="shared" ca="1" si="115"/>
        <v>-3.6461017690261199</v>
      </c>
    </row>
    <row r="231" spans="1:34">
      <c r="A231" s="402">
        <f t="shared" ca="1" si="93"/>
        <v>0.1</v>
      </c>
      <c r="B231" s="357">
        <f t="shared" ca="1" si="94"/>
        <v>4.7</v>
      </c>
      <c r="C231" s="342"/>
      <c r="D231" s="359">
        <f t="shared" ca="1" si="95"/>
        <v>-1.2433393363069549</v>
      </c>
      <c r="E231" s="360">
        <f t="shared" ca="1" si="96"/>
        <v>-12.981855040927652</v>
      </c>
      <c r="F231" s="357">
        <f t="shared" ca="1" si="97"/>
        <v>13.041259640420741</v>
      </c>
      <c r="G231" s="359">
        <f t="shared" ca="1" si="98"/>
        <v>13.476566422733159</v>
      </c>
      <c r="H231" s="360">
        <f t="shared" ca="1" si="99"/>
        <v>33.398765759932047</v>
      </c>
      <c r="I231" s="357">
        <f t="shared" ca="1" si="100"/>
        <v>36.015210631525505</v>
      </c>
      <c r="J231" s="359">
        <f t="shared" ca="1" si="101"/>
        <v>68.107128337073604</v>
      </c>
      <c r="K231" s="360">
        <f t="shared" ca="1" si="102"/>
        <v>261.64402626213899</v>
      </c>
      <c r="L231" s="357">
        <f t="shared" ca="1" si="87"/>
        <v>270.36304741769999</v>
      </c>
      <c r="M231" s="359">
        <f t="shared" ca="1" si="103"/>
        <v>1.1872721204162151</v>
      </c>
      <c r="N231" s="357">
        <f t="shared" ca="1" si="104"/>
        <v>68.025681633397184</v>
      </c>
      <c r="O231" s="343"/>
      <c r="P231" s="363">
        <f t="shared" ca="1" si="105"/>
        <v>23</v>
      </c>
      <c r="Q231" s="357">
        <f t="shared" ca="1" si="106"/>
        <v>0</v>
      </c>
      <c r="R231" s="359">
        <f t="shared" ca="1" si="107"/>
        <v>0</v>
      </c>
      <c r="S231" s="360">
        <f t="shared" ca="1" si="108"/>
        <v>0.42898953648292248</v>
      </c>
      <c r="T231" s="357">
        <f t="shared" ca="1" si="88"/>
        <v>4.2083873528974696</v>
      </c>
      <c r="U231" s="364">
        <f t="shared" ca="1" si="89"/>
        <v>0</v>
      </c>
      <c r="V231" s="359">
        <f t="shared" ca="1" si="90"/>
        <v>1.1933624949924411</v>
      </c>
      <c r="W231" s="357">
        <f t="shared" ca="1" si="91"/>
        <v>1.3644670369405443</v>
      </c>
      <c r="X231" s="343"/>
      <c r="Y231" s="367" t="str">
        <f t="shared" ca="1" si="109"/>
        <v/>
      </c>
      <c r="Z231" s="368" t="str">
        <f t="shared" ca="1" si="110"/>
        <v/>
      </c>
      <c r="AA231" s="369" t="str">
        <f t="shared" ca="1" si="111"/>
        <v/>
      </c>
      <c r="AB231" s="344"/>
      <c r="AC231" s="363" t="e">
        <f t="shared" ca="1" si="112"/>
        <v>#N/A</v>
      </c>
      <c r="AD231" s="376" t="e">
        <f t="shared" ca="1" si="113"/>
        <v>#N/A</v>
      </c>
      <c r="AE231" s="377">
        <f t="shared" ca="1" si="92"/>
        <v>261.64402626213899</v>
      </c>
      <c r="AF231" s="344"/>
      <c r="AG231" s="359">
        <f t="shared" ca="1" si="114"/>
        <v>-12.540200933658028</v>
      </c>
      <c r="AH231" s="357">
        <f t="shared" ca="1" si="115"/>
        <v>-3.4068397534762873</v>
      </c>
    </row>
    <row r="232" spans="1:34">
      <c r="A232" s="402">
        <f t="shared" ca="1" si="93"/>
        <v>0.1</v>
      </c>
      <c r="B232" s="357">
        <f t="shared" ca="1" si="94"/>
        <v>4.8</v>
      </c>
      <c r="C232" s="342"/>
      <c r="D232" s="359">
        <f t="shared" ca="1" si="95"/>
        <v>-1.1901717732308223</v>
      </c>
      <c r="E232" s="360">
        <f t="shared" ca="1" si="96"/>
        <v>-12.759584265111165</v>
      </c>
      <c r="F232" s="357">
        <f t="shared" ca="1" si="97"/>
        <v>12.814971692058778</v>
      </c>
      <c r="G232" s="359">
        <f t="shared" ca="1" si="98"/>
        <v>13.357549245410077</v>
      </c>
      <c r="H232" s="360">
        <f t="shared" ca="1" si="99"/>
        <v>32.12280733342093</v>
      </c>
      <c r="I232" s="357">
        <f t="shared" ca="1" si="100"/>
        <v>34.78934999139301</v>
      </c>
      <c r="J232" s="359">
        <f t="shared" ca="1" si="101"/>
        <v>69.448834120480768</v>
      </c>
      <c r="K232" s="360">
        <f t="shared" ca="1" si="102"/>
        <v>264.92010491680662</v>
      </c>
      <c r="L232" s="357">
        <f t="shared" ca="1" si="87"/>
        <v>273.87187250578671</v>
      </c>
      <c r="M232" s="359">
        <f t="shared" ca="1" si="103"/>
        <v>1.1767203812014373</v>
      </c>
      <c r="N232" s="357">
        <f t="shared" ca="1" si="104"/>
        <v>67.421111509867728</v>
      </c>
      <c r="O232" s="343"/>
      <c r="P232" s="363">
        <f t="shared" ca="1" si="105"/>
        <v>23</v>
      </c>
      <c r="Q232" s="357">
        <f t="shared" ca="1" si="106"/>
        <v>0</v>
      </c>
      <c r="R232" s="359">
        <f t="shared" ca="1" si="107"/>
        <v>0</v>
      </c>
      <c r="S232" s="360">
        <f t="shared" ca="1" si="108"/>
        <v>0.42898953648292248</v>
      </c>
      <c r="T232" s="357">
        <f t="shared" ca="1" si="88"/>
        <v>4.2083873528974696</v>
      </c>
      <c r="U232" s="364">
        <f t="shared" ca="1" si="89"/>
        <v>0</v>
      </c>
      <c r="V232" s="359">
        <f t="shared" ca="1" si="90"/>
        <v>1.1929715363452777</v>
      </c>
      <c r="W232" s="357">
        <f t="shared" ca="1" si="91"/>
        <v>1.2727451657399866</v>
      </c>
      <c r="X232" s="343"/>
      <c r="Y232" s="367" t="str">
        <f t="shared" ca="1" si="109"/>
        <v/>
      </c>
      <c r="Z232" s="368" t="str">
        <f t="shared" ca="1" si="110"/>
        <v/>
      </c>
      <c r="AA232" s="369" t="str">
        <f t="shared" ca="1" si="111"/>
        <v/>
      </c>
      <c r="AB232" s="344"/>
      <c r="AC232" s="363" t="e">
        <f t="shared" ca="1" si="112"/>
        <v>#N/A</v>
      </c>
      <c r="AD232" s="376" t="e">
        <f t="shared" ca="1" si="113"/>
        <v>#N/A</v>
      </c>
      <c r="AE232" s="377">
        <f t="shared" ca="1" si="92"/>
        <v>264.92010491680662</v>
      </c>
      <c r="AF232" s="344"/>
      <c r="AG232" s="359">
        <f t="shared" ca="1" si="114"/>
        <v>-12.277973313694865</v>
      </c>
      <c r="AH232" s="357">
        <f t="shared" ca="1" si="115"/>
        <v>-3.180653421356495</v>
      </c>
    </row>
    <row r="233" spans="1:34">
      <c r="A233" s="402">
        <f t="shared" ca="1" si="93"/>
        <v>0.1</v>
      </c>
      <c r="B233" s="357">
        <f t="shared" ca="1" si="94"/>
        <v>4.8999999999999995</v>
      </c>
      <c r="C233" s="342"/>
      <c r="D233" s="359">
        <f t="shared" ca="1" si="95"/>
        <v>-1.1391350800116884</v>
      </c>
      <c r="E233" s="360">
        <f t="shared" ca="1" si="96"/>
        <v>-12.549440898152056</v>
      </c>
      <c r="F233" s="357">
        <f t="shared" ca="1" si="97"/>
        <v>12.601035496606011</v>
      </c>
      <c r="G233" s="359">
        <f t="shared" ca="1" si="98"/>
        <v>13.243635737408908</v>
      </c>
      <c r="H233" s="360">
        <f t="shared" ca="1" si="99"/>
        <v>30.867863243605726</v>
      </c>
      <c r="I233" s="357">
        <f t="shared" ca="1" si="100"/>
        <v>33.588969450864667</v>
      </c>
      <c r="J233" s="359">
        <f t="shared" ca="1" si="101"/>
        <v>70.778893369621713</v>
      </c>
      <c r="K233" s="360">
        <f t="shared" ca="1" si="102"/>
        <v>268.06963844565797</v>
      </c>
      <c r="L233" s="357">
        <f t="shared" ca="1" si="87"/>
        <v>277.25616819651475</v>
      </c>
      <c r="M233" s="359">
        <f t="shared" ca="1" si="103"/>
        <v>1.1655063463876889</v>
      </c>
      <c r="N233" s="357">
        <f t="shared" ca="1" si="104"/>
        <v>66.778594643727175</v>
      </c>
      <c r="O233" s="343"/>
      <c r="P233" s="363">
        <f t="shared" ca="1" si="105"/>
        <v>23</v>
      </c>
      <c r="Q233" s="357">
        <f t="shared" ca="1" si="106"/>
        <v>0</v>
      </c>
      <c r="R233" s="359">
        <f t="shared" ca="1" si="107"/>
        <v>0</v>
      </c>
      <c r="S233" s="360">
        <f t="shared" ca="1" si="108"/>
        <v>0.42898953648292248</v>
      </c>
      <c r="T233" s="357">
        <f t="shared" ca="1" si="88"/>
        <v>4.2083873528974696</v>
      </c>
      <c r="U233" s="364">
        <f t="shared" ca="1" si="89"/>
        <v>0</v>
      </c>
      <c r="V233" s="359">
        <f t="shared" ca="1" si="90"/>
        <v>1.1925957984204842</v>
      </c>
      <c r="W233" s="357">
        <f t="shared" ca="1" si="91"/>
        <v>1.1860565036496056</v>
      </c>
      <c r="X233" s="343"/>
      <c r="Y233" s="367" t="str">
        <f t="shared" ca="1" si="109"/>
        <v/>
      </c>
      <c r="Z233" s="368" t="str">
        <f t="shared" ca="1" si="110"/>
        <v/>
      </c>
      <c r="AA233" s="369" t="str">
        <f t="shared" ca="1" si="111"/>
        <v/>
      </c>
      <c r="AB233" s="344"/>
      <c r="AC233" s="363" t="e">
        <f t="shared" ca="1" si="112"/>
        <v>#N/A</v>
      </c>
      <c r="AD233" s="376" t="e">
        <f t="shared" ca="1" si="113"/>
        <v>#N/A</v>
      </c>
      <c r="AE233" s="377">
        <f t="shared" ca="1" si="92"/>
        <v>268.06963844565797</v>
      </c>
      <c r="AF233" s="344"/>
      <c r="AG233" s="359">
        <f t="shared" ca="1" si="114"/>
        <v>-12.024925017150942</v>
      </c>
      <c r="AH233" s="357">
        <f t="shared" ca="1" si="115"/>
        <v>-2.9668443108766898</v>
      </c>
    </row>
    <row r="234" spans="1:34">
      <c r="A234" s="402">
        <f t="shared" ca="1" si="93"/>
        <v>0.1</v>
      </c>
      <c r="B234" s="357">
        <f t="shared" ca="1" si="94"/>
        <v>4.9999999999999991</v>
      </c>
      <c r="C234" s="342"/>
      <c r="D234" s="359">
        <f t="shared" ca="1" si="95"/>
        <v>-1.0901072489074486</v>
      </c>
      <c r="E234" s="360">
        <f t="shared" ca="1" si="96"/>
        <v>-12.350788809608396</v>
      </c>
      <c r="F234" s="357">
        <f t="shared" ca="1" si="97"/>
        <v>12.398803088752903</v>
      </c>
      <c r="G234" s="359">
        <f t="shared" ca="1" si="98"/>
        <v>13.134625012518164</v>
      </c>
      <c r="H234" s="360">
        <f t="shared" ca="1" si="99"/>
        <v>29.632784362644887</v>
      </c>
      <c r="I234" s="357">
        <f t="shared" ca="1" si="100"/>
        <v>32.413273258072515</v>
      </c>
      <c r="J234" s="359">
        <f t="shared" ca="1" si="101"/>
        <v>72.097806407118071</v>
      </c>
      <c r="K234" s="360">
        <f t="shared" ca="1" si="102"/>
        <v>271.09467082597052</v>
      </c>
      <c r="L234" s="357">
        <f t="shared" ca="1" si="87"/>
        <v>280.51811748790772</v>
      </c>
      <c r="M234" s="359">
        <f t="shared" ca="1" si="103"/>
        <v>1.1535728701561963</v>
      </c>
      <c r="N234" s="357">
        <f t="shared" ca="1" si="104"/>
        <v>66.094856820742962</v>
      </c>
      <c r="O234" s="343"/>
      <c r="P234" s="363">
        <f t="shared" ca="1" si="105"/>
        <v>23</v>
      </c>
      <c r="Q234" s="357">
        <f t="shared" ca="1" si="106"/>
        <v>0</v>
      </c>
      <c r="R234" s="359">
        <f t="shared" ca="1" si="107"/>
        <v>0</v>
      </c>
      <c r="S234" s="360">
        <f t="shared" ca="1" si="108"/>
        <v>0.42898953648292248</v>
      </c>
      <c r="T234" s="357">
        <f t="shared" ca="1" si="88"/>
        <v>4.2083873528974696</v>
      </c>
      <c r="U234" s="364">
        <f t="shared" ca="1" si="89"/>
        <v>0</v>
      </c>
      <c r="V234" s="359">
        <f t="shared" ca="1" si="90"/>
        <v>1.1922350233517724</v>
      </c>
      <c r="W234" s="357">
        <f t="shared" ca="1" si="91"/>
        <v>1.1041457425588492</v>
      </c>
      <c r="X234" s="343"/>
      <c r="Y234" s="367" t="str">
        <f t="shared" ca="1" si="109"/>
        <v/>
      </c>
      <c r="Z234" s="368" t="str">
        <f t="shared" ca="1" si="110"/>
        <v/>
      </c>
      <c r="AA234" s="369" t="str">
        <f t="shared" ca="1" si="111"/>
        <v/>
      </c>
      <c r="AB234" s="344"/>
      <c r="AC234" s="363">
        <f t="shared" ca="1" si="112"/>
        <v>4.9999999999999991</v>
      </c>
      <c r="AD234" s="376">
        <f t="shared" ca="1" si="113"/>
        <v>72.097806407118071</v>
      </c>
      <c r="AE234" s="377">
        <f t="shared" ca="1" si="92"/>
        <v>271.09467082597052</v>
      </c>
      <c r="AF234" s="344"/>
      <c r="AG234" s="359">
        <f t="shared" ca="1" si="114"/>
        <v>-11.780041177616461</v>
      </c>
      <c r="AH234" s="357">
        <f t="shared" ca="1" si="115"/>
        <v>-2.7647679087315478</v>
      </c>
    </row>
    <row r="235" spans="1:34">
      <c r="A235" s="402">
        <f t="shared" ca="1" si="93"/>
        <v>0.1</v>
      </c>
      <c r="B235" s="357">
        <f t="shared" ca="1" si="94"/>
        <v>5.0999999999999988</v>
      </c>
      <c r="C235" s="342"/>
      <c r="D235" s="359">
        <f t="shared" ca="1" si="95"/>
        <v>-1.0429764219846895</v>
      </c>
      <c r="E235" s="360">
        <f t="shared" ca="1" si="96"/>
        <v>-12.16303979965469</v>
      </c>
      <c r="F235" s="357">
        <f t="shared" ca="1" si="97"/>
        <v>12.207675330905554</v>
      </c>
      <c r="G235" s="359">
        <f t="shared" ca="1" si="98"/>
        <v>13.030327370319695</v>
      </c>
      <c r="H235" s="360">
        <f t="shared" ca="1" si="99"/>
        <v>28.416480382679417</v>
      </c>
      <c r="I235" s="357">
        <f t="shared" ca="1" si="100"/>
        <v>31.261570477455329</v>
      </c>
      <c r="J235" s="359">
        <f t="shared" ca="1" si="101"/>
        <v>73.406054026259966</v>
      </c>
      <c r="K235" s="360">
        <f t="shared" ca="1" si="102"/>
        <v>273.99713406323673</v>
      </c>
      <c r="L235" s="357">
        <f t="shared" ca="1" si="87"/>
        <v>283.65979313708442</v>
      </c>
      <c r="M235" s="359">
        <f t="shared" ca="1" si="103"/>
        <v>1.1408564546976891</v>
      </c>
      <c r="N235" s="357">
        <f t="shared" ca="1" si="104"/>
        <v>65.366259884435593</v>
      </c>
      <c r="O235" s="343"/>
      <c r="P235" s="363">
        <f t="shared" ca="1" si="105"/>
        <v>23</v>
      </c>
      <c r="Q235" s="357">
        <f t="shared" ca="1" si="106"/>
        <v>0</v>
      </c>
      <c r="R235" s="359">
        <f t="shared" ca="1" si="107"/>
        <v>0</v>
      </c>
      <c r="S235" s="360">
        <f t="shared" ca="1" si="108"/>
        <v>0.42898953648292248</v>
      </c>
      <c r="T235" s="357">
        <f t="shared" ca="1" si="88"/>
        <v>4.2083873528974696</v>
      </c>
      <c r="U235" s="364">
        <f t="shared" ca="1" si="89"/>
        <v>0</v>
      </c>
      <c r="V235" s="359">
        <f t="shared" ca="1" si="90"/>
        <v>1.1918889674780975</v>
      </c>
      <c r="W235" s="357">
        <f t="shared" ca="1" si="91"/>
        <v>1.0267769929710782</v>
      </c>
      <c r="X235" s="343"/>
      <c r="Y235" s="367" t="str">
        <f t="shared" ca="1" si="109"/>
        <v/>
      </c>
      <c r="Z235" s="368" t="str">
        <f t="shared" ca="1" si="110"/>
        <v/>
      </c>
      <c r="AA235" s="369" t="str">
        <f t="shared" ca="1" si="111"/>
        <v/>
      </c>
      <c r="AB235" s="344"/>
      <c r="AC235" s="363" t="e">
        <f t="shared" ca="1" si="112"/>
        <v>#N/A</v>
      </c>
      <c r="AD235" s="376" t="e">
        <f t="shared" ca="1" si="113"/>
        <v>#N/A</v>
      </c>
      <c r="AE235" s="377">
        <f t="shared" ca="1" si="92"/>
        <v>273.99713406323673</v>
      </c>
      <c r="AF235" s="344"/>
      <c r="AG235" s="359">
        <f t="shared" ca="1" si="114"/>
        <v>-11.542303574166988</v>
      </c>
      <c r="AH235" s="357">
        <f t="shared" ca="1" si="115"/>
        <v>-2.5738290766045382</v>
      </c>
    </row>
    <row r="236" spans="1:34">
      <c r="A236" s="402">
        <f t="shared" ca="1" si="93"/>
        <v>0.1</v>
      </c>
      <c r="B236" s="357">
        <f t="shared" ca="1" si="94"/>
        <v>5.1999999999999984</v>
      </c>
      <c r="C236" s="342"/>
      <c r="D236" s="359">
        <f t="shared" ca="1" si="95"/>
        <v>-0.99764025489126884</v>
      </c>
      <c r="E236" s="360">
        <f t="shared" ca="1" si="96"/>
        <v>-11.985649461936234</v>
      </c>
      <c r="F236" s="357">
        <f t="shared" ca="1" si="97"/>
        <v>12.027097700716988</v>
      </c>
      <c r="G236" s="359">
        <f t="shared" ca="1" si="98"/>
        <v>12.930563344830567</v>
      </c>
      <c r="H236" s="360">
        <f t="shared" ca="1" si="99"/>
        <v>27.217915436485793</v>
      </c>
      <c r="I236" s="357">
        <f t="shared" ca="1" si="100"/>
        <v>30.133277105591542</v>
      </c>
      <c r="J236" s="359">
        <f t="shared" ca="1" si="101"/>
        <v>74.704098562017478</v>
      </c>
      <c r="K236" s="360">
        <f t="shared" ca="1" si="102"/>
        <v>276.77885385419501</v>
      </c>
      <c r="L236" s="357">
        <f t="shared" ca="1" si="87"/>
        <v>286.68316358447953</v>
      </c>
      <c r="M236" s="359">
        <f t="shared" ca="1" si="103"/>
        <v>1.1272864341215632</v>
      </c>
      <c r="N236" s="357">
        <f t="shared" ca="1" si="104"/>
        <v>64.58875497751788</v>
      </c>
      <c r="O236" s="343"/>
      <c r="P236" s="363">
        <f t="shared" ca="1" si="105"/>
        <v>23</v>
      </c>
      <c r="Q236" s="357">
        <f t="shared" ca="1" si="106"/>
        <v>0</v>
      </c>
      <c r="R236" s="359">
        <f t="shared" ca="1" si="107"/>
        <v>0</v>
      </c>
      <c r="S236" s="360">
        <f t="shared" ca="1" si="108"/>
        <v>0.42898953648292248</v>
      </c>
      <c r="T236" s="357">
        <f t="shared" ca="1" si="88"/>
        <v>4.2083873528974696</v>
      </c>
      <c r="U236" s="364">
        <f t="shared" ca="1" si="89"/>
        <v>0</v>
      </c>
      <c r="V236" s="359">
        <f t="shared" ca="1" si="90"/>
        <v>1.1915574006191876</v>
      </c>
      <c r="W236" s="357">
        <f t="shared" ca="1" si="91"/>
        <v>0.95373219798701026</v>
      </c>
      <c r="X236" s="343"/>
      <c r="Y236" s="367" t="str">
        <f t="shared" ca="1" si="109"/>
        <v/>
      </c>
      <c r="Z236" s="368" t="str">
        <f t="shared" ca="1" si="110"/>
        <v/>
      </c>
      <c r="AA236" s="369" t="str">
        <f t="shared" ca="1" si="111"/>
        <v/>
      </c>
      <c r="AB236" s="344"/>
      <c r="AC236" s="363" t="e">
        <f t="shared" ca="1" si="112"/>
        <v>#N/A</v>
      </c>
      <c r="AD236" s="376" t="e">
        <f t="shared" ca="1" si="113"/>
        <v>#N/A</v>
      </c>
      <c r="AE236" s="377">
        <f t="shared" ca="1" si="92"/>
        <v>276.77885385419501</v>
      </c>
      <c r="AF236" s="344"/>
      <c r="AG236" s="359">
        <f t="shared" ca="1" si="114"/>
        <v>-11.310677823522047</v>
      </c>
      <c r="AH236" s="357">
        <f t="shared" ca="1" si="115"/>
        <v>-2.393477942117483</v>
      </c>
    </row>
    <row r="237" spans="1:34">
      <c r="A237" s="402">
        <f t="shared" ca="1" si="93"/>
        <v>0.1</v>
      </c>
      <c r="B237" s="357">
        <f t="shared" ca="1" si="94"/>
        <v>5.299999999999998</v>
      </c>
      <c r="C237" s="342"/>
      <c r="D237" s="359">
        <f t="shared" ca="1" si="95"/>
        <v>-0.95400538479044705</v>
      </c>
      <c r="E237" s="360">
        <f t="shared" ca="1" si="96"/>
        <v>-11.818113428372731</v>
      </c>
      <c r="F237" s="357">
        <f t="shared" ca="1" si="97"/>
        <v>11.856556468051465</v>
      </c>
      <c r="G237" s="359">
        <f t="shared" ca="1" si="98"/>
        <v>12.835162806351523</v>
      </c>
      <c r="H237" s="360">
        <f t="shared" ca="1" si="99"/>
        <v>26.036104093648518</v>
      </c>
      <c r="I237" s="357">
        <f t="shared" ca="1" si="100"/>
        <v>29.027919674700261</v>
      </c>
      <c r="J237" s="359">
        <f t="shared" ca="1" si="101"/>
        <v>75.992384869576583</v>
      </c>
      <c r="K237" s="360">
        <f t="shared" ca="1" si="102"/>
        <v>279.4415548307017</v>
      </c>
      <c r="L237" s="357">
        <f t="shared" ca="1" si="87"/>
        <v>289.5900984570535</v>
      </c>
      <c r="M237" s="359">
        <f t="shared" ca="1" si="103"/>
        <v>1.1127840501659336</v>
      </c>
      <c r="N237" s="357">
        <f t="shared" ca="1" si="104"/>
        <v>63.757829583982073</v>
      </c>
      <c r="O237" s="343"/>
      <c r="P237" s="363">
        <f t="shared" ca="1" si="105"/>
        <v>23</v>
      </c>
      <c r="Q237" s="357">
        <f t="shared" ca="1" si="106"/>
        <v>0</v>
      </c>
      <c r="R237" s="359">
        <f t="shared" ca="1" si="107"/>
        <v>0</v>
      </c>
      <c r="S237" s="360">
        <f t="shared" ca="1" si="108"/>
        <v>0.42898953648292248</v>
      </c>
      <c r="T237" s="357">
        <f t="shared" ca="1" si="88"/>
        <v>4.2083873528974696</v>
      </c>
      <c r="U237" s="364">
        <f t="shared" ca="1" si="89"/>
        <v>0</v>
      </c>
      <c r="V237" s="359">
        <f t="shared" ca="1" si="90"/>
        <v>1.1912401054050656</v>
      </c>
      <c r="W237" s="357">
        <f t="shared" ca="1" si="91"/>
        <v>0.88480970431331651</v>
      </c>
      <c r="X237" s="343"/>
      <c r="Y237" s="367" t="str">
        <f t="shared" ca="1" si="109"/>
        <v/>
      </c>
      <c r="Z237" s="368" t="str">
        <f t="shared" ca="1" si="110"/>
        <v/>
      </c>
      <c r="AA237" s="369" t="str">
        <f t="shared" ca="1" si="111"/>
        <v/>
      </c>
      <c r="AB237" s="344"/>
      <c r="AC237" s="363" t="e">
        <f t="shared" ca="1" si="112"/>
        <v>#N/A</v>
      </c>
      <c r="AD237" s="376" t="e">
        <f t="shared" ca="1" si="113"/>
        <v>#N/A</v>
      </c>
      <c r="AE237" s="377">
        <f t="shared" ca="1" si="92"/>
        <v>279.4415548307017</v>
      </c>
      <c r="AF237" s="344"/>
      <c r="AG237" s="359">
        <f t="shared" ca="1" si="114"/>
        <v>-11.084099409473497</v>
      </c>
      <c r="AH237" s="357">
        <f t="shared" ca="1" si="115"/>
        <v>-2.2232062017320953</v>
      </c>
    </row>
    <row r="238" spans="1:34">
      <c r="A238" s="402">
        <f t="shared" ca="1" si="93"/>
        <v>0.1</v>
      </c>
      <c r="B238" s="357">
        <f t="shared" ca="1" si="94"/>
        <v>5.3999999999999977</v>
      </c>
      <c r="C238" s="342"/>
      <c r="D238" s="359">
        <f t="shared" ca="1" si="95"/>
        <v>-0.91198699846643694</v>
      </c>
      <c r="E238" s="360">
        <f t="shared" ca="1" si="96"/>
        <v>-11.659963945324957</v>
      </c>
      <c r="F238" s="357">
        <f t="shared" ca="1" si="97"/>
        <v>11.695575209952256</v>
      </c>
      <c r="G238" s="359">
        <f t="shared" ca="1" si="98"/>
        <v>12.74396410650488</v>
      </c>
      <c r="H238" s="360">
        <f t="shared" ca="1" si="99"/>
        <v>24.870107699116023</v>
      </c>
      <c r="I238" s="357">
        <f t="shared" ca="1" si="100"/>
        <v>27.945140509818781</v>
      </c>
      <c r="J238" s="359">
        <f t="shared" ca="1" si="101"/>
        <v>77.271341215219408</v>
      </c>
      <c r="K238" s="360">
        <f t="shared" ca="1" si="102"/>
        <v>281.98686542033994</v>
      </c>
      <c r="L238" s="357">
        <f t="shared" ca="1" si="87"/>
        <v>292.38237368690295</v>
      </c>
      <c r="M238" s="359">
        <f t="shared" ca="1" si="103"/>
        <v>1.0972614089395998</v>
      </c>
      <c r="N238" s="357">
        <f t="shared" ca="1" si="104"/>
        <v>62.868447754817367</v>
      </c>
      <c r="O238" s="343"/>
      <c r="P238" s="363">
        <f t="shared" ca="1" si="105"/>
        <v>23</v>
      </c>
      <c r="Q238" s="357">
        <f t="shared" ca="1" si="106"/>
        <v>0</v>
      </c>
      <c r="R238" s="359">
        <f t="shared" ca="1" si="107"/>
        <v>0</v>
      </c>
      <c r="S238" s="360">
        <f t="shared" ca="1" si="108"/>
        <v>0.42898953648292248</v>
      </c>
      <c r="T238" s="357">
        <f t="shared" ca="1" si="88"/>
        <v>4.2083873528974696</v>
      </c>
      <c r="U238" s="364">
        <f t="shared" ca="1" si="89"/>
        <v>0</v>
      </c>
      <c r="V238" s="359">
        <f t="shared" ca="1" si="90"/>
        <v>1.1909368766549338</v>
      </c>
      <c r="W238" s="357">
        <f t="shared" ca="1" si="91"/>
        <v>0.81982297302395224</v>
      </c>
      <c r="X238" s="343"/>
      <c r="Y238" s="367" t="str">
        <f t="shared" ca="1" si="109"/>
        <v/>
      </c>
      <c r="Z238" s="368" t="str">
        <f t="shared" ca="1" si="110"/>
        <v/>
      </c>
      <c r="AA238" s="369" t="str">
        <f t="shared" ca="1" si="111"/>
        <v/>
      </c>
      <c r="AB238" s="344"/>
      <c r="AC238" s="363" t="e">
        <f t="shared" ca="1" si="112"/>
        <v>#N/A</v>
      </c>
      <c r="AD238" s="376" t="e">
        <f t="shared" ca="1" si="113"/>
        <v>#N/A</v>
      </c>
      <c r="AE238" s="377">
        <f t="shared" ca="1" si="92"/>
        <v>281.98686542033994</v>
      </c>
      <c r="AF238" s="344"/>
      <c r="AG238" s="359">
        <f t="shared" ca="1" si="114"/>
        <v>-10.86145821486663</v>
      </c>
      <c r="AH238" s="357">
        <f t="shared" ca="1" si="115"/>
        <v>-2.0625437896864405</v>
      </c>
    </row>
    <row r="239" spans="1:34">
      <c r="A239" s="402">
        <f t="shared" ca="1" si="93"/>
        <v>0.1</v>
      </c>
      <c r="B239" s="357">
        <f t="shared" ca="1" si="94"/>
        <v>5.4999999999999973</v>
      </c>
      <c r="C239" s="342"/>
      <c r="D239" s="359">
        <f t="shared" ca="1" si="95"/>
        <v>-0.87150849854195422</v>
      </c>
      <c r="E239" s="360">
        <f t="shared" ca="1" si="96"/>
        <v>-11.510766734612037</v>
      </c>
      <c r="F239" s="357">
        <f t="shared" ca="1" si="97"/>
        <v>11.543711616359875</v>
      </c>
      <c r="G239" s="359">
        <f t="shared" ca="1" si="98"/>
        <v>12.656813256650684</v>
      </c>
      <c r="H239" s="360">
        <f t="shared" ca="1" si="99"/>
        <v>23.719031025654818</v>
      </c>
      <c r="I239" s="357">
        <f t="shared" ca="1" si="100"/>
        <v>26.884704845129029</v>
      </c>
      <c r="J239" s="359">
        <f t="shared" ca="1" si="101"/>
        <v>78.541380083377192</v>
      </c>
      <c r="K239" s="360">
        <f t="shared" ca="1" si="102"/>
        <v>284.41632235657846</v>
      </c>
      <c r="L239" s="357">
        <f t="shared" ca="1" si="87"/>
        <v>295.06167627843956</v>
      </c>
      <c r="M239" s="359">
        <f t="shared" ca="1" si="103"/>
        <v>1.0806203092905675</v>
      </c>
      <c r="N239" s="357">
        <f t="shared" ca="1" si="104"/>
        <v>61.91498297847118</v>
      </c>
      <c r="O239" s="343"/>
      <c r="P239" s="363">
        <f t="shared" ca="1" si="105"/>
        <v>23</v>
      </c>
      <c r="Q239" s="357">
        <f t="shared" ca="1" si="106"/>
        <v>0</v>
      </c>
      <c r="R239" s="359">
        <f t="shared" ca="1" si="107"/>
        <v>0</v>
      </c>
      <c r="S239" s="360">
        <f t="shared" ca="1" si="108"/>
        <v>0.42898953648292248</v>
      </c>
      <c r="T239" s="357">
        <f t="shared" ca="1" si="88"/>
        <v>4.2083873528974696</v>
      </c>
      <c r="U239" s="364">
        <f t="shared" ca="1" si="89"/>
        <v>0</v>
      </c>
      <c r="V239" s="359">
        <f t="shared" ca="1" si="90"/>
        <v>1.1906475208011971</v>
      </c>
      <c r="W239" s="357">
        <f t="shared" ca="1" si="91"/>
        <v>0.75859941488939675</v>
      </c>
      <c r="X239" s="343"/>
      <c r="Y239" s="367" t="str">
        <f t="shared" ca="1" si="109"/>
        <v/>
      </c>
      <c r="Z239" s="368" t="str">
        <f t="shared" ca="1" si="110"/>
        <v/>
      </c>
      <c r="AA239" s="369" t="str">
        <f t="shared" ca="1" si="111"/>
        <v/>
      </c>
      <c r="AB239" s="344"/>
      <c r="AC239" s="363" t="e">
        <f t="shared" ca="1" si="112"/>
        <v>#N/A</v>
      </c>
      <c r="AD239" s="376" t="e">
        <f t="shared" ca="1" si="113"/>
        <v>#N/A</v>
      </c>
      <c r="AE239" s="377">
        <f t="shared" ca="1" si="92"/>
        <v>284.41632235657846</v>
      </c>
      <c r="AF239" s="344"/>
      <c r="AG239" s="359">
        <f t="shared" ca="1" si="114"/>
        <v>-10.641581183270439</v>
      </c>
      <c r="AH239" s="357">
        <f t="shared" ca="1" si="115"/>
        <v>-1.9110558727032922</v>
      </c>
    </row>
    <row r="240" spans="1:34">
      <c r="A240" s="402">
        <f t="shared" ca="1" si="93"/>
        <v>0.1</v>
      </c>
      <c r="B240" s="357">
        <f t="shared" ca="1" si="94"/>
        <v>5.599999999999997</v>
      </c>
      <c r="C240" s="342"/>
      <c r="D240" s="359">
        <f t="shared" ca="1" si="95"/>
        <v>-0.83250126764634413</v>
      </c>
      <c r="E240" s="360">
        <f t="shared" ca="1" si="96"/>
        <v>-11.370118095747738</v>
      </c>
      <c r="F240" s="357">
        <f t="shared" ca="1" si="97"/>
        <v>11.400554542296746</v>
      </c>
      <c r="G240" s="359">
        <f t="shared" ca="1" si="98"/>
        <v>12.57356312988605</v>
      </c>
      <c r="H240" s="360">
        <f t="shared" ca="1" si="99"/>
        <v>22.582019216080045</v>
      </c>
      <c r="I240" s="357">
        <f t="shared" ca="1" si="100"/>
        <v>25.846510047908563</v>
      </c>
      <c r="J240" s="359">
        <f t="shared" ca="1" si="101"/>
        <v>79.80289890270403</v>
      </c>
      <c r="K240" s="360">
        <f t="shared" ca="1" si="102"/>
        <v>286.73137486866523</v>
      </c>
      <c r="L240" s="357">
        <f t="shared" ca="1" si="87"/>
        <v>297.62960875448903</v>
      </c>
      <c r="M240" s="359">
        <f t="shared" ca="1" si="103"/>
        <v>1.0627509364846592</v>
      </c>
      <c r="N240" s="357">
        <f t="shared" ca="1" si="104"/>
        <v>60.89114333414679</v>
      </c>
      <c r="O240" s="343"/>
      <c r="P240" s="363">
        <f t="shared" ca="1" si="105"/>
        <v>23</v>
      </c>
      <c r="Q240" s="357">
        <f t="shared" ca="1" si="106"/>
        <v>0</v>
      </c>
      <c r="R240" s="359">
        <f t="shared" ca="1" si="107"/>
        <v>0</v>
      </c>
      <c r="S240" s="360">
        <f t="shared" ca="1" si="108"/>
        <v>0.42898953648292248</v>
      </c>
      <c r="T240" s="357">
        <f t="shared" ca="1" si="88"/>
        <v>4.2083873528974696</v>
      </c>
      <c r="U240" s="364">
        <f t="shared" ca="1" si="89"/>
        <v>0</v>
      </c>
      <c r="V240" s="359">
        <f t="shared" ca="1" si="90"/>
        <v>1.1903718553547529</v>
      </c>
      <c r="W240" s="357">
        <f t="shared" ca="1" si="91"/>
        <v>0.70097933688648184</v>
      </c>
      <c r="X240" s="343"/>
      <c r="Y240" s="367" t="str">
        <f t="shared" ca="1" si="109"/>
        <v/>
      </c>
      <c r="Z240" s="368" t="str">
        <f t="shared" ca="1" si="110"/>
        <v/>
      </c>
      <c r="AA240" s="369" t="str">
        <f t="shared" ca="1" si="111"/>
        <v/>
      </c>
      <c r="AB240" s="344"/>
      <c r="AC240" s="363" t="e">
        <f t="shared" ca="1" si="112"/>
        <v>#N/A</v>
      </c>
      <c r="AD240" s="376" t="e">
        <f t="shared" ca="1" si="113"/>
        <v>#N/A</v>
      </c>
      <c r="AE240" s="377">
        <f t="shared" ca="1" si="92"/>
        <v>286.73137486866523</v>
      </c>
      <c r="AF240" s="344"/>
      <c r="AG240" s="359">
        <f t="shared" ca="1" si="114"/>
        <v>-10.423212699309058</v>
      </c>
      <c r="AH240" s="357">
        <f t="shared" ca="1" si="115"/>
        <v>-1.7683401350736572</v>
      </c>
    </row>
    <row r="241" spans="1:34">
      <c r="A241" s="402">
        <f t="shared" ca="1" si="93"/>
        <v>0.1</v>
      </c>
      <c r="B241" s="357">
        <f t="shared" ca="1" si="94"/>
        <v>5.6999999999999966</v>
      </c>
      <c r="C241" s="342"/>
      <c r="D241" s="359">
        <f t="shared" ca="1" si="95"/>
        <v>-0.79490453224751811</v>
      </c>
      <c r="E241" s="360">
        <f t="shared" ca="1" si="96"/>
        <v>-11.237642207442057</v>
      </c>
      <c r="F241" s="357">
        <f t="shared" ca="1" si="97"/>
        <v>11.265721263987976</v>
      </c>
      <c r="G241" s="359">
        <f t="shared" ca="1" si="98"/>
        <v>12.494072676661299</v>
      </c>
      <c r="H241" s="360">
        <f t="shared" ca="1" si="99"/>
        <v>21.458254995335839</v>
      </c>
      <c r="I241" s="357">
        <f t="shared" ca="1" si="100"/>
        <v>24.8305972440163</v>
      </c>
      <c r="J241" s="359">
        <f t="shared" ca="1" si="101"/>
        <v>81.056280693031397</v>
      </c>
      <c r="K241" s="360">
        <f t="shared" ca="1" si="102"/>
        <v>288.93338857923601</v>
      </c>
      <c r="L241" s="357">
        <f t="shared" ca="1" si="87"/>
        <v>300.08769330925134</v>
      </c>
      <c r="M241" s="359">
        <f t="shared" ca="1" si="103"/>
        <v>1.0435304206704297</v>
      </c>
      <c r="N241" s="357">
        <f t="shared" ca="1" si="104"/>
        <v>59.789888897926986</v>
      </c>
      <c r="O241" s="343"/>
      <c r="P241" s="363">
        <f t="shared" ca="1" si="105"/>
        <v>23</v>
      </c>
      <c r="Q241" s="357">
        <f t="shared" ca="1" si="106"/>
        <v>0</v>
      </c>
      <c r="R241" s="359">
        <f t="shared" ca="1" si="107"/>
        <v>0</v>
      </c>
      <c r="S241" s="360">
        <f t="shared" ca="1" si="108"/>
        <v>0.42898953648292248</v>
      </c>
      <c r="T241" s="357">
        <f t="shared" ca="1" si="88"/>
        <v>4.2083873528974696</v>
      </c>
      <c r="U241" s="364">
        <f t="shared" ca="1" si="89"/>
        <v>0</v>
      </c>
      <c r="V241" s="359">
        <f t="shared" ca="1" si="90"/>
        <v>1.1901097084079539</v>
      </c>
      <c r="W241" s="357">
        <f t="shared" ca="1" si="91"/>
        <v>0.64681498804845883</v>
      </c>
      <c r="X241" s="343"/>
      <c r="Y241" s="367" t="str">
        <f t="shared" ca="1" si="109"/>
        <v/>
      </c>
      <c r="Z241" s="368" t="str">
        <f t="shared" ca="1" si="110"/>
        <v/>
      </c>
      <c r="AA241" s="369" t="str">
        <f t="shared" ca="1" si="111"/>
        <v/>
      </c>
      <c r="AB241" s="344"/>
      <c r="AC241" s="363" t="e">
        <f t="shared" ca="1" si="112"/>
        <v>#N/A</v>
      </c>
      <c r="AD241" s="376" t="e">
        <f t="shared" ca="1" si="113"/>
        <v>#N/A</v>
      </c>
      <c r="AE241" s="377">
        <f t="shared" ca="1" si="92"/>
        <v>288.93338857923601</v>
      </c>
      <c r="AF241" s="344"/>
      <c r="AG241" s="359">
        <f t="shared" ca="1" si="114"/>
        <v>-10.204992244656198</v>
      </c>
      <c r="AH241" s="357">
        <f t="shared" ca="1" si="115"/>
        <v>-1.6340243229088338</v>
      </c>
    </row>
    <row r="242" spans="1:34">
      <c r="A242" s="402">
        <f t="shared" ca="1" si="93"/>
        <v>0.1</v>
      </c>
      <c r="B242" s="357">
        <f t="shared" ca="1" si="94"/>
        <v>5.7999999999999963</v>
      </c>
      <c r="C242" s="342"/>
      <c r="D242" s="359">
        <f t="shared" ca="1" si="95"/>
        <v>-0.75866532969441214</v>
      </c>
      <c r="E242" s="360">
        <f t="shared" ca="1" si="96"/>
        <v>-11.11298858682912</v>
      </c>
      <c r="F242" s="357">
        <f t="shared" ca="1" si="97"/>
        <v>11.138854896867748</v>
      </c>
      <c r="G242" s="359">
        <f t="shared" ca="1" si="98"/>
        <v>12.418206143691858</v>
      </c>
      <c r="H242" s="360">
        <f t="shared" ca="1" si="99"/>
        <v>20.346956136652928</v>
      </c>
      <c r="I242" s="357">
        <f t="shared" ca="1" si="100"/>
        <v>23.837165684160198</v>
      </c>
      <c r="J242" s="359">
        <f t="shared" ca="1" si="101"/>
        <v>82.301894634049049</v>
      </c>
      <c r="K242" s="360">
        <f t="shared" ca="1" si="102"/>
        <v>291.02364913583546</v>
      </c>
      <c r="L242" s="357">
        <f t="shared" ca="1" si="87"/>
        <v>302.43737569403021</v>
      </c>
      <c r="M242" s="359">
        <f t="shared" ca="1" si="103"/>
        <v>1.0228212695410237</v>
      </c>
      <c r="N242" s="357">
        <f t="shared" ca="1" si="104"/>
        <v>58.603341940913438</v>
      </c>
      <c r="O242" s="343"/>
      <c r="P242" s="363">
        <f t="shared" ca="1" si="105"/>
        <v>23</v>
      </c>
      <c r="Q242" s="357">
        <f t="shared" ca="1" si="106"/>
        <v>0</v>
      </c>
      <c r="R242" s="359">
        <f t="shared" ca="1" si="107"/>
        <v>0</v>
      </c>
      <c r="S242" s="360">
        <f t="shared" ca="1" si="108"/>
        <v>0.42898953648292248</v>
      </c>
      <c r="T242" s="357">
        <f t="shared" ca="1" si="88"/>
        <v>4.2083873528974696</v>
      </c>
      <c r="U242" s="364">
        <f t="shared" ca="1" si="89"/>
        <v>0</v>
      </c>
      <c r="V242" s="359">
        <f t="shared" ca="1" si="90"/>
        <v>1.1898609181719051</v>
      </c>
      <c r="W242" s="357">
        <f t="shared" ca="1" si="91"/>
        <v>0.59596969414398993</v>
      </c>
      <c r="X242" s="343"/>
      <c r="Y242" s="367" t="str">
        <f t="shared" ca="1" si="109"/>
        <v/>
      </c>
      <c r="Z242" s="368" t="str">
        <f t="shared" ca="1" si="110"/>
        <v/>
      </c>
      <c r="AA242" s="369" t="str">
        <f t="shared" ca="1" si="111"/>
        <v/>
      </c>
      <c r="AB242" s="344"/>
      <c r="AC242" s="363" t="e">
        <f t="shared" ca="1" si="112"/>
        <v>#N/A</v>
      </c>
      <c r="AD242" s="376" t="e">
        <f t="shared" ca="1" si="113"/>
        <v>#N/A</v>
      </c>
      <c r="AE242" s="377">
        <f t="shared" ca="1" si="92"/>
        <v>291.02364913583546</v>
      </c>
      <c r="AF242" s="344"/>
      <c r="AG242" s="359">
        <f t="shared" ca="1" si="114"/>
        <v>-9.985428871738117</v>
      </c>
      <c r="AH242" s="357">
        <f t="shared" ca="1" si="115"/>
        <v>-1.5077640199604441</v>
      </c>
    </row>
    <row r="243" spans="1:34">
      <c r="A243" s="402">
        <f t="shared" ca="1" si="93"/>
        <v>0.1</v>
      </c>
      <c r="B243" s="357">
        <f t="shared" ca="1" si="94"/>
        <v>5.8999999999999959</v>
      </c>
      <c r="C243" s="342"/>
      <c r="D243" s="359">
        <f t="shared" ca="1" si="95"/>
        <v>-0.72373858374778188</v>
      </c>
      <c r="E243" s="360">
        <f t="shared" ca="1" si="96"/>
        <v>-10.995829663924512</v>
      </c>
      <c r="F243" s="357">
        <f t="shared" ca="1" si="97"/>
        <v>11.019621932518715</v>
      </c>
      <c r="G243" s="359">
        <f t="shared" ca="1" si="98"/>
        <v>12.34583228531708</v>
      </c>
      <c r="H243" s="360">
        <f t="shared" ca="1" si="99"/>
        <v>19.247373170260477</v>
      </c>
      <c r="I243" s="357">
        <f t="shared" ca="1" si="100"/>
        <v>22.866590230562153</v>
      </c>
      <c r="J243" s="359">
        <f t="shared" ca="1" si="101"/>
        <v>83.540096555499503</v>
      </c>
      <c r="K243" s="360">
        <f t="shared" ca="1" si="102"/>
        <v>293.00336560118114</v>
      </c>
      <c r="L243" s="357">
        <f t="shared" ca="1" si="87"/>
        <v>304.6800288599855</v>
      </c>
      <c r="M243" s="359">
        <f t="shared" ca="1" si="103"/>
        <v>1.0004697007592318</v>
      </c>
      <c r="N243" s="357">
        <f t="shared" ca="1" si="104"/>
        <v>57.322691384220398</v>
      </c>
      <c r="O243" s="343"/>
      <c r="P243" s="363">
        <f t="shared" ca="1" si="105"/>
        <v>23</v>
      </c>
      <c r="Q243" s="357">
        <f t="shared" ca="1" si="106"/>
        <v>0</v>
      </c>
      <c r="R243" s="359">
        <f t="shared" ca="1" si="107"/>
        <v>0</v>
      </c>
      <c r="S243" s="360">
        <f t="shared" ca="1" si="108"/>
        <v>0.42898953648292248</v>
      </c>
      <c r="T243" s="357">
        <f t="shared" ca="1" si="88"/>
        <v>4.2083873528974696</v>
      </c>
      <c r="U243" s="364">
        <f t="shared" ca="1" si="89"/>
        <v>0</v>
      </c>
      <c r="V243" s="359">
        <f t="shared" ca="1" si="90"/>
        <v>1.1896253325449235</v>
      </c>
      <c r="W243" s="357">
        <f t="shared" ca="1" si="91"/>
        <v>0.5483170718111835</v>
      </c>
      <c r="X243" s="343"/>
      <c r="Y243" s="367" t="str">
        <f t="shared" ca="1" si="109"/>
        <v/>
      </c>
      <c r="Z243" s="368" t="str">
        <f t="shared" ca="1" si="110"/>
        <v/>
      </c>
      <c r="AA243" s="369" t="str">
        <f t="shared" ca="1" si="111"/>
        <v/>
      </c>
      <c r="AB243" s="344"/>
      <c r="AC243" s="363" t="e">
        <f t="shared" ca="1" si="112"/>
        <v>#N/A</v>
      </c>
      <c r="AD243" s="376" t="e">
        <f t="shared" ca="1" si="113"/>
        <v>#N/A</v>
      </c>
      <c r="AE243" s="377">
        <f t="shared" ca="1" si="92"/>
        <v>293.00336560118114</v>
      </c>
      <c r="AF243" s="344"/>
      <c r="AG243" s="359">
        <f t="shared" ca="1" si="114"/>
        <v>-9.7628720573832606</v>
      </c>
      <c r="AH243" s="357">
        <f t="shared" ca="1" si="115"/>
        <v>-1.3892406305059488</v>
      </c>
    </row>
    <row r="244" spans="1:34">
      <c r="A244" s="402">
        <f t="shared" ca="1" si="93"/>
        <v>0.1</v>
      </c>
      <c r="B244" s="357">
        <f t="shared" ca="1" si="94"/>
        <v>5.9999999999999956</v>
      </c>
      <c r="C244" s="342"/>
      <c r="D244" s="359">
        <f t="shared" ca="1" si="95"/>
        <v>-0.69008729537586488</v>
      </c>
      <c r="E244" s="360">
        <f t="shared" ca="1" si="96"/>
        <v>-10.885858426325116</v>
      </c>
      <c r="F244" s="357">
        <f t="shared" ca="1" si="97"/>
        <v>10.907709849149487</v>
      </c>
      <c r="G244" s="359">
        <f t="shared" ca="1" si="98"/>
        <v>12.276823555779494</v>
      </c>
      <c r="H244" s="360">
        <f t="shared" ca="1" si="99"/>
        <v>18.158787327627966</v>
      </c>
      <c r="I244" s="357">
        <f t="shared" ca="1" si="100"/>
        <v>21.919442370410891</v>
      </c>
      <c r="J244" s="359">
        <f t="shared" ca="1" si="101"/>
        <v>84.771229347554325</v>
      </c>
      <c r="K244" s="360">
        <f t="shared" ca="1" si="102"/>
        <v>294.87367362607557</v>
      </c>
      <c r="L244" s="357">
        <f t="shared" ca="1" si="87"/>
        <v>306.81695638089008</v>
      </c>
      <c r="M244" s="359">
        <f t="shared" ca="1" si="103"/>
        <v>0.97630392503890295</v>
      </c>
      <c r="N244" s="357">
        <f t="shared" ca="1" si="104"/>
        <v>55.938094426785838</v>
      </c>
      <c r="O244" s="343"/>
      <c r="P244" s="363">
        <f t="shared" ca="1" si="105"/>
        <v>23</v>
      </c>
      <c r="Q244" s="357">
        <f t="shared" ca="1" si="106"/>
        <v>0</v>
      </c>
      <c r="R244" s="359">
        <f t="shared" ca="1" si="107"/>
        <v>0</v>
      </c>
      <c r="S244" s="360">
        <f t="shared" ca="1" si="108"/>
        <v>0.42898953648292248</v>
      </c>
      <c r="T244" s="357">
        <f t="shared" ca="1" si="88"/>
        <v>4.2083873528974696</v>
      </c>
      <c r="U244" s="364">
        <f t="shared" ca="1" si="89"/>
        <v>0</v>
      </c>
      <c r="V244" s="359">
        <f t="shared" ca="1" si="90"/>
        <v>1.1894028087091411</v>
      </c>
      <c r="W244" s="357">
        <f t="shared" ca="1" si="91"/>
        <v>0.50374031373976702</v>
      </c>
      <c r="X244" s="343"/>
      <c r="Y244" s="367" t="str">
        <f t="shared" ca="1" si="109"/>
        <v/>
      </c>
      <c r="Z244" s="368" t="str">
        <f t="shared" ca="1" si="110"/>
        <v/>
      </c>
      <c r="AA244" s="369" t="str">
        <f t="shared" ca="1" si="111"/>
        <v/>
      </c>
      <c r="AB244" s="344"/>
      <c r="AC244" s="363">
        <f t="shared" ca="1" si="112"/>
        <v>5.9999999999999956</v>
      </c>
      <c r="AD244" s="376">
        <f t="shared" ca="1" si="113"/>
        <v>84.771229347554325</v>
      </c>
      <c r="AE244" s="377">
        <f t="shared" ca="1" si="92"/>
        <v>294.87367362607557</v>
      </c>
      <c r="AF244" s="344"/>
      <c r="AG244" s="359">
        <f t="shared" ca="1" si="114"/>
        <v>-9.5354785834932976</v>
      </c>
      <c r="AH244" s="357">
        <f t="shared" ca="1" si="115"/>
        <v>-1.2781595474485687</v>
      </c>
    </row>
    <row r="245" spans="1:34">
      <c r="A245" s="402">
        <f t="shared" ca="1" si="93"/>
        <v>0.1</v>
      </c>
      <c r="B245" s="357">
        <f t="shared" ca="1" si="94"/>
        <v>6.0999999999999952</v>
      </c>
      <c r="C245" s="342"/>
      <c r="D245" s="359">
        <f t="shared" ca="1" si="95"/>
        <v>-0.65768285661995374</v>
      </c>
      <c r="E245" s="360">
        <f t="shared" ca="1" si="96"/>
        <v>-10.782786084945105</v>
      </c>
      <c r="F245" s="357">
        <f t="shared" ca="1" si="97"/>
        <v>10.802824746036453</v>
      </c>
      <c r="G245" s="359">
        <f t="shared" ca="1" si="98"/>
        <v>12.211055270117498</v>
      </c>
      <c r="H245" s="360">
        <f t="shared" ca="1" si="99"/>
        <v>17.080508719133455</v>
      </c>
      <c r="I245" s="357">
        <f t="shared" ca="1" si="100"/>
        <v>20.99651516119421</v>
      </c>
      <c r="J245" s="359">
        <f t="shared" ca="1" si="101"/>
        <v>85.995623288849174</v>
      </c>
      <c r="K245" s="360">
        <f t="shared" ca="1" si="102"/>
        <v>296.63563842841364</v>
      </c>
      <c r="L245" s="357">
        <f t="shared" ca="1" si="87"/>
        <v>308.84939567800711</v>
      </c>
      <c r="M245" s="359">
        <f t="shared" ca="1" si="103"/>
        <v>0.95013246935472673</v>
      </c>
      <c r="N245" s="357">
        <f t="shared" ca="1" si="104"/>
        <v>54.438580472368869</v>
      </c>
      <c r="O245" s="343"/>
      <c r="P245" s="363">
        <f t="shared" ca="1" si="105"/>
        <v>23</v>
      </c>
      <c r="Q245" s="357">
        <f t="shared" ca="1" si="106"/>
        <v>0</v>
      </c>
      <c r="R245" s="359">
        <f t="shared" ca="1" si="107"/>
        <v>0</v>
      </c>
      <c r="S245" s="360">
        <f t="shared" ca="1" si="108"/>
        <v>0.42898953648292248</v>
      </c>
      <c r="T245" s="357">
        <f t="shared" ca="1" si="88"/>
        <v>4.2083873528974696</v>
      </c>
      <c r="U245" s="364">
        <f t="shared" ca="1" si="89"/>
        <v>0</v>
      </c>
      <c r="V245" s="359">
        <f t="shared" ca="1" si="90"/>
        <v>1.189193212752284</v>
      </c>
      <c r="W245" s="357">
        <f t="shared" ca="1" si="91"/>
        <v>0.46213153730712719</v>
      </c>
      <c r="X245" s="343"/>
      <c r="Y245" s="367" t="str">
        <f t="shared" ca="1" si="109"/>
        <v/>
      </c>
      <c r="Z245" s="368" t="str">
        <f t="shared" ca="1" si="110"/>
        <v/>
      </c>
      <c r="AA245" s="369" t="str">
        <f t="shared" ca="1" si="111"/>
        <v/>
      </c>
      <c r="AB245" s="344"/>
      <c r="AC245" s="363" t="e">
        <f t="shared" ca="1" si="112"/>
        <v>#N/A</v>
      </c>
      <c r="AD245" s="376" t="e">
        <f t="shared" ca="1" si="113"/>
        <v>#N/A</v>
      </c>
      <c r="AE245" s="377">
        <f t="shared" ca="1" si="92"/>
        <v>296.63563842841364</v>
      </c>
      <c r="AF245" s="344"/>
      <c r="AG245" s="359">
        <f t="shared" ca="1" si="114"/>
        <v>-9.3011752879909952</v>
      </c>
      <c r="AH245" s="357">
        <f t="shared" ca="1" si="115"/>
        <v>-1.1742484860346245</v>
      </c>
    </row>
    <row r="246" spans="1:34">
      <c r="A246" s="402">
        <f t="shared" ca="1" si="93"/>
        <v>0.1</v>
      </c>
      <c r="B246" s="357">
        <f t="shared" ca="1" si="94"/>
        <v>6.1999999999999948</v>
      </c>
      <c r="C246" s="342"/>
      <c r="D246" s="359">
        <f t="shared" ca="1" si="95"/>
        <v>-0.62650549548909862</v>
      </c>
      <c r="E246" s="360">
        <f t="shared" ca="1" si="96"/>
        <v>-10.686339705420366</v>
      </c>
      <c r="F246" s="357">
        <f t="shared" ca="1" si="97"/>
        <v>10.704688946229211</v>
      </c>
      <c r="G246" s="359">
        <f t="shared" ca="1" si="98"/>
        <v>12.148404720568589</v>
      </c>
      <c r="H246" s="360">
        <f t="shared" ca="1" si="99"/>
        <v>16.011874748591417</v>
      </c>
      <c r="I246" s="357">
        <f t="shared" ca="1" si="100"/>
        <v>20.098852460260328</v>
      </c>
      <c r="J246" s="359">
        <f t="shared" ca="1" si="101"/>
        <v>87.213596288383485</v>
      </c>
      <c r="K246" s="360">
        <f t="shared" ca="1" si="102"/>
        <v>298.29025760179991</v>
      </c>
      <c r="L246" s="357">
        <f t="shared" ca="1" si="87"/>
        <v>310.77852106878504</v>
      </c>
      <c r="M246" s="359">
        <f t="shared" ca="1" si="103"/>
        <v>0.92174268703167805</v>
      </c>
      <c r="N246" s="357">
        <f t="shared" ca="1" si="104"/>
        <v>52.811965763963073</v>
      </c>
      <c r="O246" s="343"/>
      <c r="P246" s="363">
        <f t="shared" ca="1" si="105"/>
        <v>23</v>
      </c>
      <c r="Q246" s="357">
        <f t="shared" ca="1" si="106"/>
        <v>0</v>
      </c>
      <c r="R246" s="359">
        <f t="shared" ca="1" si="107"/>
        <v>0</v>
      </c>
      <c r="S246" s="360">
        <f t="shared" ca="1" si="108"/>
        <v>0.42898953648292248</v>
      </c>
      <c r="T246" s="357">
        <f t="shared" ca="1" si="88"/>
        <v>4.2083873528974696</v>
      </c>
      <c r="U246" s="364">
        <f t="shared" ca="1" si="89"/>
        <v>0</v>
      </c>
      <c r="V246" s="359">
        <f t="shared" ca="1" si="90"/>
        <v>1.1889964193116849</v>
      </c>
      <c r="W246" s="357">
        <f t="shared" ca="1" si="91"/>
        <v>0.42339118974408507</v>
      </c>
      <c r="X246" s="343"/>
      <c r="Y246" s="367" t="str">
        <f t="shared" ca="1" si="109"/>
        <v/>
      </c>
      <c r="Z246" s="368" t="str">
        <f t="shared" ca="1" si="110"/>
        <v/>
      </c>
      <c r="AA246" s="369" t="str">
        <f t="shared" ca="1" si="111"/>
        <v/>
      </c>
      <c r="AB246" s="344"/>
      <c r="AC246" s="363" t="e">
        <f t="shared" ca="1" si="112"/>
        <v>#N/A</v>
      </c>
      <c r="AD246" s="376" t="e">
        <f t="shared" ca="1" si="113"/>
        <v>#N/A</v>
      </c>
      <c r="AE246" s="377">
        <f t="shared" ca="1" si="92"/>
        <v>298.29025760179991</v>
      </c>
      <c r="AF246" s="344"/>
      <c r="AG246" s="359">
        <f t="shared" ca="1" si="114"/>
        <v>-9.057617908803854</v>
      </c>
      <c r="AH246" s="357">
        <f t="shared" ca="1" si="115"/>
        <v>-1.0772559654855918</v>
      </c>
    </row>
    <row r="247" spans="1:34">
      <c r="A247" s="402">
        <f t="shared" ca="1" si="93"/>
        <v>0.1</v>
      </c>
      <c r="B247" s="357">
        <f t="shared" ca="1" si="94"/>
        <v>6.2999999999999945</v>
      </c>
      <c r="C247" s="342"/>
      <c r="D247" s="359">
        <f t="shared" ca="1" si="95"/>
        <v>-0.59654485846930438</v>
      </c>
      <c r="E247" s="360">
        <f t="shared" ca="1" si="96"/>
        <v>-10.596259741540752</v>
      </c>
      <c r="F247" s="357">
        <f t="shared" ca="1" si="97"/>
        <v>10.613038503574904</v>
      </c>
      <c r="G247" s="359">
        <f t="shared" ca="1" si="98"/>
        <v>12.088750234721658</v>
      </c>
      <c r="H247" s="360">
        <f t="shared" ca="1" si="99"/>
        <v>14.952248774437342</v>
      </c>
      <c r="I247" s="357">
        <f t="shared" ca="1" si="100"/>
        <v>19.227782650377186</v>
      </c>
      <c r="J247" s="359">
        <f t="shared" ca="1" si="101"/>
        <v>88.425454036147997</v>
      </c>
      <c r="K247" s="360">
        <f t="shared" ca="1" si="102"/>
        <v>299.83846377795135</v>
      </c>
      <c r="L247" s="357">
        <f t="shared" ca="1" si="87"/>
        <v>312.6054466611559</v>
      </c>
      <c r="M247" s="359">
        <f t="shared" ca="1" si="103"/>
        <v>0.89089968434168887</v>
      </c>
      <c r="N247" s="357">
        <f t="shared" ca="1" si="104"/>
        <v>51.044791882316048</v>
      </c>
      <c r="O247" s="343"/>
      <c r="P247" s="363">
        <f t="shared" ca="1" si="105"/>
        <v>23</v>
      </c>
      <c r="Q247" s="357">
        <f t="shared" ca="1" si="106"/>
        <v>0</v>
      </c>
      <c r="R247" s="359">
        <f t="shared" ca="1" si="107"/>
        <v>0</v>
      </c>
      <c r="S247" s="360">
        <f t="shared" ca="1" si="108"/>
        <v>0.42898953648292248</v>
      </c>
      <c r="T247" s="357">
        <f t="shared" ca="1" si="88"/>
        <v>4.2083873528974696</v>
      </c>
      <c r="U247" s="364">
        <f t="shared" ca="1" si="89"/>
        <v>0</v>
      </c>
      <c r="V247" s="359">
        <f t="shared" ca="1" si="90"/>
        <v>1.1888123112375117</v>
      </c>
      <c r="W247" s="357">
        <f t="shared" ca="1" si="91"/>
        <v>0.38742750344153365</v>
      </c>
      <c r="X247" s="343"/>
      <c r="Y247" s="367" t="str">
        <f t="shared" ca="1" si="109"/>
        <v/>
      </c>
      <c r="Z247" s="368" t="str">
        <f t="shared" ca="1" si="110"/>
        <v/>
      </c>
      <c r="AA247" s="369" t="str">
        <f t="shared" ca="1" si="111"/>
        <v/>
      </c>
      <c r="AB247" s="344"/>
      <c r="AC247" s="363" t="e">
        <f t="shared" ca="1" si="112"/>
        <v>#N/A</v>
      </c>
      <c r="AD247" s="376" t="e">
        <f t="shared" ca="1" si="113"/>
        <v>#N/A</v>
      </c>
      <c r="AE247" s="377">
        <f t="shared" ca="1" si="92"/>
        <v>299.83846377795135</v>
      </c>
      <c r="AF247" s="344"/>
      <c r="AG247" s="359">
        <f t="shared" ca="1" si="114"/>
        <v>-8.802146914086066</v>
      </c>
      <c r="AH247" s="357">
        <f t="shared" ca="1" si="115"/>
        <v>-0.98694992240431889</v>
      </c>
    </row>
    <row r="248" spans="1:34">
      <c r="A248" s="402">
        <f t="shared" ca="1" si="93"/>
        <v>0.1</v>
      </c>
      <c r="B248" s="357">
        <f t="shared" ca="1" si="94"/>
        <v>6.3999999999999941</v>
      </c>
      <c r="C248" s="342"/>
      <c r="D248" s="359">
        <f t="shared" ca="1" si="95"/>
        <v>-0.56780073331346026</v>
      </c>
      <c r="E248" s="360">
        <f t="shared" ca="1" si="96"/>
        <v>-10.512297396667678</v>
      </c>
      <c r="F248" s="357">
        <f t="shared" ca="1" si="97"/>
        <v>10.527620539739138</v>
      </c>
      <c r="G248" s="359">
        <f t="shared" ca="1" si="98"/>
        <v>12.031970161390312</v>
      </c>
      <c r="H248" s="360">
        <f t="shared" ca="1" si="99"/>
        <v>13.901019034770574</v>
      </c>
      <c r="I248" s="357">
        <f t="shared" ca="1" si="100"/>
        <v>18.384956789985683</v>
      </c>
      <c r="J248" s="359">
        <f t="shared" ca="1" si="101"/>
        <v>89.631490055953591</v>
      </c>
      <c r="K248" s="360">
        <f t="shared" ca="1" si="102"/>
        <v>301.28112716841173</v>
      </c>
      <c r="L248" s="357">
        <f t="shared" ca="1" si="87"/>
        <v>314.33122911591079</v>
      </c>
      <c r="M248" s="359">
        <f t="shared" ca="1" si="103"/>
        <v>0.85734600969261332</v>
      </c>
      <c r="N248" s="357">
        <f t="shared" ca="1" si="104"/>
        <v>49.122307937768916</v>
      </c>
      <c r="O248" s="343"/>
      <c r="P248" s="363">
        <f t="shared" ca="1" si="105"/>
        <v>23</v>
      </c>
      <c r="Q248" s="357">
        <f t="shared" ca="1" si="106"/>
        <v>0</v>
      </c>
      <c r="R248" s="359">
        <f t="shared" ca="1" si="107"/>
        <v>0</v>
      </c>
      <c r="S248" s="360">
        <f t="shared" ca="1" si="108"/>
        <v>0.42898953648292248</v>
      </c>
      <c r="T248" s="357">
        <f t="shared" ca="1" si="88"/>
        <v>4.2083873528974696</v>
      </c>
      <c r="U248" s="364">
        <f t="shared" ca="1" si="89"/>
        <v>0</v>
      </c>
      <c r="V248" s="359">
        <f t="shared" ca="1" si="90"/>
        <v>1.1886407792720637</v>
      </c>
      <c r="W248" s="357">
        <f t="shared" ca="1" si="91"/>
        <v>0.35415599541327147</v>
      </c>
      <c r="X248" s="343"/>
      <c r="Y248" s="367" t="str">
        <f t="shared" ca="1" si="109"/>
        <v/>
      </c>
      <c r="Z248" s="368" t="str">
        <f t="shared" ca="1" si="110"/>
        <v/>
      </c>
      <c r="AA248" s="369" t="str">
        <f t="shared" ca="1" si="111"/>
        <v/>
      </c>
      <c r="AB248" s="344"/>
      <c r="AC248" s="363" t="e">
        <f t="shared" ca="1" si="112"/>
        <v>#N/A</v>
      </c>
      <c r="AD248" s="376" t="e">
        <f t="shared" ca="1" si="113"/>
        <v>#N/A</v>
      </c>
      <c r="AE248" s="377">
        <f t="shared" ca="1" si="92"/>
        <v>301.28112716841173</v>
      </c>
      <c r="AF248" s="344"/>
      <c r="AG248" s="359">
        <f t="shared" ca="1" si="114"/>
        <v>-8.5317423281121467</v>
      </c>
      <c r="AH248" s="357">
        <f t="shared" ca="1" si="115"/>
        <v>-0.90311644106255873</v>
      </c>
    </row>
    <row r="249" spans="1:34">
      <c r="A249" s="402">
        <f t="shared" ca="1" si="93"/>
        <v>0.1</v>
      </c>
      <c r="B249" s="357">
        <f t="shared" ca="1" si="94"/>
        <v>6.4999999999999938</v>
      </c>
      <c r="C249" s="342"/>
      <c r="D249" s="359">
        <f t="shared" ca="1" si="95"/>
        <v>-0.54028390679125593</v>
      </c>
      <c r="E249" s="360">
        <f t="shared" ca="1" si="96"/>
        <v>-10.434211726902888</v>
      </c>
      <c r="F249" s="357">
        <f t="shared" ca="1" si="97"/>
        <v>10.448190324729703</v>
      </c>
      <c r="G249" s="359">
        <f t="shared" ca="1" si="98"/>
        <v>11.977941770711187</v>
      </c>
      <c r="H249" s="360">
        <f t="shared" ca="1" si="99"/>
        <v>12.857597862080285</v>
      </c>
      <c r="I249" s="357">
        <f t="shared" ca="1" si="100"/>
        <v>17.572390612706041</v>
      </c>
      <c r="J249" s="359">
        <f t="shared" ca="1" si="101"/>
        <v>90.831985652558672</v>
      </c>
      <c r="K249" s="360">
        <f t="shared" ca="1" si="102"/>
        <v>302.61905801325429</v>
      </c>
      <c r="L249" s="357">
        <f t="shared" ca="1" si="87"/>
        <v>315.95687030102067</v>
      </c>
      <c r="M249" s="359">
        <f t="shared" ca="1" si="103"/>
        <v>0.82080260926046167</v>
      </c>
      <c r="N249" s="357">
        <f t="shared" ca="1" si="104"/>
        <v>47.028525323950078</v>
      </c>
      <c r="O249" s="343"/>
      <c r="P249" s="363">
        <f t="shared" ca="1" si="105"/>
        <v>23</v>
      </c>
      <c r="Q249" s="357">
        <f t="shared" ca="1" si="106"/>
        <v>0</v>
      </c>
      <c r="R249" s="359">
        <f t="shared" ca="1" si="107"/>
        <v>0</v>
      </c>
      <c r="S249" s="360">
        <f t="shared" ca="1" si="108"/>
        <v>0.42898953648292248</v>
      </c>
      <c r="T249" s="357">
        <f t="shared" ca="1" si="88"/>
        <v>4.2083873528974696</v>
      </c>
      <c r="U249" s="364">
        <f t="shared" ca="1" si="89"/>
        <v>0</v>
      </c>
      <c r="V249" s="359">
        <f t="shared" ca="1" si="90"/>
        <v>1.1884817217417161</v>
      </c>
      <c r="W249" s="357">
        <f t="shared" ca="1" si="91"/>
        <v>0.32349900520403996</v>
      </c>
      <c r="X249" s="343"/>
      <c r="Y249" s="367" t="str">
        <f t="shared" ca="1" si="109"/>
        <v/>
      </c>
      <c r="Z249" s="368" t="str">
        <f t="shared" ca="1" si="110"/>
        <v/>
      </c>
      <c r="AA249" s="369" t="str">
        <f t="shared" ca="1" si="111"/>
        <v/>
      </c>
      <c r="AB249" s="344"/>
      <c r="AC249" s="363" t="e">
        <f t="shared" ca="1" si="112"/>
        <v>#N/A</v>
      </c>
      <c r="AD249" s="376" t="e">
        <f t="shared" ca="1" si="113"/>
        <v>#N/A</v>
      </c>
      <c r="AE249" s="377">
        <f t="shared" ca="1" si="92"/>
        <v>302.61905801325429</v>
      </c>
      <c r="AF249" s="344"/>
      <c r="AG249" s="359">
        <f t="shared" ca="1" si="114"/>
        <v>-8.2429813354928854</v>
      </c>
      <c r="AH249" s="357">
        <f t="shared" ca="1" si="115"/>
        <v>-0.82555858661920989</v>
      </c>
    </row>
    <row r="250" spans="1:34">
      <c r="A250" s="402">
        <f t="shared" ca="1" si="93"/>
        <v>0.1</v>
      </c>
      <c r="B250" s="357">
        <f t="shared" ca="1" si="94"/>
        <v>6.5999999999999934</v>
      </c>
      <c r="C250" s="342"/>
      <c r="D250" s="359">
        <f t="shared" ca="1" si="95"/>
        <v>-0.51401713784454617</v>
      </c>
      <c r="E250" s="360">
        <f t="shared" ca="1" si="96"/>
        <v>-10.361766386841456</v>
      </c>
      <c r="F250" s="357">
        <f t="shared" ca="1" si="97"/>
        <v>10.37450800151387</v>
      </c>
      <c r="G250" s="359">
        <f t="shared" ca="1" si="98"/>
        <v>11.926540056926733</v>
      </c>
      <c r="H250" s="360">
        <f t="shared" ca="1" si="99"/>
        <v>11.82142122339614</v>
      </c>
      <c r="I250" s="357">
        <f t="shared" ca="1" si="100"/>
        <v>16.792508968895582</v>
      </c>
      <c r="J250" s="359">
        <f t="shared" ca="1" si="101"/>
        <v>92.027209743940574</v>
      </c>
      <c r="K250" s="360">
        <f t="shared" ca="1" si="102"/>
        <v>303.85300896752813</v>
      </c>
      <c r="L250" s="357">
        <f t="shared" ca="1" si="87"/>
        <v>317.48331986401422</v>
      </c>
      <c r="M250" s="359">
        <f t="shared" ca="1" si="103"/>
        <v>0.78097175618905934</v>
      </c>
      <c r="N250" s="357">
        <f t="shared" ca="1" si="104"/>
        <v>44.746385548553029</v>
      </c>
      <c r="O250" s="343"/>
      <c r="P250" s="363">
        <f t="shared" ca="1" si="105"/>
        <v>23</v>
      </c>
      <c r="Q250" s="357">
        <f t="shared" ca="1" si="106"/>
        <v>0</v>
      </c>
      <c r="R250" s="359">
        <f t="shared" ca="1" si="107"/>
        <v>0</v>
      </c>
      <c r="S250" s="360">
        <f t="shared" ca="1" si="108"/>
        <v>0.42898953648292248</v>
      </c>
      <c r="T250" s="357">
        <f t="shared" ca="1" si="88"/>
        <v>4.2083873528974696</v>
      </c>
      <c r="U250" s="364">
        <f t="shared" ca="1" si="89"/>
        <v>0</v>
      </c>
      <c r="V250" s="359">
        <f t="shared" ca="1" si="90"/>
        <v>1.1883350442577747</v>
      </c>
      <c r="W250" s="357">
        <f t="shared" ca="1" si="91"/>
        <v>0.29538526567295798</v>
      </c>
      <c r="X250" s="343"/>
      <c r="Y250" s="367" t="str">
        <f t="shared" ca="1" si="109"/>
        <v/>
      </c>
      <c r="Z250" s="368" t="str">
        <f t="shared" ca="1" si="110"/>
        <v/>
      </c>
      <c r="AA250" s="369" t="str">
        <f t="shared" ca="1" si="111"/>
        <v/>
      </c>
      <c r="AB250" s="344"/>
      <c r="AC250" s="363" t="e">
        <f t="shared" ca="1" si="112"/>
        <v>#N/A</v>
      </c>
      <c r="AD250" s="376" t="e">
        <f t="shared" ca="1" si="113"/>
        <v>#N/A</v>
      </c>
      <c r="AE250" s="377">
        <f t="shared" ca="1" si="92"/>
        <v>303.85300896752813</v>
      </c>
      <c r="AF250" s="344"/>
      <c r="AG250" s="359">
        <f t="shared" ca="1" si="114"/>
        <v>-7.9320051415368207</v>
      </c>
      <c r="AH250" s="357">
        <f t="shared" ca="1" si="115"/>
        <v>-0.75409532795660161</v>
      </c>
    </row>
    <row r="251" spans="1:34">
      <c r="A251" s="402">
        <f t="shared" ca="1" si="93"/>
        <v>0.1</v>
      </c>
      <c r="B251" s="357">
        <f t="shared" ca="1" si="94"/>
        <v>6.6999999999999931</v>
      </c>
      <c r="C251" s="342"/>
      <c r="D251" s="359">
        <f t="shared" ca="1" si="95"/>
        <v>-0.48903620317636065</v>
      </c>
      <c r="E251" s="360">
        <f t="shared" ca="1" si="96"/>
        <v>-10.294725907400155</v>
      </c>
      <c r="F251" s="357">
        <f t="shared" ca="1" si="97"/>
        <v>10.306334843993431</v>
      </c>
      <c r="G251" s="359">
        <f t="shared" ca="1" si="98"/>
        <v>11.877636436609096</v>
      </c>
      <c r="H251" s="360">
        <f t="shared" ca="1" si="99"/>
        <v>10.791948632656124</v>
      </c>
      <c r="I251" s="357">
        <f t="shared" ca="1" si="100"/>
        <v>16.04819001040779</v>
      </c>
      <c r="J251" s="359">
        <f t="shared" ca="1" si="101"/>
        <v>93.217418568617362</v>
      </c>
      <c r="K251" s="360">
        <f t="shared" ca="1" si="102"/>
        <v>304.98367746033074</v>
      </c>
      <c r="L251" s="357">
        <f t="shared" ca="1" si="87"/>
        <v>318.91147775177967</v>
      </c>
      <c r="M251" s="359">
        <f t="shared" ca="1" si="103"/>
        <v>0.73754290328505212</v>
      </c>
      <c r="N251" s="357">
        <f t="shared" ca="1" si="104"/>
        <v>42.258095568058948</v>
      </c>
      <c r="O251" s="343"/>
      <c r="P251" s="363">
        <f t="shared" ca="1" si="105"/>
        <v>23</v>
      </c>
      <c r="Q251" s="357">
        <f t="shared" ca="1" si="106"/>
        <v>0</v>
      </c>
      <c r="R251" s="359">
        <f t="shared" ca="1" si="107"/>
        <v>0</v>
      </c>
      <c r="S251" s="360">
        <f t="shared" ca="1" si="108"/>
        <v>0.42898953648292248</v>
      </c>
      <c r="T251" s="357">
        <f t="shared" ca="1" si="88"/>
        <v>4.2083873528974696</v>
      </c>
      <c r="U251" s="364">
        <f t="shared" ca="1" si="89"/>
        <v>0</v>
      </c>
      <c r="V251" s="359">
        <f t="shared" ca="1" si="90"/>
        <v>1.1882006594219894</v>
      </c>
      <c r="W251" s="357">
        <f t="shared" ca="1" si="91"/>
        <v>0.26974950108850682</v>
      </c>
      <c r="X251" s="343"/>
      <c r="Y251" s="367" t="str">
        <f t="shared" ca="1" si="109"/>
        <v/>
      </c>
      <c r="Z251" s="368" t="str">
        <f t="shared" ca="1" si="110"/>
        <v/>
      </c>
      <c r="AA251" s="369" t="str">
        <f t="shared" ca="1" si="111"/>
        <v/>
      </c>
      <c r="AB251" s="344"/>
      <c r="AC251" s="363" t="e">
        <f t="shared" ca="1" si="112"/>
        <v>#N/A</v>
      </c>
      <c r="AD251" s="376" t="e">
        <f t="shared" ca="1" si="113"/>
        <v>#N/A</v>
      </c>
      <c r="AE251" s="377">
        <f t="shared" ca="1" si="92"/>
        <v>304.98367746033074</v>
      </c>
      <c r="AF251" s="344"/>
      <c r="AG251" s="359">
        <f t="shared" ca="1" si="114"/>
        <v>-7.594505468687208</v>
      </c>
      <c r="AH251" s="357">
        <f t="shared" ca="1" si="115"/>
        <v>-0.68856053715127585</v>
      </c>
    </row>
    <row r="252" spans="1:34">
      <c r="A252" s="402">
        <f t="shared" ca="1" si="93"/>
        <v>0.1</v>
      </c>
      <c r="B252" s="357">
        <f t="shared" ca="1" si="94"/>
        <v>6.7999999999999927</v>
      </c>
      <c r="C252" s="342"/>
      <c r="D252" s="359">
        <f t="shared" ca="1" si="95"/>
        <v>-0.46539093608978965</v>
      </c>
      <c r="E252" s="360">
        <f t="shared" ca="1" si="96"/>
        <v>-10.232851389936853</v>
      </c>
      <c r="F252" s="357">
        <f t="shared" ca="1" si="97"/>
        <v>10.243428932341315</v>
      </c>
      <c r="G252" s="359">
        <f t="shared" ca="1" si="98"/>
        <v>11.831097343000117</v>
      </c>
      <c r="H252" s="360">
        <f t="shared" ca="1" si="99"/>
        <v>9.768663493662439</v>
      </c>
      <c r="I252" s="357">
        <f t="shared" ca="1" si="100"/>
        <v>15.342804528245731</v>
      </c>
      <c r="J252" s="359">
        <f t="shared" ca="1" si="101"/>
        <v>94.402855257597821</v>
      </c>
      <c r="K252" s="360">
        <f t="shared" ca="1" si="102"/>
        <v>306.01170806664669</v>
      </c>
      <c r="L252" s="357">
        <f t="shared" ca="1" si="87"/>
        <v>320.2421967115726</v>
      </c>
      <c r="M252" s="359">
        <f t="shared" ca="1" si="103"/>
        <v>0.69020266347285619</v>
      </c>
      <c r="N252" s="357">
        <f t="shared" ca="1" si="104"/>
        <v>39.545699625682929</v>
      </c>
      <c r="O252" s="343"/>
      <c r="P252" s="363">
        <f t="shared" ca="1" si="105"/>
        <v>23</v>
      </c>
      <c r="Q252" s="357">
        <f t="shared" ca="1" si="106"/>
        <v>0</v>
      </c>
      <c r="R252" s="359">
        <f t="shared" ca="1" si="107"/>
        <v>0</v>
      </c>
      <c r="S252" s="360">
        <f t="shared" ca="1" si="108"/>
        <v>0.42898953648292248</v>
      </c>
      <c r="T252" s="357">
        <f t="shared" ca="1" si="88"/>
        <v>4.2083873528974696</v>
      </c>
      <c r="U252" s="364">
        <f t="shared" ca="1" si="89"/>
        <v>0</v>
      </c>
      <c r="V252" s="359">
        <f t="shared" ca="1" si="90"/>
        <v>1.1880784865318752</v>
      </c>
      <c r="W252" s="357">
        <f t="shared" ca="1" si="91"/>
        <v>0.24653204684165012</v>
      </c>
      <c r="X252" s="343"/>
      <c r="Y252" s="367" t="str">
        <f t="shared" ca="1" si="109"/>
        <v/>
      </c>
      <c r="Z252" s="368" t="str">
        <f t="shared" ca="1" si="110"/>
        <v/>
      </c>
      <c r="AA252" s="369" t="str">
        <f t="shared" ca="1" si="111"/>
        <v/>
      </c>
      <c r="AB252" s="344"/>
      <c r="AC252" s="363" t="e">
        <f t="shared" ca="1" si="112"/>
        <v>#N/A</v>
      </c>
      <c r="AD252" s="376" t="e">
        <f t="shared" ca="1" si="113"/>
        <v>#N/A</v>
      </c>
      <c r="AE252" s="377">
        <f t="shared" ca="1" si="92"/>
        <v>306.01170806664669</v>
      </c>
      <c r="AF252" s="344"/>
      <c r="AG252" s="359">
        <f t="shared" ca="1" si="114"/>
        <v>-7.2257463820135479</v>
      </c>
      <c r="AH252" s="357">
        <f t="shared" ca="1" si="115"/>
        <v>-0.62880205260960997</v>
      </c>
    </row>
    <row r="253" spans="1:34">
      <c r="A253" s="402">
        <f t="shared" ca="1" si="93"/>
        <v>0.1</v>
      </c>
      <c r="B253" s="357">
        <f t="shared" ca="1" si="94"/>
        <v>6.8999999999999924</v>
      </c>
      <c r="C253" s="342"/>
      <c r="D253" s="359">
        <f t="shared" ca="1" si="95"/>
        <v>-0.44314612663191694</v>
      </c>
      <c r="E253" s="360">
        <f t="shared" ca="1" si="96"/>
        <v>-10.175895509443032</v>
      </c>
      <c r="F253" s="357">
        <f t="shared" ca="1" si="97"/>
        <v>10.185540138286813</v>
      </c>
      <c r="G253" s="359">
        <f t="shared" ca="1" si="98"/>
        <v>11.786782730336926</v>
      </c>
      <c r="H253" s="360">
        <f t="shared" ca="1" si="99"/>
        <v>8.7510739427181363</v>
      </c>
      <c r="I253" s="357">
        <f t="shared" ca="1" si="100"/>
        <v>14.680243263757218</v>
      </c>
      <c r="J253" s="359">
        <f t="shared" ca="1" si="101"/>
        <v>95.583749261264671</v>
      </c>
      <c r="K253" s="360">
        <f t="shared" ca="1" si="102"/>
        <v>306.93769493846571</v>
      </c>
      <c r="L253" s="357">
        <f t="shared" ca="1" si="87"/>
        <v>321.47628481270425</v>
      </c>
      <c r="M253" s="359">
        <f t="shared" ca="1" si="103"/>
        <v>0.63865031974199982</v>
      </c>
      <c r="N253" s="357">
        <f t="shared" ca="1" si="104"/>
        <v>36.59196790589715</v>
      </c>
      <c r="O253" s="343"/>
      <c r="P253" s="363">
        <f t="shared" ca="1" si="105"/>
        <v>23</v>
      </c>
      <c r="Q253" s="357">
        <f t="shared" ca="1" si="106"/>
        <v>0</v>
      </c>
      <c r="R253" s="359">
        <f t="shared" ca="1" si="107"/>
        <v>0</v>
      </c>
      <c r="S253" s="360">
        <f t="shared" ca="1" si="108"/>
        <v>0.42898953648292248</v>
      </c>
      <c r="T253" s="357">
        <f t="shared" ca="1" si="88"/>
        <v>4.2083873528974696</v>
      </c>
      <c r="U253" s="364">
        <f t="shared" ca="1" si="89"/>
        <v>0</v>
      </c>
      <c r="V253" s="359">
        <f t="shared" ca="1" si="90"/>
        <v>1.1879684512802404</v>
      </c>
      <c r="W253" s="357">
        <f t="shared" ca="1" si="91"/>
        <v>0.22567848482604355</v>
      </c>
      <c r="X253" s="343"/>
      <c r="Y253" s="367" t="str">
        <f t="shared" ca="1" si="109"/>
        <v/>
      </c>
      <c r="Z253" s="368" t="str">
        <f t="shared" ca="1" si="110"/>
        <v/>
      </c>
      <c r="AA253" s="369" t="str">
        <f t="shared" ca="1" si="111"/>
        <v/>
      </c>
      <c r="AB253" s="344"/>
      <c r="AC253" s="363" t="e">
        <f t="shared" ca="1" si="112"/>
        <v>#N/A</v>
      </c>
      <c r="AD253" s="376" t="e">
        <f t="shared" ca="1" si="113"/>
        <v>#N/A</v>
      </c>
      <c r="AE253" s="377">
        <f t="shared" ca="1" si="92"/>
        <v>306.93769493846571</v>
      </c>
      <c r="AF253" s="344"/>
      <c r="AG253" s="359">
        <f t="shared" ca="1" si="114"/>
        <v>-6.820643758259533</v>
      </c>
      <c r="AH253" s="357">
        <f t="shared" ca="1" si="115"/>
        <v>-0.57468079259659111</v>
      </c>
    </row>
    <row r="254" spans="1:34">
      <c r="A254" s="402">
        <f t="shared" ca="1" si="93"/>
        <v>0.1</v>
      </c>
      <c r="B254" s="357">
        <f t="shared" ca="1" si="94"/>
        <v>6.999999999999992</v>
      </c>
      <c r="C254" s="342"/>
      <c r="D254" s="359">
        <f t="shared" ca="1" si="95"/>
        <v>-0.42238207931318617</v>
      </c>
      <c r="E254" s="360">
        <f t="shared" ca="1" si="96"/>
        <v>-10.123596754323398</v>
      </c>
      <c r="F254" s="357">
        <f t="shared" ca="1" si="97"/>
        <v>10.132404347689258</v>
      </c>
      <c r="G254" s="359">
        <f t="shared" ca="1" si="98"/>
        <v>11.744544522405606</v>
      </c>
      <c r="H254" s="360">
        <f t="shared" ca="1" si="99"/>
        <v>7.7387142672857969</v>
      </c>
      <c r="I254" s="357">
        <f t="shared" ca="1" si="100"/>
        <v>14.064921775447608</v>
      </c>
      <c r="J254" s="359">
        <f t="shared" ca="1" si="101"/>
        <v>96.760315623901803</v>
      </c>
      <c r="K254" s="360">
        <f t="shared" ca="1" si="102"/>
        <v>307.76218434896589</v>
      </c>
      <c r="L254" s="357">
        <f t="shared" ca="1" si="87"/>
        <v>322.61450803533921</v>
      </c>
      <c r="M254" s="359">
        <f t="shared" ca="1" si="103"/>
        <v>0.58262027480243361</v>
      </c>
      <c r="N254" s="357">
        <f t="shared" ca="1" si="104"/>
        <v>33.381682804931671</v>
      </c>
      <c r="O254" s="343"/>
      <c r="P254" s="363">
        <f t="shared" ca="1" si="105"/>
        <v>23</v>
      </c>
      <c r="Q254" s="357">
        <f t="shared" ca="1" si="106"/>
        <v>0</v>
      </c>
      <c r="R254" s="359">
        <f t="shared" ca="1" si="107"/>
        <v>0</v>
      </c>
      <c r="S254" s="360">
        <f t="shared" ca="1" si="108"/>
        <v>0.42898953648292248</v>
      </c>
      <c r="T254" s="357">
        <f t="shared" ca="1" si="88"/>
        <v>4.2083873528974696</v>
      </c>
      <c r="U254" s="364">
        <f t="shared" ca="1" si="89"/>
        <v>0</v>
      </c>
      <c r="V254" s="359">
        <f t="shared" ca="1" si="90"/>
        <v>1.1878704854424542</v>
      </c>
      <c r="W254" s="357">
        <f t="shared" ca="1" si="91"/>
        <v>0.20713928817268185</v>
      </c>
      <c r="X254" s="343"/>
      <c r="Y254" s="367" t="str">
        <f t="shared" ca="1" si="109"/>
        <v/>
      </c>
      <c r="Z254" s="368" t="str">
        <f t="shared" ca="1" si="110"/>
        <v/>
      </c>
      <c r="AA254" s="369" t="str">
        <f t="shared" ca="1" si="111"/>
        <v/>
      </c>
      <c r="AB254" s="344"/>
      <c r="AC254" s="363">
        <f t="shared" ca="1" si="112"/>
        <v>6.999999999999992</v>
      </c>
      <c r="AD254" s="376">
        <f t="shared" ca="1" si="113"/>
        <v>96.760315623901803</v>
      </c>
      <c r="AE254" s="377">
        <f t="shared" ca="1" si="92"/>
        <v>307.76218434896589</v>
      </c>
      <c r="AF254" s="344"/>
      <c r="AG254" s="359">
        <f t="shared" ca="1" si="114"/>
        <v>-6.3739318129970552</v>
      </c>
      <c r="AH254" s="357">
        <f t="shared" ca="1" si="115"/>
        <v>-0.52606990528550457</v>
      </c>
    </row>
    <row r="255" spans="1:34">
      <c r="A255" s="402">
        <f t="shared" ca="1" si="93"/>
        <v>0.1</v>
      </c>
      <c r="B255" s="357">
        <f t="shared" ca="1" si="94"/>
        <v>7.0999999999999917</v>
      </c>
      <c r="C255" s="342"/>
      <c r="D255" s="359">
        <f t="shared" ca="1" si="95"/>
        <v>-0.40319453558939078</v>
      </c>
      <c r="E255" s="360">
        <f t="shared" ca="1" si="96"/>
        <v>-10.07567290873688</v>
      </c>
      <c r="F255" s="357">
        <f t="shared" ca="1" si="97"/>
        <v>10.083736926228463</v>
      </c>
      <c r="G255" s="359">
        <f t="shared" ca="1" si="98"/>
        <v>11.704225068846666</v>
      </c>
      <c r="H255" s="360">
        <f t="shared" ca="1" si="99"/>
        <v>6.7311469764121092</v>
      </c>
      <c r="I255" s="357">
        <f t="shared" ca="1" si="100"/>
        <v>13.501748926723552</v>
      </c>
      <c r="J255" s="359">
        <f t="shared" ca="1" si="101"/>
        <v>97.932754103464418</v>
      </c>
      <c r="K255" s="360">
        <f t="shared" ca="1" si="102"/>
        <v>308.48567741115079</v>
      </c>
      <c r="L255" s="357">
        <f t="shared" ca="1" si="87"/>
        <v>323.65759298077069</v>
      </c>
      <c r="M255" s="359">
        <f t="shared" ca="1" si="103"/>
        <v>0.52191245576239298</v>
      </c>
      <c r="N255" s="357">
        <f t="shared" ca="1" si="104"/>
        <v>29.9033809904934</v>
      </c>
      <c r="O255" s="343"/>
      <c r="P255" s="363">
        <f t="shared" ca="1" si="105"/>
        <v>23</v>
      </c>
      <c r="Q255" s="357">
        <f t="shared" ca="1" si="106"/>
        <v>0</v>
      </c>
      <c r="R255" s="359">
        <f t="shared" ca="1" si="107"/>
        <v>0</v>
      </c>
      <c r="S255" s="360">
        <f t="shared" ca="1" si="108"/>
        <v>0.42898953648292248</v>
      </c>
      <c r="T255" s="357">
        <f t="shared" ca="1" si="88"/>
        <v>4.2083873528974696</v>
      </c>
      <c r="U255" s="364">
        <f t="shared" ca="1" si="89"/>
        <v>0</v>
      </c>
      <c r="V255" s="359">
        <f t="shared" ca="1" si="90"/>
        <v>1.1877845265440952</v>
      </c>
      <c r="W255" s="357">
        <f t="shared" ca="1" si="91"/>
        <v>0.1908694686143122</v>
      </c>
      <c r="X255" s="343"/>
      <c r="Y255" s="367" t="str">
        <f t="shared" ca="1" si="109"/>
        <v/>
      </c>
      <c r="Z255" s="368" t="str">
        <f t="shared" ca="1" si="110"/>
        <v/>
      </c>
      <c r="AA255" s="369" t="str">
        <f t="shared" ca="1" si="111"/>
        <v/>
      </c>
      <c r="AB255" s="344"/>
      <c r="AC255" s="363" t="e">
        <f t="shared" ca="1" si="112"/>
        <v>#N/A</v>
      </c>
      <c r="AD255" s="376" t="e">
        <f t="shared" ca="1" si="113"/>
        <v>#N/A</v>
      </c>
      <c r="AE255" s="377">
        <f t="shared" ca="1" si="92"/>
        <v>308.48567741115079</v>
      </c>
      <c r="AF255" s="344"/>
      <c r="AG255" s="359">
        <f t="shared" ca="1" si="114"/>
        <v>-5.8804514654426638</v>
      </c>
      <c r="AH255" s="357">
        <f t="shared" ca="1" si="115"/>
        <v>-0.48285394061336923</v>
      </c>
    </row>
    <row r="256" spans="1:34">
      <c r="A256" s="402">
        <f t="shared" ca="1" si="93"/>
        <v>0.1</v>
      </c>
      <c r="B256" s="357">
        <f t="shared" ca="1" si="94"/>
        <v>7.1999999999999913</v>
      </c>
      <c r="C256" s="342"/>
      <c r="D256" s="359">
        <f t="shared" ca="1" si="95"/>
        <v>-0.38569357277577132</v>
      </c>
      <c r="E256" s="360">
        <f t="shared" ca="1" si="96"/>
        <v>-10.031813927102398</v>
      </c>
      <c r="F256" s="357">
        <f t="shared" ca="1" si="97"/>
        <v>10.039225577706986</v>
      </c>
      <c r="G256" s="359">
        <f t="shared" ca="1" si="98"/>
        <v>11.665655711569089</v>
      </c>
      <c r="H256" s="360">
        <f t="shared" ca="1" si="99"/>
        <v>5.7279655837018693</v>
      </c>
      <c r="I256" s="357">
        <f t="shared" ca="1" si="100"/>
        <v>12.996042201721938</v>
      </c>
      <c r="J256" s="359">
        <f t="shared" ca="1" si="101"/>
        <v>99.101248142485204</v>
      </c>
      <c r="K256" s="360">
        <f t="shared" ca="1" si="102"/>
        <v>309.10863303915647</v>
      </c>
      <c r="L256" s="357">
        <f t="shared" ca="1" si="87"/>
        <v>324.60622976574916</v>
      </c>
      <c r="M256" s="359">
        <f t="shared" ca="1" si="103"/>
        <v>0.4564306055314496</v>
      </c>
      <c r="N256" s="357">
        <f t="shared" ca="1" si="104"/>
        <v>26.151547337552589</v>
      </c>
      <c r="O256" s="343"/>
      <c r="P256" s="363">
        <f t="shared" ca="1" si="105"/>
        <v>23</v>
      </c>
      <c r="Q256" s="357">
        <f t="shared" ca="1" si="106"/>
        <v>0</v>
      </c>
      <c r="R256" s="359">
        <f t="shared" ca="1" si="107"/>
        <v>0</v>
      </c>
      <c r="S256" s="360">
        <f t="shared" ca="1" si="108"/>
        <v>0.42898953648292248</v>
      </c>
      <c r="T256" s="357">
        <f t="shared" ca="1" si="88"/>
        <v>4.2083873528974696</v>
      </c>
      <c r="U256" s="364">
        <f t="shared" ca="1" si="89"/>
        <v>0</v>
      </c>
      <c r="V256" s="359">
        <f t="shared" ca="1" si="90"/>
        <v>1.1877105175008067</v>
      </c>
      <c r="W256" s="357">
        <f t="shared" ca="1" si="91"/>
        <v>0.17682821939222104</v>
      </c>
      <c r="X256" s="343"/>
      <c r="Y256" s="367" t="str">
        <f t="shared" ca="1" si="109"/>
        <v/>
      </c>
      <c r="Z256" s="368" t="str">
        <f t="shared" ca="1" si="110"/>
        <v/>
      </c>
      <c r="AA256" s="369" t="str">
        <f t="shared" ca="1" si="111"/>
        <v/>
      </c>
      <c r="AB256" s="344"/>
      <c r="AC256" s="363" t="e">
        <f t="shared" ca="1" si="112"/>
        <v>#N/A</v>
      </c>
      <c r="AD256" s="376" t="e">
        <f t="shared" ca="1" si="113"/>
        <v>#N/A</v>
      </c>
      <c r="AE256" s="377">
        <f t="shared" ca="1" si="92"/>
        <v>309.10863303915647</v>
      </c>
      <c r="AF256" s="344"/>
      <c r="AG256" s="359">
        <f t="shared" ca="1" si="114"/>
        <v>-5.3355945779834029</v>
      </c>
      <c r="AH256" s="357">
        <f t="shared" ca="1" si="115"/>
        <v>-0.44492802826651334</v>
      </c>
    </row>
    <row r="257" spans="1:34">
      <c r="A257" s="402">
        <f t="shared" ca="1" si="93"/>
        <v>0.1</v>
      </c>
      <c r="B257" s="357">
        <f t="shared" ca="1" si="94"/>
        <v>7.2999999999999909</v>
      </c>
      <c r="C257" s="342"/>
      <c r="D257" s="359">
        <f t="shared" ca="1" si="95"/>
        <v>-0.37000101576070232</v>
      </c>
      <c r="E257" s="360">
        <f t="shared" ca="1" si="96"/>
        <v>-9.9916745784902794</v>
      </c>
      <c r="F257" s="357">
        <f t="shared" ca="1" si="97"/>
        <v>9.9985229726251497</v>
      </c>
      <c r="G257" s="359">
        <f t="shared" ca="1" si="98"/>
        <v>11.628655609993018</v>
      </c>
      <c r="H257" s="360">
        <f t="shared" ca="1" si="99"/>
        <v>4.7287981258528413</v>
      </c>
      <c r="I257" s="357">
        <f t="shared" ca="1" si="100"/>
        <v>12.55337257516447</v>
      </c>
      <c r="J257" s="359">
        <f t="shared" ca="1" si="101"/>
        <v>100.26596370856331</v>
      </c>
      <c r="K257" s="360">
        <f t="shared" ca="1" si="102"/>
        <v>309.6314712246342</v>
      </c>
      <c r="L257" s="357">
        <f t="shared" ca="1" si="87"/>
        <v>325.46107517050086</v>
      </c>
      <c r="M257" s="359">
        <f t="shared" ca="1" si="103"/>
        <v>0.38622635035421504</v>
      </c>
      <c r="N257" s="357">
        <f t="shared" ca="1" si="104"/>
        <v>22.12913981203759</v>
      </c>
      <c r="O257" s="343"/>
      <c r="P257" s="363">
        <f t="shared" ca="1" si="105"/>
        <v>23</v>
      </c>
      <c r="Q257" s="357">
        <f t="shared" ca="1" si="106"/>
        <v>0</v>
      </c>
      <c r="R257" s="359">
        <f t="shared" ca="1" si="107"/>
        <v>0</v>
      </c>
      <c r="S257" s="360">
        <f t="shared" ca="1" si="108"/>
        <v>0.42898953648292248</v>
      </c>
      <c r="T257" s="357">
        <f t="shared" ca="1" si="88"/>
        <v>4.2083873528974696</v>
      </c>
      <c r="U257" s="364">
        <f t="shared" ca="1" si="89"/>
        <v>0</v>
      </c>
      <c r="V257" s="359">
        <f t="shared" ca="1" si="90"/>
        <v>1.1876484062216903</v>
      </c>
      <c r="W257" s="357">
        <f t="shared" ca="1" si="91"/>
        <v>0.1649785464674646</v>
      </c>
      <c r="X257" s="343"/>
      <c r="Y257" s="367" t="str">
        <f t="shared" ca="1" si="109"/>
        <v/>
      </c>
      <c r="Z257" s="368" t="str">
        <f t="shared" ca="1" si="110"/>
        <v/>
      </c>
      <c r="AA257" s="369" t="str">
        <f t="shared" ca="1" si="111"/>
        <v/>
      </c>
      <c r="AB257" s="344"/>
      <c r="AC257" s="363" t="e">
        <f t="shared" ca="1" si="112"/>
        <v>#N/A</v>
      </c>
      <c r="AD257" s="376" t="e">
        <f t="shared" ca="1" si="113"/>
        <v>#N/A</v>
      </c>
      <c r="AE257" s="377">
        <f t="shared" ca="1" si="92"/>
        <v>309.6314712246342</v>
      </c>
      <c r="AF257" s="344"/>
      <c r="AG257" s="359">
        <f t="shared" ca="1" si="114"/>
        <v>-4.735924338856135</v>
      </c>
      <c r="AH257" s="357">
        <f t="shared" ca="1" si="115"/>
        <v>-0.41219704527515988</v>
      </c>
    </row>
    <row r="258" spans="1:34">
      <c r="A258" s="402">
        <f t="shared" ca="1" si="93"/>
        <v>0.1</v>
      </c>
      <c r="B258" s="357">
        <f t="shared" ca="1" si="94"/>
        <v>7.3999999999999906</v>
      </c>
      <c r="C258" s="342"/>
      <c r="D258" s="359">
        <f t="shared" ca="1" si="95"/>
        <v>-0.35624589097915182</v>
      </c>
      <c r="E258" s="360">
        <f t="shared" ca="1" si="96"/>
        <v>-9.9548675546085761</v>
      </c>
      <c r="F258" s="357">
        <f t="shared" ca="1" si="97"/>
        <v>9.9612398407345886</v>
      </c>
      <c r="G258" s="359">
        <f t="shared" ca="1" si="98"/>
        <v>11.593031020895102</v>
      </c>
      <c r="H258" s="360">
        <f t="shared" ca="1" si="99"/>
        <v>3.7333113703919838</v>
      </c>
      <c r="I258" s="357">
        <f t="shared" ca="1" si="100"/>
        <v>12.179326009255776</v>
      </c>
      <c r="J258" s="359">
        <f t="shared" ca="1" si="101"/>
        <v>101.42704804010771</v>
      </c>
      <c r="K258" s="360">
        <f t="shared" ca="1" si="102"/>
        <v>310.05457669944644</v>
      </c>
      <c r="L258" s="357">
        <f t="shared" ca="1" si="87"/>
        <v>326.2227561136765</v>
      </c>
      <c r="M258" s="359">
        <f t="shared" ca="1" si="103"/>
        <v>0.31154388812937689</v>
      </c>
      <c r="N258" s="357">
        <f t="shared" ca="1" si="104"/>
        <v>17.850149922909164</v>
      </c>
      <c r="O258" s="343"/>
      <c r="P258" s="363">
        <f t="shared" ca="1" si="105"/>
        <v>23</v>
      </c>
      <c r="Q258" s="357">
        <f t="shared" ca="1" si="106"/>
        <v>0</v>
      </c>
      <c r="R258" s="359">
        <f t="shared" ca="1" si="107"/>
        <v>0</v>
      </c>
      <c r="S258" s="360">
        <f t="shared" ca="1" si="108"/>
        <v>0.42898953648292248</v>
      </c>
      <c r="T258" s="357">
        <f t="shared" ca="1" si="88"/>
        <v>4.2083873528974696</v>
      </c>
      <c r="U258" s="364">
        <f t="shared" ca="1" si="89"/>
        <v>0</v>
      </c>
      <c r="V258" s="359">
        <f t="shared" ca="1" si="90"/>
        <v>1.1875981451677078</v>
      </c>
      <c r="W258" s="357">
        <f t="shared" ca="1" si="91"/>
        <v>0.1552868810951146</v>
      </c>
      <c r="X258" s="343"/>
      <c r="Y258" s="367" t="str">
        <f t="shared" ca="1" si="109"/>
        <v/>
      </c>
      <c r="Z258" s="368" t="str">
        <f t="shared" ca="1" si="110"/>
        <v/>
      </c>
      <c r="AA258" s="369" t="str">
        <f t="shared" ca="1" si="111"/>
        <v/>
      </c>
      <c r="AB258" s="344"/>
      <c r="AC258" s="363" t="e">
        <f t="shared" ca="1" si="112"/>
        <v>#N/A</v>
      </c>
      <c r="AD258" s="376" t="e">
        <f t="shared" ca="1" si="113"/>
        <v>#N/A</v>
      </c>
      <c r="AE258" s="377">
        <f t="shared" ca="1" si="92"/>
        <v>310.05457669944644</v>
      </c>
      <c r="AF258" s="344"/>
      <c r="AG258" s="359">
        <f t="shared" ca="1" si="114"/>
        <v>-4.0799569603586736</v>
      </c>
      <c r="AH258" s="357">
        <f t="shared" ca="1" si="115"/>
        <v>-0.38457475634497712</v>
      </c>
    </row>
    <row r="259" spans="1:34">
      <c r="A259" s="402">
        <f t="shared" ca="1" si="93"/>
        <v>0.1</v>
      </c>
      <c r="B259" s="357">
        <f t="shared" ca="1" si="94"/>
        <v>7.4999999999999902</v>
      </c>
      <c r="C259" s="342"/>
      <c r="D259" s="359">
        <f t="shared" ca="1" si="95"/>
        <v>-0.34455758143827026</v>
      </c>
      <c r="E259" s="360">
        <f t="shared" ca="1" si="96"/>
        <v>-9.9209581035554706</v>
      </c>
      <c r="F259" s="357">
        <f t="shared" ca="1" si="97"/>
        <v>9.9269395897945074</v>
      </c>
      <c r="G259" s="359">
        <f t="shared" ca="1" si="98"/>
        <v>11.558575262751276</v>
      </c>
      <c r="H259" s="360">
        <f t="shared" ca="1" si="99"/>
        <v>2.7412155600364367</v>
      </c>
      <c r="I259" s="357">
        <f t="shared" ca="1" si="100"/>
        <v>11.879180310580002</v>
      </c>
      <c r="J259" s="359">
        <f t="shared" ca="1" si="101"/>
        <v>102.58462835429003</v>
      </c>
      <c r="K259" s="360">
        <f t="shared" ca="1" si="102"/>
        <v>310.37830304596787</v>
      </c>
      <c r="L259" s="357">
        <f t="shared" ca="1" si="87"/>
        <v>326.89187352438489</v>
      </c>
      <c r="M259" s="359">
        <f t="shared" ca="1" si="103"/>
        <v>0.23285660740392702</v>
      </c>
      <c r="N259" s="357">
        <f t="shared" ca="1" si="104"/>
        <v>13.341700835979776</v>
      </c>
      <c r="O259" s="343"/>
      <c r="P259" s="363">
        <f t="shared" ca="1" si="105"/>
        <v>23</v>
      </c>
      <c r="Q259" s="357">
        <f t="shared" ca="1" si="106"/>
        <v>0</v>
      </c>
      <c r="R259" s="359">
        <f t="shared" ca="1" si="107"/>
        <v>0</v>
      </c>
      <c r="S259" s="360">
        <f t="shared" ca="1" si="108"/>
        <v>0.42898953648292248</v>
      </c>
      <c r="T259" s="357">
        <f t="shared" ca="1" si="88"/>
        <v>4.2083873528974696</v>
      </c>
      <c r="U259" s="364">
        <f t="shared" ca="1" si="89"/>
        <v>0</v>
      </c>
      <c r="V259" s="359">
        <f t="shared" ca="1" si="90"/>
        <v>1.1875596908577239</v>
      </c>
      <c r="W259" s="357">
        <f t="shared" ca="1" si="91"/>
        <v>0.14772266785472066</v>
      </c>
      <c r="X259" s="343"/>
      <c r="Y259" s="367" t="str">
        <f t="shared" ca="1" si="109"/>
        <v/>
      </c>
      <c r="Z259" s="368" t="str">
        <f t="shared" ca="1" si="110"/>
        <v/>
      </c>
      <c r="AA259" s="369" t="str">
        <f t="shared" ca="1" si="111"/>
        <v/>
      </c>
      <c r="AB259" s="344"/>
      <c r="AC259" s="363" t="e">
        <f t="shared" ca="1" si="112"/>
        <v>#N/A</v>
      </c>
      <c r="AD259" s="376" t="e">
        <f t="shared" ca="1" si="113"/>
        <v>#N/A</v>
      </c>
      <c r="AE259" s="377">
        <f t="shared" ca="1" si="92"/>
        <v>310.37830304596787</v>
      </c>
      <c r="AF259" s="344"/>
      <c r="AG259" s="359">
        <f t="shared" ca="1" si="114"/>
        <v>-3.3690281705327223</v>
      </c>
      <c r="AH259" s="357">
        <f t="shared" ca="1" si="115"/>
        <v>-0.3619829107447155</v>
      </c>
    </row>
    <row r="260" spans="1:34">
      <c r="A260" s="402">
        <f t="shared" ca="1" si="93"/>
        <v>0.1</v>
      </c>
      <c r="B260" s="357">
        <f t="shared" ca="1" si="94"/>
        <v>7.5999999999999899</v>
      </c>
      <c r="C260" s="342"/>
      <c r="D260" s="359">
        <f t="shared" ca="1" si="95"/>
        <v>-0.33505667453167354</v>
      </c>
      <c r="E260" s="360">
        <f t="shared" ca="1" si="96"/>
        <v>-9.8894615728012898</v>
      </c>
      <c r="F260" s="357">
        <f t="shared" ca="1" si="97"/>
        <v>9.8951358340884639</v>
      </c>
      <c r="G260" s="359">
        <f t="shared" ca="1" si="98"/>
        <v>11.525069595298108</v>
      </c>
      <c r="H260" s="360">
        <f t="shared" ca="1" si="99"/>
        <v>1.7522694027563077</v>
      </c>
      <c r="I260" s="357">
        <f t="shared" ca="1" si="100"/>
        <v>11.657515911904252</v>
      </c>
      <c r="J260" s="359">
        <f t="shared" ca="1" si="101"/>
        <v>103.7388105971925</v>
      </c>
      <c r="K260" s="360">
        <f t="shared" ca="1" si="102"/>
        <v>310.60297729410752</v>
      </c>
      <c r="L260" s="357">
        <f t="shared" ref="L260:L323" ca="1" si="116">SQRT(pos_x^2+pos_z^2)</f>
        <v>327.46900666793499</v>
      </c>
      <c r="M260" s="359">
        <f t="shared" ca="1" si="103"/>
        <v>0.15088427334514648</v>
      </c>
      <c r="N260" s="357">
        <f t="shared" ca="1" si="104"/>
        <v>8.6450320575751576</v>
      </c>
      <c r="O260" s="343"/>
      <c r="P260" s="363">
        <f t="shared" ca="1" si="105"/>
        <v>23</v>
      </c>
      <c r="Q260" s="357">
        <f t="shared" ca="1" si="106"/>
        <v>0</v>
      </c>
      <c r="R260" s="359">
        <f t="shared" ca="1" si="107"/>
        <v>0</v>
      </c>
      <c r="S260" s="360">
        <f t="shared" ca="1" si="108"/>
        <v>0.42898953648292248</v>
      </c>
      <c r="T260" s="357">
        <f t="shared" ref="T260:T323" ca="1" si="117">m*g</f>
        <v>4.2083873528974696</v>
      </c>
      <c r="U260" s="364">
        <f t="shared" ref="U260:U323" ca="1" si="118">IF(pos_xz&lt;L_rampe,Poids*COS(Beta),0)</f>
        <v>0</v>
      </c>
      <c r="V260" s="359">
        <f t="shared" ref="V260:V323" ca="1" si="119">Rho_moyen*(20000-Alt_rampe-pos_z)/(20000+Alt_rampe+pos_z)</f>
        <v>1.1875330033174651</v>
      </c>
      <c r="W260" s="357">
        <f t="shared" ref="W260:W323" ca="1" si="120">1/2*Rho*Sref*Cx*vit_xz^2</f>
        <v>0.14225792428963061</v>
      </c>
      <c r="X260" s="343"/>
      <c r="Y260" s="367" t="str">
        <f t="shared" ca="1" si="109"/>
        <v/>
      </c>
      <c r="Z260" s="368" t="str">
        <f t="shared" ca="1" si="110"/>
        <v/>
      </c>
      <c r="AA260" s="369" t="str">
        <f t="shared" ca="1" si="111"/>
        <v/>
      </c>
      <c r="AB260" s="344"/>
      <c r="AC260" s="363" t="e">
        <f t="shared" ca="1" si="112"/>
        <v>#N/A</v>
      </c>
      <c r="AD260" s="376" t="e">
        <f t="shared" ca="1" si="113"/>
        <v>#N/A</v>
      </c>
      <c r="AE260" s="377">
        <f t="shared" ref="AE260:AE323" ca="1" si="121">IF(t&lt;T_para, pos_z, NA())</f>
        <v>310.60297729410752</v>
      </c>
      <c r="AF260" s="344"/>
      <c r="AG260" s="359">
        <f t="shared" ca="1" si="114"/>
        <v>-2.6080859894022534</v>
      </c>
      <c r="AH260" s="357">
        <f t="shared" ca="1" si="115"/>
        <v>-0.34435028198083173</v>
      </c>
    </row>
    <row r="261" spans="1:34">
      <c r="A261" s="402">
        <f t="shared" ref="A261:A324" ca="1" si="122">IF(B260+0.01&lt;=T_ini+ROUNDUP(Temps_fin_propu,0), 0.01, IF(K260&gt;0, 0.1, 0.0001))</f>
        <v>0.1</v>
      </c>
      <c r="B261" s="357">
        <f t="shared" ref="B261:B324" ca="1" si="123">B260+pas</f>
        <v>7.6999999999999895</v>
      </c>
      <c r="C261" s="342"/>
      <c r="D261" s="359">
        <f t="shared" ref="D261:D324" ca="1" si="124">IF(AND(L260&lt;L_rampe,Poussee&lt;Poids*SIN(M260)),0,(-W260+Poussee)/m*COS(M260)-U260/m*SIN(M260))</f>
        <v>-0.32784405128569438</v>
      </c>
      <c r="E261" s="360">
        <f t="shared" ref="E261:E324" ca="1" si="125">IF(AND(L260&lt;L_rampe,Poussee&lt;Poids*SIN(M260)),0,(-W260+Poussee)/m*SIN(M260)+U260/m*COS(M260)-Poids/m)</f>
        <v>-9.8598453475871395</v>
      </c>
      <c r="F261" s="357">
        <f t="shared" ref="F261:F324" ca="1" si="126">SQRT(acc_x^2+acc_z^2)</f>
        <v>9.8652943189901432</v>
      </c>
      <c r="G261" s="359">
        <f t="shared" ref="G261:G324" ca="1" si="127">G260+acc_x*pas</f>
        <v>11.492285190169538</v>
      </c>
      <c r="H261" s="360">
        <f t="shared" ref="H261:H324" ca="1" si="128">H260+acc_z*pas</f>
        <v>0.76628486799759377</v>
      </c>
      <c r="I261" s="357">
        <f t="shared" ref="I261:I324" ca="1" si="129">SQRT(vit_x^2+vit_z^2)</f>
        <v>11.517804104564037</v>
      </c>
      <c r="J261" s="359">
        <f t="shared" ref="J261:J324" ca="1" si="130">J260+0.5*(vit_x+G260)*pas*(K260&gt;=0)</f>
        <v>104.88967833646588</v>
      </c>
      <c r="K261" s="360">
        <f t="shared" ref="K261:K324" ca="1" si="131">K260+0.5*(vit_z+H260)*pas</f>
        <v>310.72890500764521</v>
      </c>
      <c r="L261" s="357">
        <f t="shared" ca="1" si="116"/>
        <v>327.95471795474674</v>
      </c>
      <c r="M261" s="359">
        <f t="shared" ref="M261:M324" ca="1" si="132">IF(AND(L260&gt;L_rampe,G261&gt;0),ATAN2(G261,H261),$M$4)</f>
        <v>6.6579644130048757E-2</v>
      </c>
      <c r="N261" s="357">
        <f t="shared" ref="N261:N324" ca="1" si="133">DEGREES(Beta)</f>
        <v>3.8147326101347594</v>
      </c>
      <c r="O261" s="343"/>
      <c r="P261" s="363">
        <f t="shared" ref="P261:P324" ca="1" si="134">MATCH(t-pas/2-T_ini,CdP_t)</f>
        <v>23</v>
      </c>
      <c r="Q261" s="357">
        <f t="shared" ref="Q261:Q324" ca="1" si="135">(INDEX(CdP,2,i_P+1)-INDEX(CdP,2,i_P+0))/(INDEX(CdP,1,i_P+1)-INDEX(CdP,1,i_P+0))*(t-pas/2-T_ini-INDEX(CdP,1,i_P+0))+INDEX(CdP,2,i_P+0)</f>
        <v>0</v>
      </c>
      <c r="R261" s="359">
        <f t="shared" ref="R261:R324" ca="1" si="136">Poussee/(g*ISP)</f>
        <v>0</v>
      </c>
      <c r="S261" s="360">
        <f t="shared" ref="S261:S324" ca="1" si="137">S260-Débit*pas</f>
        <v>0.42898953648292248</v>
      </c>
      <c r="T261" s="357">
        <f t="shared" ca="1" si="117"/>
        <v>4.2083873528974696</v>
      </c>
      <c r="U261" s="364">
        <f t="shared" ca="1" si="118"/>
        <v>0</v>
      </c>
      <c r="V261" s="359">
        <f t="shared" ca="1" si="119"/>
        <v>1.1875180454709806</v>
      </c>
      <c r="W261" s="357">
        <f t="shared" ca="1" si="120"/>
        <v>0.13886677155519989</v>
      </c>
      <c r="X261" s="343"/>
      <c r="Y261" s="367" t="str">
        <f t="shared" ref="Y261:Y324" ca="1" si="138">IF(AND(pos_z&lt;=0,K260&gt;0),"Impact balistique","") &amp; IF(AND(H262&lt;0,vit_z&gt;=0),"Apogée","") &amp; IF(AND(Poussee=0,Q260&gt;0),"Fin de propulsion","") &amp; IF(AND(L262&gt;L_rampe,pos_xz&lt;=L_rampe),"Sortie de rampe","")</f>
        <v>Apogée</v>
      </c>
      <c r="Z261" s="368" t="str">
        <f t="shared" ref="Z261:Z324" ca="1" si="139">IF(ABS(t-T_para)&lt;pas/2,"Para","")</f>
        <v/>
      </c>
      <c r="AA261" s="369" t="str">
        <f t="shared" ref="AA261:AA324" ca="1" si="140">IF(ABS(t-T_satellite)&lt;pas/2,"Satellite","")</f>
        <v/>
      </c>
      <c r="AB261" s="344"/>
      <c r="AC261" s="363" t="e">
        <f t="shared" ref="AC261:AC324" ca="1" si="141">IF(ABS(t-ROUND(t,0))&lt;0.001,t,NA())</f>
        <v>#N/A</v>
      </c>
      <c r="AD261" s="376" t="e">
        <f t="shared" ref="AD261:AD324" ca="1" si="142">IF(ABS(t-ROUND(t,0))&lt;0.001,pos_x,NA())</f>
        <v>#N/A</v>
      </c>
      <c r="AE261" s="377">
        <f t="shared" ca="1" si="121"/>
        <v>310.72890500764521</v>
      </c>
      <c r="AF261" s="344"/>
      <c r="AG261" s="359">
        <f t="shared" ref="AG261:AG324" ca="1" si="143">IF(AND(L260&lt;L_rampe,Poussee&lt;Poids*SIN(M260)),0,(-W260+Poussee)/m-Poids*SIN(M260)/m)</f>
        <v>-1.8061764603260804</v>
      </c>
      <c r="AH261" s="357">
        <f t="shared" ref="AH261:AH324" ca="1" si="144">IF(AND(L260&lt;L_rampe,Poussee&lt;Poids*SIN(M260)), g*SIN(M260), (-W260+Poussee)/m)</f>
        <v>-0.33161164129068149</v>
      </c>
    </row>
    <row r="262" spans="1:34">
      <c r="A262" s="402">
        <f t="shared" ca="1" si="122"/>
        <v>0.1</v>
      </c>
      <c r="B262" s="357">
        <f t="shared" ca="1" si="123"/>
        <v>7.7999999999999892</v>
      </c>
      <c r="C262" s="342"/>
      <c r="D262" s="359">
        <f t="shared" ca="1" si="124"/>
        <v>-0.32298945717147687</v>
      </c>
      <c r="E262" s="360">
        <f t="shared" ca="1" si="125"/>
        <v>-9.8315363549944781</v>
      </c>
      <c r="F262" s="357">
        <f t="shared" ca="1" si="126"/>
        <v>9.8368404118915151</v>
      </c>
      <c r="G262" s="359">
        <f t="shared" ca="1" si="127"/>
        <v>11.45998624445239</v>
      </c>
      <c r="H262" s="360">
        <f t="shared" ca="1" si="128"/>
        <v>-0.21686876750185413</v>
      </c>
      <c r="I262" s="357">
        <f t="shared" ca="1" si="129"/>
        <v>11.46203807293257</v>
      </c>
      <c r="J262" s="359">
        <f t="shared" ca="1" si="130"/>
        <v>106.03729190819698</v>
      </c>
      <c r="K262" s="360">
        <f t="shared" ca="1" si="131"/>
        <v>310.75637581267</v>
      </c>
      <c r="L262" s="357">
        <f t="shared" ca="1" si="116"/>
        <v>328.34955822027473</v>
      </c>
      <c r="M262" s="359">
        <f t="shared" ca="1" si="132"/>
        <v>-1.8921740415179127E-2</v>
      </c>
      <c r="N262" s="357">
        <f t="shared" ca="1" si="133"/>
        <v>-1.0841358668318819</v>
      </c>
      <c r="O262" s="343"/>
      <c r="P262" s="363">
        <f t="shared" ca="1" si="134"/>
        <v>23</v>
      </c>
      <c r="Q262" s="357">
        <f t="shared" ca="1" si="135"/>
        <v>0</v>
      </c>
      <c r="R262" s="359">
        <f t="shared" ca="1" si="136"/>
        <v>0</v>
      </c>
      <c r="S262" s="360">
        <f t="shared" ca="1" si="137"/>
        <v>0.42898953648292248</v>
      </c>
      <c r="T262" s="357">
        <f t="shared" ca="1" si="117"/>
        <v>4.2083873528974696</v>
      </c>
      <c r="U262" s="364">
        <f t="shared" ca="1" si="118"/>
        <v>0</v>
      </c>
      <c r="V262" s="359">
        <f t="shared" ca="1" si="119"/>
        <v>1.1875147824800996</v>
      </c>
      <c r="W262" s="357">
        <f t="shared" ca="1" si="120"/>
        <v>0.13752493979170888</v>
      </c>
      <c r="X262" s="343"/>
      <c r="Y262" s="367" t="str">
        <f t="shared" ca="1" si="138"/>
        <v/>
      </c>
      <c r="Z262" s="368" t="str">
        <f t="shared" ca="1" si="139"/>
        <v/>
      </c>
      <c r="AA262" s="369" t="str">
        <f t="shared" ca="1" si="140"/>
        <v/>
      </c>
      <c r="AB262" s="344"/>
      <c r="AC262" s="363" t="e">
        <f t="shared" ca="1" si="141"/>
        <v>#N/A</v>
      </c>
      <c r="AD262" s="376" t="e">
        <f t="shared" ca="1" si="142"/>
        <v>#N/A</v>
      </c>
      <c r="AE262" s="377">
        <f t="shared" ca="1" si="121"/>
        <v>310.75637581267</v>
      </c>
      <c r="AF262" s="344"/>
      <c r="AG262" s="359">
        <f t="shared" ca="1" si="143"/>
        <v>-0.97637052958531889</v>
      </c>
      <c r="AH262" s="357">
        <f t="shared" ca="1" si="144"/>
        <v>-0.32370666355571587</v>
      </c>
    </row>
    <row r="263" spans="1:34">
      <c r="A263" s="402">
        <f t="shared" ca="1" si="122"/>
        <v>0.1</v>
      </c>
      <c r="B263" s="357">
        <f t="shared" ca="1" si="123"/>
        <v>7.8999999999999888</v>
      </c>
      <c r="C263" s="342"/>
      <c r="D263" s="359">
        <f t="shared" ca="1" si="124"/>
        <v>-0.32052138723711959</v>
      </c>
      <c r="E263" s="360">
        <f t="shared" ca="1" si="125"/>
        <v>-9.8039344536088127</v>
      </c>
      <c r="F263" s="357">
        <f t="shared" ca="1" si="126"/>
        <v>9.8091724793855235</v>
      </c>
      <c r="G263" s="359">
        <f t="shared" ca="1" si="127"/>
        <v>11.427934105728678</v>
      </c>
      <c r="H263" s="360">
        <f t="shared" ca="1" si="128"/>
        <v>-1.1972622128627355</v>
      </c>
      <c r="I263" s="357">
        <f t="shared" ca="1" si="129"/>
        <v>11.490479308158806</v>
      </c>
      <c r="J263" s="359">
        <f t="shared" ca="1" si="130"/>
        <v>107.18168792570603</v>
      </c>
      <c r="K263" s="360">
        <f t="shared" ca="1" si="131"/>
        <v>310.68566926365179</v>
      </c>
      <c r="L263" s="357">
        <f t="shared" ca="1" si="116"/>
        <v>328.65407241110927</v>
      </c>
      <c r="M263" s="359">
        <f t="shared" ca="1" si="132"/>
        <v>-0.10438548662003644</v>
      </c>
      <c r="N263" s="357">
        <f t="shared" ca="1" si="133"/>
        <v>-5.9808478257474125</v>
      </c>
      <c r="O263" s="343"/>
      <c r="P263" s="363">
        <f t="shared" ca="1" si="134"/>
        <v>23</v>
      </c>
      <c r="Q263" s="357">
        <f t="shared" ca="1" si="135"/>
        <v>0</v>
      </c>
      <c r="R263" s="359">
        <f t="shared" ca="1" si="136"/>
        <v>0</v>
      </c>
      <c r="S263" s="360">
        <f t="shared" ca="1" si="137"/>
        <v>0.42898953648292248</v>
      </c>
      <c r="T263" s="357">
        <f t="shared" ca="1" si="117"/>
        <v>4.2083873528974696</v>
      </c>
      <c r="U263" s="364">
        <f t="shared" ca="1" si="118"/>
        <v>0</v>
      </c>
      <c r="V263" s="359">
        <f t="shared" ca="1" si="119"/>
        <v>1.1875231810441613</v>
      </c>
      <c r="W263" s="357">
        <f t="shared" ca="1" si="120"/>
        <v>0.13820925679143023</v>
      </c>
      <c r="X263" s="343"/>
      <c r="Y263" s="367" t="str">
        <f t="shared" ca="1" si="138"/>
        <v/>
      </c>
      <c r="Z263" s="368" t="str">
        <f t="shared" ca="1" si="139"/>
        <v/>
      </c>
      <c r="AA263" s="369" t="str">
        <f t="shared" ca="1" si="140"/>
        <v/>
      </c>
      <c r="AB263" s="344"/>
      <c r="AC263" s="363" t="e">
        <f t="shared" ca="1" si="141"/>
        <v>#N/A</v>
      </c>
      <c r="AD263" s="376" t="e">
        <f t="shared" ca="1" si="142"/>
        <v>#N/A</v>
      </c>
      <c r="AE263" s="377">
        <f t="shared" ca="1" si="121"/>
        <v>310.68566926365179</v>
      </c>
      <c r="AF263" s="344"/>
      <c r="AG263" s="359">
        <f t="shared" ca="1" si="143"/>
        <v>-0.13496757708564128</v>
      </c>
      <c r="AH263" s="357">
        <f t="shared" ca="1" si="144"/>
        <v>-0.32057877429647652</v>
      </c>
    </row>
    <row r="264" spans="1:34">
      <c r="A264" s="402">
        <f t="shared" ca="1" si="122"/>
        <v>0.1</v>
      </c>
      <c r="B264" s="357">
        <f t="shared" ca="1" si="123"/>
        <v>7.9999999999999885</v>
      </c>
      <c r="C264" s="342"/>
      <c r="D264" s="359">
        <f t="shared" ca="1" si="124"/>
        <v>-0.32042029411705231</v>
      </c>
      <c r="E264" s="360">
        <f t="shared" ca="1" si="125"/>
        <v>-9.7764307558276524</v>
      </c>
      <c r="F264" s="357">
        <f t="shared" ca="1" si="126"/>
        <v>9.7816801976130314</v>
      </c>
      <c r="G264" s="359">
        <f t="shared" ca="1" si="127"/>
        <v>11.395892076316972</v>
      </c>
      <c r="H264" s="360">
        <f t="shared" ca="1" si="128"/>
        <v>-2.1749052884455007</v>
      </c>
      <c r="I264" s="357">
        <f t="shared" ca="1" si="129"/>
        <v>11.601576152780801</v>
      </c>
      <c r="J264" s="359">
        <f t="shared" ca="1" si="130"/>
        <v>108.32287923480831</v>
      </c>
      <c r="K264" s="360">
        <f t="shared" ca="1" si="131"/>
        <v>310.5170608885864</v>
      </c>
      <c r="L264" s="357">
        <f t="shared" ca="1" si="116"/>
        <v>328.86880555717795</v>
      </c>
      <c r="M264" s="359">
        <f t="shared" ca="1" si="132"/>
        <v>-0.18858214212732352</v>
      </c>
      <c r="N264" s="357">
        <f t="shared" ca="1" si="133"/>
        <v>-10.804960835431881</v>
      </c>
      <c r="O264" s="343"/>
      <c r="P264" s="363">
        <f t="shared" ca="1" si="134"/>
        <v>23</v>
      </c>
      <c r="Q264" s="357">
        <f t="shared" ca="1" si="135"/>
        <v>0</v>
      </c>
      <c r="R264" s="359">
        <f t="shared" ca="1" si="136"/>
        <v>0</v>
      </c>
      <c r="S264" s="360">
        <f t="shared" ca="1" si="137"/>
        <v>0.42898953648292248</v>
      </c>
      <c r="T264" s="357">
        <f t="shared" ca="1" si="117"/>
        <v>4.2083873528974696</v>
      </c>
      <c r="U264" s="364">
        <f t="shared" ca="1" si="118"/>
        <v>0</v>
      </c>
      <c r="V264" s="359">
        <f t="shared" ca="1" si="119"/>
        <v>1.1875432086787185</v>
      </c>
      <c r="W264" s="357">
        <f t="shared" ca="1" si="120"/>
        <v>0.14089713299442763</v>
      </c>
      <c r="X264" s="343"/>
      <c r="Y264" s="367" t="str">
        <f t="shared" ca="1" si="138"/>
        <v/>
      </c>
      <c r="Z264" s="368" t="str">
        <f t="shared" ca="1" si="139"/>
        <v>Para</v>
      </c>
      <c r="AA264" s="369" t="str">
        <f t="shared" ca="1" si="140"/>
        <v/>
      </c>
      <c r="AB264" s="344"/>
      <c r="AC264" s="363">
        <f t="shared" ca="1" si="141"/>
        <v>7.9999999999999885</v>
      </c>
      <c r="AD264" s="376">
        <f t="shared" ca="1" si="142"/>
        <v>108.32287923480831</v>
      </c>
      <c r="AE264" s="377">
        <f t="shared" ca="1" si="121"/>
        <v>310.5170608885864</v>
      </c>
      <c r="AF264" s="344"/>
      <c r="AG264" s="359">
        <f t="shared" ca="1" si="143"/>
        <v>0.69998899937990977</v>
      </c>
      <c r="AH264" s="357">
        <f t="shared" ca="1" si="144"/>
        <v>-0.3221739577252653</v>
      </c>
    </row>
    <row r="265" spans="1:34">
      <c r="A265" s="402">
        <f t="shared" ca="1" si="122"/>
        <v>0.1</v>
      </c>
      <c r="B265" s="357">
        <f t="shared" ca="1" si="123"/>
        <v>8.099999999999989</v>
      </c>
      <c r="C265" s="342"/>
      <c r="D265" s="359">
        <f t="shared" ca="1" si="124"/>
        <v>-0.32261665891123437</v>
      </c>
      <c r="E265" s="360">
        <f t="shared" ca="1" si="125"/>
        <v>-9.7484286308691139</v>
      </c>
      <c r="F265" s="357">
        <f t="shared" ca="1" si="126"/>
        <v>9.7537655436121558</v>
      </c>
      <c r="G265" s="359">
        <f t="shared" ca="1" si="127"/>
        <v>11.363630410425849</v>
      </c>
      <c r="H265" s="360">
        <f t="shared" ca="1" si="128"/>
        <v>-3.1497481515324122</v>
      </c>
      <c r="I265" s="357">
        <f t="shared" ca="1" si="129"/>
        <v>11.792074012778116</v>
      </c>
      <c r="J265" s="359">
        <f t="shared" ca="1" si="130"/>
        <v>109.46085535914546</v>
      </c>
      <c r="K265" s="360">
        <f t="shared" ca="1" si="131"/>
        <v>310.25082821658748</v>
      </c>
      <c r="L265" s="357">
        <f t="shared" ca="1" si="116"/>
        <v>328.99430886420248</v>
      </c>
      <c r="M265" s="359">
        <f t="shared" ca="1" si="132"/>
        <v>-0.27038993429543967</v>
      </c>
      <c r="N265" s="357">
        <f t="shared" ca="1" si="133"/>
        <v>-15.492202057948328</v>
      </c>
      <c r="O265" s="343"/>
      <c r="P265" s="363">
        <f t="shared" ca="1" si="134"/>
        <v>23</v>
      </c>
      <c r="Q265" s="357">
        <f t="shared" ca="1" si="135"/>
        <v>0</v>
      </c>
      <c r="R265" s="359">
        <f t="shared" ca="1" si="136"/>
        <v>0</v>
      </c>
      <c r="S265" s="360">
        <f t="shared" ca="1" si="137"/>
        <v>0.42898953648292248</v>
      </c>
      <c r="T265" s="357">
        <f t="shared" ca="1" si="117"/>
        <v>4.2083873528974696</v>
      </c>
      <c r="U265" s="364">
        <f t="shared" ca="1" si="118"/>
        <v>0</v>
      </c>
      <c r="V265" s="359">
        <f t="shared" ca="1" si="119"/>
        <v>1.1875748329964184</v>
      </c>
      <c r="W265" s="357">
        <f t="shared" ca="1" si="120"/>
        <v>0.14556605884139601</v>
      </c>
      <c r="X265" s="343"/>
      <c r="Y265" s="367" t="str">
        <f t="shared" ca="1" si="138"/>
        <v/>
      </c>
      <c r="Z265" s="368" t="str">
        <f t="shared" ca="1" si="139"/>
        <v/>
      </c>
      <c r="AA265" s="369" t="str">
        <f t="shared" ca="1" si="140"/>
        <v/>
      </c>
      <c r="AB265" s="344"/>
      <c r="AC265" s="363" t="e">
        <f t="shared" ca="1" si="141"/>
        <v>#N/A</v>
      </c>
      <c r="AD265" s="376" t="e">
        <f t="shared" ca="1" si="142"/>
        <v>#N/A</v>
      </c>
      <c r="AE265" s="377" t="e">
        <f t="shared" ca="1" si="121"/>
        <v>#N/A</v>
      </c>
      <c r="AF265" s="344"/>
      <c r="AG265" s="359">
        <f t="shared" ca="1" si="143"/>
        <v>1.5106054664939366</v>
      </c>
      <c r="AH265" s="357">
        <f t="shared" ca="1" si="144"/>
        <v>-0.32843955624087012</v>
      </c>
    </row>
    <row r="266" spans="1:34">
      <c r="A266" s="402">
        <f t="shared" ca="1" si="122"/>
        <v>0.1</v>
      </c>
      <c r="B266" s="357">
        <f t="shared" ca="1" si="123"/>
        <v>8.1999999999999886</v>
      </c>
      <c r="C266" s="342"/>
      <c r="D266" s="359">
        <f t="shared" ca="1" si="124"/>
        <v>-0.32699440993079776</v>
      </c>
      <c r="E266" s="360">
        <f t="shared" ca="1" si="125"/>
        <v>-9.7193643491523627</v>
      </c>
      <c r="F266" s="357">
        <f t="shared" ca="1" si="126"/>
        <v>9.7248634281258646</v>
      </c>
      <c r="G266" s="359">
        <f t="shared" ca="1" si="127"/>
        <v>11.330930969432769</v>
      </c>
      <c r="H266" s="360">
        <f t="shared" ca="1" si="128"/>
        <v>-4.1216845864476488</v>
      </c>
      <c r="I266" s="357">
        <f t="shared" ca="1" si="129"/>
        <v>12.057291589084622</v>
      </c>
      <c r="J266" s="359">
        <f t="shared" ca="1" si="130"/>
        <v>110.59558342813838</v>
      </c>
      <c r="K266" s="360">
        <f t="shared" ca="1" si="131"/>
        <v>309.88725657968848</v>
      </c>
      <c r="L266" s="357">
        <f t="shared" ca="1" si="116"/>
        <v>329.03114573592575</v>
      </c>
      <c r="M266" s="359">
        <f t="shared" ca="1" si="132"/>
        <v>-0.34887592025712316</v>
      </c>
      <c r="N266" s="357">
        <f t="shared" ca="1" si="133"/>
        <v>-19.989117804475818</v>
      </c>
      <c r="O266" s="343"/>
      <c r="P266" s="363">
        <f t="shared" ca="1" si="134"/>
        <v>23</v>
      </c>
      <c r="Q266" s="357">
        <f t="shared" ca="1" si="135"/>
        <v>0</v>
      </c>
      <c r="R266" s="359">
        <f t="shared" ca="1" si="136"/>
        <v>0</v>
      </c>
      <c r="S266" s="360">
        <f t="shared" ca="1" si="137"/>
        <v>0.42898953648292248</v>
      </c>
      <c r="T266" s="357">
        <f t="shared" ca="1" si="117"/>
        <v>4.2083873528974696</v>
      </c>
      <c r="U266" s="364">
        <f t="shared" ca="1" si="118"/>
        <v>0</v>
      </c>
      <c r="V266" s="359">
        <f t="shared" ca="1" si="119"/>
        <v>1.1876180210146527</v>
      </c>
      <c r="W266" s="357">
        <f t="shared" ca="1" si="120"/>
        <v>0.15219313120522696</v>
      </c>
      <c r="X266" s="343"/>
      <c r="Y266" s="367" t="str">
        <f t="shared" ca="1" si="138"/>
        <v/>
      </c>
      <c r="Z266" s="368" t="str">
        <f t="shared" ca="1" si="139"/>
        <v/>
      </c>
      <c r="AA266" s="369" t="str">
        <f t="shared" ca="1" si="140"/>
        <v/>
      </c>
      <c r="AB266" s="344"/>
      <c r="AC266" s="363" t="e">
        <f t="shared" ca="1" si="141"/>
        <v>#N/A</v>
      </c>
      <c r="AD266" s="376" t="e">
        <f t="shared" ca="1" si="142"/>
        <v>#N/A</v>
      </c>
      <c r="AE266" s="377" t="e">
        <f t="shared" ca="1" si="121"/>
        <v>#N/A</v>
      </c>
      <c r="AF266" s="344"/>
      <c r="AG266" s="359">
        <f t="shared" ca="1" si="143"/>
        <v>2.2809987660302116</v>
      </c>
      <c r="AH266" s="357">
        <f t="shared" ca="1" si="144"/>
        <v>-0.3393230987282852</v>
      </c>
    </row>
    <row r="267" spans="1:34">
      <c r="A267" s="402">
        <f t="shared" ca="1" si="122"/>
        <v>0.1</v>
      </c>
      <c r="B267" s="357">
        <f t="shared" ca="1" si="123"/>
        <v>8.2999999999999883</v>
      </c>
      <c r="C267" s="342"/>
      <c r="D267" s="359">
        <f t="shared" ca="1" si="124"/>
        <v>-0.33339891545297184</v>
      </c>
      <c r="E267" s="360">
        <f t="shared" ca="1" si="125"/>
        <v>-9.688724424791932</v>
      </c>
      <c r="F267" s="357">
        <f t="shared" ca="1" si="126"/>
        <v>9.6944590264947212</v>
      </c>
      <c r="G267" s="359">
        <f t="shared" ca="1" si="127"/>
        <v>11.297591077887471</v>
      </c>
      <c r="H267" s="360">
        <f t="shared" ca="1" si="128"/>
        <v>-5.0905570289268418</v>
      </c>
      <c r="I267" s="357">
        <f t="shared" ca="1" si="129"/>
        <v>12.391502533103848</v>
      </c>
      <c r="J267" s="359">
        <f t="shared" ca="1" si="130"/>
        <v>111.72700953050439</v>
      </c>
      <c r="K267" s="360">
        <f t="shared" ca="1" si="131"/>
        <v>309.42664449891976</v>
      </c>
      <c r="L267" s="357">
        <f t="shared" ca="1" si="116"/>
        <v>328.97989753857343</v>
      </c>
      <c r="M267" s="359">
        <f t="shared" ca="1" si="132"/>
        <v>-0.42334265709624386</v>
      </c>
      <c r="N267" s="357">
        <f t="shared" ca="1" si="133"/>
        <v>-24.255747539468803</v>
      </c>
      <c r="O267" s="343"/>
      <c r="P267" s="363">
        <f t="shared" ca="1" si="134"/>
        <v>23</v>
      </c>
      <c r="Q267" s="357">
        <f t="shared" ca="1" si="135"/>
        <v>0</v>
      </c>
      <c r="R267" s="359">
        <f t="shared" ca="1" si="136"/>
        <v>0</v>
      </c>
      <c r="S267" s="360">
        <f t="shared" ca="1" si="137"/>
        <v>0.42898953648292248</v>
      </c>
      <c r="T267" s="357">
        <f t="shared" ca="1" si="117"/>
        <v>4.2083873528974696</v>
      </c>
      <c r="U267" s="364">
        <f t="shared" ca="1" si="118"/>
        <v>0</v>
      </c>
      <c r="V267" s="359">
        <f t="shared" ca="1" si="119"/>
        <v>1.1876727385124046</v>
      </c>
      <c r="W267" s="357">
        <f t="shared" ca="1" si="120"/>
        <v>0.16075462381399103</v>
      </c>
      <c r="X267" s="343"/>
      <c r="Y267" s="367" t="str">
        <f t="shared" ca="1" si="138"/>
        <v/>
      </c>
      <c r="Z267" s="368" t="str">
        <f t="shared" ca="1" si="139"/>
        <v/>
      </c>
      <c r="AA267" s="369" t="str">
        <f t="shared" ca="1" si="140"/>
        <v/>
      </c>
      <c r="AB267" s="344"/>
      <c r="AC267" s="363" t="e">
        <f t="shared" ca="1" si="141"/>
        <v>#N/A</v>
      </c>
      <c r="AD267" s="376" t="e">
        <f t="shared" ca="1" si="142"/>
        <v>#N/A</v>
      </c>
      <c r="AE267" s="377" t="e">
        <f t="shared" ca="1" si="121"/>
        <v>#N/A</v>
      </c>
      <c r="AF267" s="344"/>
      <c r="AG267" s="359">
        <f t="shared" ca="1" si="143"/>
        <v>2.9986954997799242</v>
      </c>
      <c r="AH267" s="357">
        <f t="shared" ca="1" si="144"/>
        <v>-0.35477119664266116</v>
      </c>
    </row>
    <row r="268" spans="1:34">
      <c r="A268" s="402">
        <f t="shared" ca="1" si="122"/>
        <v>0.1</v>
      </c>
      <c r="B268" s="357">
        <f t="shared" ca="1" si="123"/>
        <v>8.3999999999999879</v>
      </c>
      <c r="C268" s="342"/>
      <c r="D268" s="359">
        <f t="shared" ca="1" si="124"/>
        <v>-0.34164782104897334</v>
      </c>
      <c r="E268" s="360">
        <f t="shared" ca="1" si="125"/>
        <v>-9.6560576502664848</v>
      </c>
      <c r="F268" s="357">
        <f t="shared" ca="1" si="126"/>
        <v>9.6620998017458621</v>
      </c>
      <c r="G268" s="359">
        <f t="shared" ca="1" si="127"/>
        <v>11.263426295782574</v>
      </c>
      <c r="H268" s="360">
        <f t="shared" ca="1" si="128"/>
        <v>-6.0561627939534901</v>
      </c>
      <c r="I268" s="357">
        <f t="shared" ca="1" si="129"/>
        <v>12.788349373839962</v>
      </c>
      <c r="J268" s="359">
        <f t="shared" ca="1" si="130"/>
        <v>112.85506039918789</v>
      </c>
      <c r="K268" s="360">
        <f t="shared" ca="1" si="131"/>
        <v>308.86930850777571</v>
      </c>
      <c r="L268" s="357">
        <f t="shared" ca="1" si="116"/>
        <v>328.8411689490473</v>
      </c>
      <c r="M268" s="359">
        <f t="shared" ca="1" si="132"/>
        <v>-0.49333831239207304</v>
      </c>
      <c r="N268" s="357">
        <f t="shared" ca="1" si="133"/>
        <v>-28.266203172172347</v>
      </c>
      <c r="O268" s="343"/>
      <c r="P268" s="363">
        <f t="shared" ca="1" si="134"/>
        <v>23</v>
      </c>
      <c r="Q268" s="357">
        <f t="shared" ca="1" si="135"/>
        <v>0</v>
      </c>
      <c r="R268" s="359">
        <f t="shared" ca="1" si="136"/>
        <v>0</v>
      </c>
      <c r="S268" s="360">
        <f t="shared" ca="1" si="137"/>
        <v>0.42898953648292248</v>
      </c>
      <c r="T268" s="357">
        <f t="shared" ca="1" si="117"/>
        <v>4.2083873528974696</v>
      </c>
      <c r="U268" s="364">
        <f t="shared" ca="1" si="118"/>
        <v>0</v>
      </c>
      <c r="V268" s="359">
        <f t="shared" ca="1" si="119"/>
        <v>1.1877389494536241</v>
      </c>
      <c r="W268" s="357">
        <f t="shared" ca="1" si="120"/>
        <v>0.17122561279135731</v>
      </c>
      <c r="X268" s="343"/>
      <c r="Y268" s="367" t="str">
        <f t="shared" ca="1" si="138"/>
        <v/>
      </c>
      <c r="Z268" s="368" t="str">
        <f t="shared" ca="1" si="139"/>
        <v/>
      </c>
      <c r="AA268" s="369" t="str">
        <f t="shared" ca="1" si="140"/>
        <v/>
      </c>
      <c r="AB268" s="344"/>
      <c r="AC268" s="363" t="e">
        <f t="shared" ca="1" si="141"/>
        <v>#N/A</v>
      </c>
      <c r="AD268" s="376" t="e">
        <f t="shared" ca="1" si="142"/>
        <v>#N/A</v>
      </c>
      <c r="AE268" s="377" t="e">
        <f t="shared" ca="1" si="121"/>
        <v>#N/A</v>
      </c>
      <c r="AF268" s="344"/>
      <c r="AG268" s="359">
        <f t="shared" ca="1" si="143"/>
        <v>3.6553206237434974</v>
      </c>
      <c r="AH268" s="357">
        <f t="shared" ca="1" si="144"/>
        <v>-0.37472854263985167</v>
      </c>
    </row>
    <row r="269" spans="1:34">
      <c r="A269" s="402">
        <f t="shared" ca="1" si="122"/>
        <v>0.1</v>
      </c>
      <c r="B269" s="357">
        <f t="shared" ca="1" si="123"/>
        <v>8.4999999999999876</v>
      </c>
      <c r="C269" s="342"/>
      <c r="D269" s="359">
        <f t="shared" ca="1" si="124"/>
        <v>-0.35154267955198798</v>
      </c>
      <c r="E269" s="360">
        <f t="shared" ca="1" si="125"/>
        <v>-9.6209811667887752</v>
      </c>
      <c r="F269" s="357">
        <f t="shared" ca="1" si="126"/>
        <v>9.6274015636230157</v>
      </c>
      <c r="G269" s="359">
        <f t="shared" ca="1" si="127"/>
        <v>11.228272027827376</v>
      </c>
      <c r="H269" s="360">
        <f t="shared" ca="1" si="128"/>
        <v>-7.0182609106323675</v>
      </c>
      <c r="I269" s="357">
        <f t="shared" ca="1" si="129"/>
        <v>13.241226489287198</v>
      </c>
      <c r="J269" s="359">
        <f t="shared" ca="1" si="130"/>
        <v>113.97964531536839</v>
      </c>
      <c r="K269" s="360">
        <f t="shared" ca="1" si="131"/>
        <v>308.21558732254641</v>
      </c>
      <c r="L269" s="357">
        <f t="shared" ca="1" si="116"/>
        <v>328.61559277490079</v>
      </c>
      <c r="M269" s="359">
        <f t="shared" ca="1" si="132"/>
        <v>-0.55863715749255904</v>
      </c>
      <c r="N269" s="357">
        <f t="shared" ca="1" si="133"/>
        <v>-32.007551403508707</v>
      </c>
      <c r="O269" s="343"/>
      <c r="P269" s="363">
        <f t="shared" ca="1" si="134"/>
        <v>23</v>
      </c>
      <c r="Q269" s="357">
        <f t="shared" ca="1" si="135"/>
        <v>0</v>
      </c>
      <c r="R269" s="359">
        <f t="shared" ca="1" si="136"/>
        <v>0</v>
      </c>
      <c r="S269" s="360">
        <f t="shared" ca="1" si="137"/>
        <v>0.42898953648292248</v>
      </c>
      <c r="T269" s="357">
        <f t="shared" ca="1" si="117"/>
        <v>4.2083873528974696</v>
      </c>
      <c r="U269" s="364">
        <f t="shared" ca="1" si="118"/>
        <v>0</v>
      </c>
      <c r="V269" s="359">
        <f t="shared" ca="1" si="119"/>
        <v>1.1878166154877918</v>
      </c>
      <c r="W269" s="357">
        <f t="shared" ca="1" si="120"/>
        <v>0.18357966368509887</v>
      </c>
      <c r="X269" s="343"/>
      <c r="Y269" s="367" t="str">
        <f t="shared" ca="1" si="138"/>
        <v/>
      </c>
      <c r="Z269" s="368" t="str">
        <f t="shared" ca="1" si="139"/>
        <v/>
      </c>
      <c r="AA269" s="369" t="str">
        <f t="shared" ca="1" si="140"/>
        <v/>
      </c>
      <c r="AB269" s="344"/>
      <c r="AC269" s="363" t="e">
        <f t="shared" ca="1" si="141"/>
        <v>#N/A</v>
      </c>
      <c r="AD269" s="376" t="e">
        <f t="shared" ca="1" si="142"/>
        <v>#N/A</v>
      </c>
      <c r="AE269" s="377" t="e">
        <f t="shared" ca="1" si="121"/>
        <v>#N/A</v>
      </c>
      <c r="AF269" s="344"/>
      <c r="AG269" s="359">
        <f t="shared" ca="1" si="143"/>
        <v>4.2465725274731847</v>
      </c>
      <c r="AH269" s="357">
        <f t="shared" ca="1" si="144"/>
        <v>-0.39913703768896841</v>
      </c>
    </row>
    <row r="270" spans="1:34">
      <c r="A270" s="402">
        <f t="shared" ca="1" si="122"/>
        <v>0.1</v>
      </c>
      <c r="B270" s="357">
        <f t="shared" ca="1" si="123"/>
        <v>8.5999999999999872</v>
      </c>
      <c r="C270" s="342"/>
      <c r="D270" s="359">
        <f t="shared" ca="1" si="124"/>
        <v>-0.36287962333767054</v>
      </c>
      <c r="E270" s="360">
        <f t="shared" ca="1" si="125"/>
        <v>-9.5831811386984569</v>
      </c>
      <c r="F270" s="357">
        <f t="shared" ca="1" si="126"/>
        <v>9.5900491322067563</v>
      </c>
      <c r="G270" s="359">
        <f t="shared" ca="1" si="127"/>
        <v>11.19198406549361</v>
      </c>
      <c r="H270" s="360">
        <f t="shared" ca="1" si="128"/>
        <v>-7.9765790245022128</v>
      </c>
      <c r="I270" s="357">
        <f t="shared" ca="1" si="129"/>
        <v>13.743591970674608</v>
      </c>
      <c r="J270" s="359">
        <f t="shared" ca="1" si="130"/>
        <v>115.10065812003444</v>
      </c>
      <c r="K270" s="360">
        <f t="shared" ca="1" si="131"/>
        <v>307.4658453257897</v>
      </c>
      <c r="L270" s="357">
        <f t="shared" ca="1" si="116"/>
        <v>328.30383418651616</v>
      </c>
      <c r="M270" s="359">
        <f t="shared" ca="1" si="132"/>
        <v>-0.61920177829021483</v>
      </c>
      <c r="N270" s="357">
        <f t="shared" ca="1" si="133"/>
        <v>-35.477648563024637</v>
      </c>
      <c r="O270" s="343"/>
      <c r="P270" s="363">
        <f t="shared" ca="1" si="134"/>
        <v>23</v>
      </c>
      <c r="Q270" s="357">
        <f t="shared" ca="1" si="135"/>
        <v>0</v>
      </c>
      <c r="R270" s="359">
        <f t="shared" ca="1" si="136"/>
        <v>0</v>
      </c>
      <c r="S270" s="360">
        <f t="shared" ca="1" si="137"/>
        <v>0.42898953648292248</v>
      </c>
      <c r="T270" s="357">
        <f t="shared" ca="1" si="117"/>
        <v>4.2083873528974696</v>
      </c>
      <c r="U270" s="364">
        <f t="shared" ca="1" si="118"/>
        <v>0</v>
      </c>
      <c r="V270" s="359">
        <f t="shared" ca="1" si="119"/>
        <v>1.1879056955315981</v>
      </c>
      <c r="W270" s="357">
        <f t="shared" ca="1" si="120"/>
        <v>0.19778858169911995</v>
      </c>
      <c r="X270" s="343"/>
      <c r="Y270" s="367" t="str">
        <f t="shared" ca="1" si="138"/>
        <v/>
      </c>
      <c r="Z270" s="368" t="str">
        <f t="shared" ca="1" si="139"/>
        <v/>
      </c>
      <c r="AA270" s="369" t="str">
        <f t="shared" ca="1" si="140"/>
        <v/>
      </c>
      <c r="AB270" s="344"/>
      <c r="AC270" s="363" t="e">
        <f t="shared" ca="1" si="141"/>
        <v>#N/A</v>
      </c>
      <c r="AD270" s="376" t="e">
        <f t="shared" ca="1" si="142"/>
        <v>#N/A</v>
      </c>
      <c r="AE270" s="377" t="e">
        <f t="shared" ca="1" si="121"/>
        <v>#N/A</v>
      </c>
      <c r="AF270" s="344"/>
      <c r="AG270" s="359">
        <f t="shared" ca="1" si="143"/>
        <v>4.7716693398578913</v>
      </c>
      <c r="AH270" s="357">
        <f t="shared" ca="1" si="144"/>
        <v>-0.42793506151730332</v>
      </c>
    </row>
    <row r="271" spans="1:34">
      <c r="A271" s="402">
        <f t="shared" ca="1" si="122"/>
        <v>0.1</v>
      </c>
      <c r="B271" s="357">
        <f t="shared" ca="1" si="123"/>
        <v>8.6999999999999869</v>
      </c>
      <c r="C271" s="342"/>
      <c r="D271" s="359">
        <f t="shared" ca="1" si="124"/>
        <v>-0.37545798663850699</v>
      </c>
      <c r="E271" s="360">
        <f t="shared" ca="1" si="125"/>
        <v>-9.5424093491129849</v>
      </c>
      <c r="F271" s="357">
        <f t="shared" ca="1" si="126"/>
        <v>9.5497929237114629</v>
      </c>
      <c r="G271" s="359">
        <f t="shared" ca="1" si="127"/>
        <v>11.154438266829759</v>
      </c>
      <c r="H271" s="360">
        <f t="shared" ca="1" si="128"/>
        <v>-8.9308199594135118</v>
      </c>
      <c r="I271" s="357">
        <f t="shared" ca="1" si="129"/>
        <v>14.289193056151731</v>
      </c>
      <c r="J271" s="359">
        <f t="shared" ca="1" si="130"/>
        <v>116.21797923665061</v>
      </c>
      <c r="K271" s="360">
        <f t="shared" ca="1" si="131"/>
        <v>306.6204753765939</v>
      </c>
      <c r="L271" s="357">
        <f t="shared" ca="1" si="116"/>
        <v>327.90659434970041</v>
      </c>
      <c r="M271" s="359">
        <f t="shared" ca="1" si="132"/>
        <v>-0.67513819388389251</v>
      </c>
      <c r="N271" s="357">
        <f t="shared" ca="1" si="133"/>
        <v>-38.682569097632133</v>
      </c>
      <c r="O271" s="343"/>
      <c r="P271" s="363">
        <f t="shared" ca="1" si="134"/>
        <v>23</v>
      </c>
      <c r="Q271" s="357">
        <f t="shared" ca="1" si="135"/>
        <v>0</v>
      </c>
      <c r="R271" s="359">
        <f t="shared" ca="1" si="136"/>
        <v>0</v>
      </c>
      <c r="S271" s="360">
        <f t="shared" ca="1" si="137"/>
        <v>0.42898953648292248</v>
      </c>
      <c r="T271" s="357">
        <f t="shared" ca="1" si="117"/>
        <v>4.2083873528974696</v>
      </c>
      <c r="U271" s="364">
        <f t="shared" ca="1" si="118"/>
        <v>0</v>
      </c>
      <c r="V271" s="359">
        <f t="shared" ca="1" si="119"/>
        <v>1.1880061454300797</v>
      </c>
      <c r="W271" s="357">
        <f t="shared" ca="1" si="120"/>
        <v>0.21382222306166362</v>
      </c>
      <c r="X271" s="343"/>
      <c r="Y271" s="367" t="str">
        <f t="shared" ca="1" si="138"/>
        <v/>
      </c>
      <c r="Z271" s="368" t="str">
        <f t="shared" ca="1" si="139"/>
        <v/>
      </c>
      <c r="AA271" s="369" t="str">
        <f t="shared" ca="1" si="140"/>
        <v/>
      </c>
      <c r="AB271" s="344"/>
      <c r="AC271" s="363" t="e">
        <f t="shared" ca="1" si="141"/>
        <v>#N/A</v>
      </c>
      <c r="AD271" s="376" t="e">
        <f t="shared" ca="1" si="142"/>
        <v>#N/A</v>
      </c>
      <c r="AE271" s="377" t="e">
        <f t="shared" ca="1" si="121"/>
        <v>#N/A</v>
      </c>
      <c r="AF271" s="344"/>
      <c r="AG271" s="359">
        <f t="shared" ca="1" si="143"/>
        <v>5.2325230992795593</v>
      </c>
      <c r="AH271" s="357">
        <f t="shared" ca="1" si="144"/>
        <v>-0.46105689038640141</v>
      </c>
    </row>
    <row r="272" spans="1:34">
      <c r="A272" s="402">
        <f t="shared" ca="1" si="122"/>
        <v>0.1</v>
      </c>
      <c r="B272" s="357">
        <f t="shared" ca="1" si="123"/>
        <v>8.7999999999999865</v>
      </c>
      <c r="C272" s="342"/>
      <c r="D272" s="359">
        <f t="shared" ca="1" si="124"/>
        <v>-0.38908648118168965</v>
      </c>
      <c r="E272" s="360">
        <f t="shared" ca="1" si="125"/>
        <v>-9.4984772474460968</v>
      </c>
      <c r="F272" s="357">
        <f t="shared" ca="1" si="126"/>
        <v>9.5064429893672386</v>
      </c>
      <c r="G272" s="359">
        <f t="shared" ca="1" si="127"/>
        <v>11.115529618711591</v>
      </c>
      <c r="H272" s="360">
        <f t="shared" ca="1" si="128"/>
        <v>-9.8806676841581211</v>
      </c>
      <c r="I272" s="357">
        <f t="shared" ca="1" si="129"/>
        <v>14.872208732707501</v>
      </c>
      <c r="J272" s="359">
        <f t="shared" ca="1" si="130"/>
        <v>117.33147763092768</v>
      </c>
      <c r="K272" s="360">
        <f t="shared" ca="1" si="131"/>
        <v>305.67990099441533</v>
      </c>
      <c r="L272" s="357">
        <f t="shared" ca="1" si="116"/>
        <v>327.42461348379481</v>
      </c>
      <c r="M272" s="359">
        <f t="shared" ca="1" si="132"/>
        <v>-0.72665223657842903</v>
      </c>
      <c r="N272" s="357">
        <f t="shared" ca="1" si="133"/>
        <v>-41.634106329685807</v>
      </c>
      <c r="O272" s="343"/>
      <c r="P272" s="363">
        <f t="shared" ca="1" si="134"/>
        <v>23</v>
      </c>
      <c r="Q272" s="357">
        <f t="shared" ca="1" si="135"/>
        <v>0</v>
      </c>
      <c r="R272" s="359">
        <f t="shared" ca="1" si="136"/>
        <v>0</v>
      </c>
      <c r="S272" s="360">
        <f t="shared" ca="1" si="137"/>
        <v>0.42898953648292248</v>
      </c>
      <c r="T272" s="357">
        <f t="shared" ca="1" si="117"/>
        <v>4.2083873528974696</v>
      </c>
      <c r="U272" s="364">
        <f t="shared" ca="1" si="118"/>
        <v>0</v>
      </c>
      <c r="V272" s="359">
        <f t="shared" ca="1" si="119"/>
        <v>1.188117917691609</v>
      </c>
      <c r="W272" s="357">
        <f t="shared" ca="1" si="120"/>
        <v>0.23164836288943294</v>
      </c>
      <c r="X272" s="343"/>
      <c r="Y272" s="367" t="str">
        <f t="shared" ca="1" si="138"/>
        <v/>
      </c>
      <c r="Z272" s="368" t="str">
        <f t="shared" ca="1" si="139"/>
        <v/>
      </c>
      <c r="AA272" s="369" t="str">
        <f t="shared" ca="1" si="140"/>
        <v/>
      </c>
      <c r="AB272" s="344"/>
      <c r="AC272" s="363" t="e">
        <f t="shared" ca="1" si="141"/>
        <v>#N/A</v>
      </c>
      <c r="AD272" s="376" t="e">
        <f t="shared" ca="1" si="142"/>
        <v>#N/A</v>
      </c>
      <c r="AE272" s="377" t="e">
        <f t="shared" ca="1" si="121"/>
        <v>#N/A</v>
      </c>
      <c r="AF272" s="344"/>
      <c r="AG272" s="359">
        <f t="shared" ca="1" si="143"/>
        <v>5.632868751540566</v>
      </c>
      <c r="AH272" s="357">
        <f t="shared" ca="1" si="144"/>
        <v>-0.49843225738018815</v>
      </c>
    </row>
    <row r="273" spans="1:34">
      <c r="A273" s="402">
        <f t="shared" ca="1" si="122"/>
        <v>0.1</v>
      </c>
      <c r="B273" s="357">
        <f t="shared" ca="1" si="123"/>
        <v>8.8999999999999861</v>
      </c>
      <c r="C273" s="342"/>
      <c r="D273" s="359">
        <f t="shared" ca="1" si="124"/>
        <v>-0.40358705139002077</v>
      </c>
      <c r="E273" s="360">
        <f t="shared" ca="1" si="125"/>
        <v>-9.4512488047621925</v>
      </c>
      <c r="F273" s="357">
        <f t="shared" ca="1" si="126"/>
        <v>9.4598618635563838</v>
      </c>
      <c r="G273" s="359">
        <f t="shared" ca="1" si="127"/>
        <v>11.075170913572588</v>
      </c>
      <c r="H273" s="360">
        <f t="shared" ca="1" si="128"/>
        <v>-10.825792564634341</v>
      </c>
      <c r="I273" s="357">
        <f t="shared" ca="1" si="129"/>
        <v>15.487323700928332</v>
      </c>
      <c r="J273" s="359">
        <f t="shared" ca="1" si="130"/>
        <v>118.44101265754189</v>
      </c>
      <c r="K273" s="360">
        <f t="shared" ca="1" si="131"/>
        <v>304.64457798197571</v>
      </c>
      <c r="L273" s="357">
        <f t="shared" ca="1" si="116"/>
        <v>326.85867339441995</v>
      </c>
      <c r="M273" s="359">
        <f t="shared" ca="1" si="132"/>
        <v>-0.77401201720054769</v>
      </c>
      <c r="N273" s="357">
        <f t="shared" ca="1" si="133"/>
        <v>-44.347621877998662</v>
      </c>
      <c r="O273" s="343"/>
      <c r="P273" s="363">
        <f t="shared" ca="1" si="134"/>
        <v>23</v>
      </c>
      <c r="Q273" s="357">
        <f t="shared" ca="1" si="135"/>
        <v>0</v>
      </c>
      <c r="R273" s="359">
        <f t="shared" ca="1" si="136"/>
        <v>0</v>
      </c>
      <c r="S273" s="360">
        <f t="shared" ca="1" si="137"/>
        <v>0.42898953648292248</v>
      </c>
      <c r="T273" s="357">
        <f t="shared" ca="1" si="117"/>
        <v>4.2083873528974696</v>
      </c>
      <c r="U273" s="364">
        <f t="shared" ca="1" si="118"/>
        <v>0</v>
      </c>
      <c r="V273" s="359">
        <f t="shared" ca="1" si="119"/>
        <v>1.1882409612889653</v>
      </c>
      <c r="W273" s="357">
        <f t="shared" ca="1" si="120"/>
        <v>0.25123261351138659</v>
      </c>
      <c r="X273" s="343"/>
      <c r="Y273" s="367" t="str">
        <f t="shared" ca="1" si="138"/>
        <v/>
      </c>
      <c r="Z273" s="368" t="str">
        <f t="shared" ca="1" si="139"/>
        <v/>
      </c>
      <c r="AA273" s="369" t="str">
        <f t="shared" ca="1" si="140"/>
        <v/>
      </c>
      <c r="AB273" s="344"/>
      <c r="AC273" s="363" t="e">
        <f t="shared" ca="1" si="141"/>
        <v>#N/A</v>
      </c>
      <c r="AD273" s="376" t="e">
        <f t="shared" ca="1" si="142"/>
        <v>#N/A</v>
      </c>
      <c r="AE273" s="377" t="e">
        <f t="shared" ca="1" si="121"/>
        <v>#N/A</v>
      </c>
      <c r="AF273" s="344"/>
      <c r="AG273" s="359">
        <f t="shared" ca="1" si="143"/>
        <v>5.9774957717738761</v>
      </c>
      <c r="AH273" s="357">
        <f t="shared" ca="1" si="144"/>
        <v>-0.53998604438841491</v>
      </c>
    </row>
    <row r="274" spans="1:34">
      <c r="A274" s="402">
        <f t="shared" ca="1" si="122"/>
        <v>0.1</v>
      </c>
      <c r="B274" s="357">
        <f t="shared" ca="1" si="123"/>
        <v>8.9999999999999858</v>
      </c>
      <c r="C274" s="342"/>
      <c r="D274" s="359">
        <f t="shared" ca="1" si="124"/>
        <v>-0.4187968227750567</v>
      </c>
      <c r="E274" s="360">
        <f t="shared" ca="1" si="125"/>
        <v>-9.4006331770885332</v>
      </c>
      <c r="F274" s="357">
        <f t="shared" ca="1" si="126"/>
        <v>9.4099572214194538</v>
      </c>
      <c r="G274" s="359">
        <f t="shared" ca="1" si="127"/>
        <v>11.033291231295083</v>
      </c>
      <c r="H274" s="360">
        <f t="shared" ca="1" si="128"/>
        <v>-11.765855882343194</v>
      </c>
      <c r="I274" s="357">
        <f t="shared" ca="1" si="129"/>
        <v>16.129751394198326</v>
      </c>
      <c r="J274" s="359">
        <f t="shared" ca="1" si="130"/>
        <v>119.54643576478527</v>
      </c>
      <c r="K274" s="360">
        <f t="shared" ca="1" si="131"/>
        <v>303.51499555962681</v>
      </c>
      <c r="L274" s="357">
        <f t="shared" ca="1" si="116"/>
        <v>326.20959954241727</v>
      </c>
      <c r="M274" s="359">
        <f t="shared" ca="1" si="132"/>
        <v>-0.81751834314070071</v>
      </c>
      <c r="N274" s="357">
        <f t="shared" ca="1" si="133"/>
        <v>-46.840350736489967</v>
      </c>
      <c r="O274" s="343"/>
      <c r="P274" s="363">
        <f t="shared" ca="1" si="134"/>
        <v>23</v>
      </c>
      <c r="Q274" s="357">
        <f t="shared" ca="1" si="135"/>
        <v>0</v>
      </c>
      <c r="R274" s="359">
        <f t="shared" ca="1" si="136"/>
        <v>0</v>
      </c>
      <c r="S274" s="360">
        <f t="shared" ca="1" si="137"/>
        <v>0.42898953648292248</v>
      </c>
      <c r="T274" s="357">
        <f t="shared" ca="1" si="117"/>
        <v>4.2083873528974696</v>
      </c>
      <c r="U274" s="364">
        <f t="shared" ca="1" si="118"/>
        <v>0</v>
      </c>
      <c r="V274" s="359">
        <f t="shared" ca="1" si="119"/>
        <v>1.1883752215178645</v>
      </c>
      <c r="W274" s="357">
        <f t="shared" ca="1" si="120"/>
        <v>0.27253838675213682</v>
      </c>
      <c r="X274" s="343"/>
      <c r="Y274" s="367" t="str">
        <f t="shared" ca="1" si="138"/>
        <v/>
      </c>
      <c r="Z274" s="368" t="str">
        <f t="shared" ca="1" si="139"/>
        <v/>
      </c>
      <c r="AA274" s="369" t="str">
        <f t="shared" ca="1" si="140"/>
        <v/>
      </c>
      <c r="AB274" s="344"/>
      <c r="AC274" s="363">
        <f t="shared" ca="1" si="141"/>
        <v>8.9999999999999858</v>
      </c>
      <c r="AD274" s="376">
        <f t="shared" ca="1" si="142"/>
        <v>119.54643576478527</v>
      </c>
      <c r="AE274" s="377" t="e">
        <f t="shared" ca="1" si="121"/>
        <v>#N/A</v>
      </c>
      <c r="AF274" s="344"/>
      <c r="AG274" s="359">
        <f t="shared" ca="1" si="143"/>
        <v>6.271649010297554</v>
      </c>
      <c r="AH274" s="357">
        <f t="shared" ca="1" si="144"/>
        <v>-0.58563809171459325</v>
      </c>
    </row>
    <row r="275" spans="1:34">
      <c r="A275" s="402">
        <f t="shared" ca="1" si="122"/>
        <v>0.1</v>
      </c>
      <c r="B275" s="357">
        <f t="shared" ca="1" si="123"/>
        <v>9.0999999999999854</v>
      </c>
      <c r="C275" s="342"/>
      <c r="D275" s="359">
        <f t="shared" ca="1" si="124"/>
        <v>-0.43456864667014694</v>
      </c>
      <c r="E275" s="360">
        <f t="shared" ca="1" si="125"/>
        <v>-9.3465778025324813</v>
      </c>
      <c r="F275" s="357">
        <f t="shared" ca="1" si="126"/>
        <v>9.3566749717761191</v>
      </c>
      <c r="G275" s="359">
        <f t="shared" ca="1" si="127"/>
        <v>10.989834366628068</v>
      </c>
      <c r="H275" s="360">
        <f t="shared" ca="1" si="128"/>
        <v>-12.700513662596443</v>
      </c>
      <c r="I275" s="357">
        <f t="shared" ca="1" si="129"/>
        <v>16.795222734447979</v>
      </c>
      <c r="J275" s="359">
        <f t="shared" ca="1" si="130"/>
        <v>120.64759204468143</v>
      </c>
      <c r="K275" s="360">
        <f t="shared" ca="1" si="131"/>
        <v>302.29167708237981</v>
      </c>
      <c r="L275" s="357">
        <f t="shared" ca="1" si="116"/>
        <v>325.47826271420593</v>
      </c>
      <c r="M275" s="359">
        <f t="shared" ca="1" si="132"/>
        <v>-0.85748301590898479</v>
      </c>
      <c r="N275" s="357">
        <f t="shared" ca="1" si="133"/>
        <v>-49.130157815734051</v>
      </c>
      <c r="O275" s="343"/>
      <c r="P275" s="363">
        <f t="shared" ca="1" si="134"/>
        <v>23</v>
      </c>
      <c r="Q275" s="357">
        <f t="shared" ca="1" si="135"/>
        <v>0</v>
      </c>
      <c r="R275" s="359">
        <f t="shared" ca="1" si="136"/>
        <v>0</v>
      </c>
      <c r="S275" s="360">
        <f t="shared" ca="1" si="137"/>
        <v>0.42898953648292248</v>
      </c>
      <c r="T275" s="357">
        <f t="shared" ca="1" si="117"/>
        <v>4.2083873528974696</v>
      </c>
      <c r="U275" s="364">
        <f t="shared" ca="1" si="118"/>
        <v>0</v>
      </c>
      <c r="V275" s="359">
        <f t="shared" ca="1" si="119"/>
        <v>1.1885206399045163</v>
      </c>
      <c r="W275" s="357">
        <f t="shared" ca="1" si="120"/>
        <v>0.29552689383687336</v>
      </c>
      <c r="X275" s="343"/>
      <c r="Y275" s="367" t="str">
        <f t="shared" ca="1" si="138"/>
        <v/>
      </c>
      <c r="Z275" s="368" t="str">
        <f t="shared" ca="1" si="139"/>
        <v/>
      </c>
      <c r="AA275" s="369" t="str">
        <f t="shared" ca="1" si="140"/>
        <v/>
      </c>
      <c r="AB275" s="344"/>
      <c r="AC275" s="363" t="e">
        <f t="shared" ca="1" si="141"/>
        <v>#N/A</v>
      </c>
      <c r="AD275" s="376" t="e">
        <f t="shared" ca="1" si="142"/>
        <v>#N/A</v>
      </c>
      <c r="AE275" s="377" t="e">
        <f t="shared" ca="1" si="121"/>
        <v>#N/A</v>
      </c>
      <c r="AF275" s="344"/>
      <c r="AG275" s="359">
        <f t="shared" ca="1" si="143"/>
        <v>6.5206066980569863</v>
      </c>
      <c r="AH275" s="357">
        <f t="shared" ca="1" si="144"/>
        <v>-0.63530311015636209</v>
      </c>
    </row>
    <row r="276" spans="1:34">
      <c r="A276" s="402">
        <f t="shared" ca="1" si="122"/>
        <v>0.1</v>
      </c>
      <c r="B276" s="357">
        <f t="shared" ca="1" si="123"/>
        <v>9.1999999999999851</v>
      </c>
      <c r="C276" s="342"/>
      <c r="D276" s="359">
        <f t="shared" ca="1" si="124"/>
        <v>-0.45077071011390285</v>
      </c>
      <c r="E276" s="360">
        <f t="shared" ca="1" si="125"/>
        <v>-9.2890622523043103</v>
      </c>
      <c r="F276" s="357">
        <f t="shared" ca="1" si="126"/>
        <v>9.2999931053889178</v>
      </c>
      <c r="G276" s="359">
        <f t="shared" ca="1" si="127"/>
        <v>10.944757295616679</v>
      </c>
      <c r="H276" s="360">
        <f t="shared" ca="1" si="128"/>
        <v>-13.629419887826874</v>
      </c>
      <c r="I276" s="357">
        <f t="shared" ca="1" si="129"/>
        <v>17.479954197269659</v>
      </c>
      <c r="J276" s="359">
        <f t="shared" ca="1" si="130"/>
        <v>121.74432162779367</v>
      </c>
      <c r="K276" s="360">
        <f t="shared" ca="1" si="131"/>
        <v>300.97518040485863</v>
      </c>
      <c r="L276" s="357">
        <f t="shared" ca="1" si="116"/>
        <v>324.66558035669391</v>
      </c>
      <c r="M276" s="359">
        <f t="shared" ca="1" si="132"/>
        <v>-0.89421393167425822</v>
      </c>
      <c r="N276" s="357">
        <f t="shared" ca="1" si="133"/>
        <v>-51.23468426673476</v>
      </c>
      <c r="O276" s="343"/>
      <c r="P276" s="363">
        <f t="shared" ca="1" si="134"/>
        <v>23</v>
      </c>
      <c r="Q276" s="357">
        <f t="shared" ca="1" si="135"/>
        <v>0</v>
      </c>
      <c r="R276" s="359">
        <f t="shared" ca="1" si="136"/>
        <v>0</v>
      </c>
      <c r="S276" s="360">
        <f t="shared" ca="1" si="137"/>
        <v>0.42898953648292248</v>
      </c>
      <c r="T276" s="357">
        <f t="shared" ca="1" si="117"/>
        <v>4.2083873528974696</v>
      </c>
      <c r="U276" s="364">
        <f t="shared" ca="1" si="118"/>
        <v>0</v>
      </c>
      <c r="V276" s="359">
        <f t="shared" ca="1" si="119"/>
        <v>1.1886771541544641</v>
      </c>
      <c r="W276" s="357">
        <f t="shared" ca="1" si="120"/>
        <v>0.32015717709434066</v>
      </c>
      <c r="X276" s="343"/>
      <c r="Y276" s="367" t="str">
        <f t="shared" ca="1" si="138"/>
        <v/>
      </c>
      <c r="Z276" s="368" t="str">
        <f t="shared" ca="1" si="139"/>
        <v/>
      </c>
      <c r="AA276" s="369" t="str">
        <f t="shared" ca="1" si="140"/>
        <v/>
      </c>
      <c r="AB276" s="344"/>
      <c r="AC276" s="363" t="e">
        <f t="shared" ca="1" si="141"/>
        <v>#N/A</v>
      </c>
      <c r="AD276" s="376" t="e">
        <f t="shared" ca="1" si="142"/>
        <v>#N/A</v>
      </c>
      <c r="AE276" s="377" t="e">
        <f t="shared" ca="1" si="121"/>
        <v>#N/A</v>
      </c>
      <c r="AF276" s="344"/>
      <c r="AG276" s="359">
        <f t="shared" ca="1" si="143"/>
        <v>6.7294115948105899</v>
      </c>
      <c r="AH276" s="357">
        <f t="shared" ca="1" si="144"/>
        <v>-0.68889068078386084</v>
      </c>
    </row>
    <row r="277" spans="1:34">
      <c r="A277" s="402">
        <f t="shared" ca="1" si="122"/>
        <v>0.1</v>
      </c>
      <c r="B277" s="357">
        <f t="shared" ca="1" si="123"/>
        <v>9.2999999999999847</v>
      </c>
      <c r="C277" s="342"/>
      <c r="D277" s="359">
        <f t="shared" ca="1" si="124"/>
        <v>-0.46728558899019695</v>
      </c>
      <c r="E277" s="360">
        <f t="shared" ca="1" si="125"/>
        <v>-9.2280929436938202</v>
      </c>
      <c r="F277" s="357">
        <f t="shared" ca="1" si="126"/>
        <v>9.239916406501175</v>
      </c>
      <c r="G277" s="359">
        <f t="shared" ca="1" si="127"/>
        <v>10.898028736717659</v>
      </c>
      <c r="H277" s="360">
        <f t="shared" ca="1" si="128"/>
        <v>-14.552229182196255</v>
      </c>
      <c r="I277" s="357">
        <f t="shared" ca="1" si="129"/>
        <v>18.180605174676892</v>
      </c>
      <c r="J277" s="359">
        <f t="shared" ca="1" si="130"/>
        <v>122.83646092941038</v>
      </c>
      <c r="K277" s="360">
        <f t="shared" ca="1" si="131"/>
        <v>299.56609795135751</v>
      </c>
      <c r="L277" s="357">
        <f t="shared" ca="1" si="116"/>
        <v>323.77251763462704</v>
      </c>
      <c r="M277" s="359">
        <f t="shared" ca="1" si="132"/>
        <v>-0.92800556404926227</v>
      </c>
      <c r="N277" s="357">
        <f t="shared" ca="1" si="133"/>
        <v>-53.170802184680127</v>
      </c>
      <c r="O277" s="343"/>
      <c r="P277" s="363">
        <f t="shared" ca="1" si="134"/>
        <v>23</v>
      </c>
      <c r="Q277" s="357">
        <f t="shared" ca="1" si="135"/>
        <v>0</v>
      </c>
      <c r="R277" s="359">
        <f t="shared" ca="1" si="136"/>
        <v>0</v>
      </c>
      <c r="S277" s="360">
        <f t="shared" ca="1" si="137"/>
        <v>0.42898953648292248</v>
      </c>
      <c r="T277" s="357">
        <f t="shared" ca="1" si="117"/>
        <v>4.2083873528974696</v>
      </c>
      <c r="U277" s="364">
        <f t="shared" ca="1" si="118"/>
        <v>0</v>
      </c>
      <c r="V277" s="359">
        <f t="shared" ca="1" si="119"/>
        <v>1.1888446981359424</v>
      </c>
      <c r="W277" s="357">
        <f t="shared" ca="1" si="120"/>
        <v>0.34638616829988184</v>
      </c>
      <c r="X277" s="343"/>
      <c r="Y277" s="367" t="str">
        <f t="shared" ca="1" si="138"/>
        <v/>
      </c>
      <c r="Z277" s="368" t="str">
        <f t="shared" ca="1" si="139"/>
        <v/>
      </c>
      <c r="AA277" s="369" t="str">
        <f t="shared" ca="1" si="140"/>
        <v/>
      </c>
      <c r="AB277" s="344"/>
      <c r="AC277" s="363" t="e">
        <f t="shared" ca="1" si="141"/>
        <v>#N/A</v>
      </c>
      <c r="AD277" s="376" t="e">
        <f t="shared" ca="1" si="142"/>
        <v>#N/A</v>
      </c>
      <c r="AE277" s="377" t="e">
        <f t="shared" ca="1" si="121"/>
        <v>#N/A</v>
      </c>
      <c r="AF277" s="344"/>
      <c r="AG277" s="359">
        <f t="shared" ca="1" si="143"/>
        <v>6.9027198110796633</v>
      </c>
      <c r="AH277" s="357">
        <f t="shared" ca="1" si="144"/>
        <v>-0.74630532884124479</v>
      </c>
    </row>
    <row r="278" spans="1:34">
      <c r="A278" s="402">
        <f t="shared" ca="1" si="122"/>
        <v>0.1</v>
      </c>
      <c r="B278" s="357">
        <f t="shared" ca="1" si="123"/>
        <v>9.3999999999999844</v>
      </c>
      <c r="C278" s="342"/>
      <c r="D278" s="359">
        <f t="shared" ca="1" si="124"/>
        <v>-0.48400902042328858</v>
      </c>
      <c r="E278" s="360">
        <f t="shared" ca="1" si="125"/>
        <v>-9.1636986952769419</v>
      </c>
      <c r="F278" s="357">
        <f t="shared" ca="1" si="126"/>
        <v>9.1764720077855326</v>
      </c>
      <c r="G278" s="359">
        <f t="shared" ca="1" si="127"/>
        <v>10.84962783467533</v>
      </c>
      <c r="H278" s="360">
        <f t="shared" ca="1" si="128"/>
        <v>-15.468599051723949</v>
      </c>
      <c r="I278" s="357">
        <f t="shared" ca="1" si="129"/>
        <v>18.894231415274788</v>
      </c>
      <c r="J278" s="359">
        <f t="shared" ca="1" si="130"/>
        <v>123.92384375798002</v>
      </c>
      <c r="K278" s="360">
        <f t="shared" ca="1" si="131"/>
        <v>298.0650565396615</v>
      </c>
      <c r="L278" s="357">
        <f t="shared" ca="1" si="116"/>
        <v>322.80008826167295</v>
      </c>
      <c r="M278" s="359">
        <f t="shared" ca="1" si="132"/>
        <v>-0.95913344288243418</v>
      </c>
      <c r="N278" s="357">
        <f t="shared" ca="1" si="133"/>
        <v>-54.954298267015488</v>
      </c>
      <c r="O278" s="343"/>
      <c r="P278" s="363">
        <f t="shared" ca="1" si="134"/>
        <v>23</v>
      </c>
      <c r="Q278" s="357">
        <f t="shared" ca="1" si="135"/>
        <v>0</v>
      </c>
      <c r="R278" s="359">
        <f t="shared" ca="1" si="136"/>
        <v>0</v>
      </c>
      <c r="S278" s="360">
        <f t="shared" ca="1" si="137"/>
        <v>0.42898953648292248</v>
      </c>
      <c r="T278" s="357">
        <f t="shared" ca="1" si="117"/>
        <v>4.2083873528974696</v>
      </c>
      <c r="U278" s="364">
        <f t="shared" ca="1" si="118"/>
        <v>0</v>
      </c>
      <c r="V278" s="359">
        <f t="shared" ca="1" si="119"/>
        <v>1.1890232018920004</v>
      </c>
      <c r="W278" s="357">
        <f t="shared" ca="1" si="120"/>
        <v>0.37416876918810588</v>
      </c>
      <c r="X278" s="343"/>
      <c r="Y278" s="367" t="str">
        <f t="shared" ca="1" si="138"/>
        <v/>
      </c>
      <c r="Z278" s="368" t="str">
        <f t="shared" ca="1" si="139"/>
        <v/>
      </c>
      <c r="AA278" s="369" t="str">
        <f t="shared" ca="1" si="140"/>
        <v/>
      </c>
      <c r="AB278" s="344"/>
      <c r="AC278" s="363" t="e">
        <f t="shared" ca="1" si="141"/>
        <v>#N/A</v>
      </c>
      <c r="AD278" s="376" t="e">
        <f t="shared" ca="1" si="142"/>
        <v>#N/A</v>
      </c>
      <c r="AE278" s="377" t="e">
        <f t="shared" ca="1" si="121"/>
        <v>#N/A</v>
      </c>
      <c r="AF278" s="344"/>
      <c r="AG278" s="359">
        <f t="shared" ca="1" si="143"/>
        <v>7.0447324567200775</v>
      </c>
      <c r="AH278" s="357">
        <f t="shared" ca="1" si="144"/>
        <v>-0.80744665974777452</v>
      </c>
    </row>
    <row r="279" spans="1:34">
      <c r="A279" s="402">
        <f t="shared" ca="1" si="122"/>
        <v>0.1</v>
      </c>
      <c r="B279" s="357">
        <f t="shared" ca="1" si="123"/>
        <v>9.499999999999984</v>
      </c>
      <c r="C279" s="342"/>
      <c r="D279" s="359">
        <f t="shared" ca="1" si="124"/>
        <v>-0.50084858009823741</v>
      </c>
      <c r="E279" s="360">
        <f t="shared" ca="1" si="125"/>
        <v>-9.095927039229478</v>
      </c>
      <c r="F279" s="357">
        <f t="shared" ca="1" si="126"/>
        <v>9.1097057034336935</v>
      </c>
      <c r="G279" s="359">
        <f t="shared" ca="1" si="127"/>
        <v>10.799542976665506</v>
      </c>
      <c r="H279" s="360">
        <f t="shared" ca="1" si="128"/>
        <v>-16.378191755646895</v>
      </c>
      <c r="I279" s="357">
        <f t="shared" ca="1" si="129"/>
        <v>19.61823880193085</v>
      </c>
      <c r="J279" s="359">
        <f t="shared" ca="1" si="130"/>
        <v>125.00630229854707</v>
      </c>
      <c r="K279" s="360">
        <f t="shared" ca="1" si="131"/>
        <v>296.47271699929297</v>
      </c>
      <c r="L279" s="357">
        <f t="shared" ca="1" si="116"/>
        <v>321.74935514977898</v>
      </c>
      <c r="M279" s="359">
        <f t="shared" ca="1" si="132"/>
        <v>-0.98785145000139019</v>
      </c>
      <c r="N279" s="357">
        <f t="shared" ca="1" si="133"/>
        <v>-56.59971887095832</v>
      </c>
      <c r="O279" s="343"/>
      <c r="P279" s="363">
        <f t="shared" ca="1" si="134"/>
        <v>23</v>
      </c>
      <c r="Q279" s="357">
        <f t="shared" ca="1" si="135"/>
        <v>0</v>
      </c>
      <c r="R279" s="359">
        <f t="shared" ca="1" si="136"/>
        <v>0</v>
      </c>
      <c r="S279" s="360">
        <f t="shared" ca="1" si="137"/>
        <v>0.42898953648292248</v>
      </c>
      <c r="T279" s="357">
        <f t="shared" ca="1" si="117"/>
        <v>4.2083873528974696</v>
      </c>
      <c r="U279" s="364">
        <f t="shared" ca="1" si="118"/>
        <v>0</v>
      </c>
      <c r="V279" s="359">
        <f t="shared" ca="1" si="119"/>
        <v>1.1892125916765872</v>
      </c>
      <c r="W279" s="357">
        <f t="shared" ca="1" si="120"/>
        <v>0.40345795030348514</v>
      </c>
      <c r="X279" s="343"/>
      <c r="Y279" s="367" t="str">
        <f t="shared" ca="1" si="138"/>
        <v/>
      </c>
      <c r="Z279" s="368" t="str">
        <f t="shared" ca="1" si="139"/>
        <v/>
      </c>
      <c r="AA279" s="369" t="str">
        <f t="shared" ca="1" si="140"/>
        <v/>
      </c>
      <c r="AB279" s="344"/>
      <c r="AC279" s="363" t="e">
        <f t="shared" ca="1" si="141"/>
        <v>#N/A</v>
      </c>
      <c r="AD279" s="376" t="e">
        <f t="shared" ca="1" si="142"/>
        <v>#N/A</v>
      </c>
      <c r="AE279" s="377" t="e">
        <f t="shared" ca="1" si="121"/>
        <v>#N/A</v>
      </c>
      <c r="AF279" s="344"/>
      <c r="AG279" s="359">
        <f t="shared" ca="1" si="143"/>
        <v>7.1591812709898797</v>
      </c>
      <c r="AH279" s="357">
        <f t="shared" ca="1" si="144"/>
        <v>-0.87220954677760787</v>
      </c>
    </row>
    <row r="280" spans="1:34">
      <c r="A280" s="402">
        <f t="shared" ca="1" si="122"/>
        <v>0.1</v>
      </c>
      <c r="B280" s="357">
        <f t="shared" ca="1" si="123"/>
        <v>9.5999999999999837</v>
      </c>
      <c r="C280" s="342"/>
      <c r="D280" s="359">
        <f t="shared" ca="1" si="124"/>
        <v>-0.51772237983740299</v>
      </c>
      <c r="E280" s="360">
        <f t="shared" ca="1" si="125"/>
        <v>-9.0248411806417987</v>
      </c>
      <c r="F280" s="357">
        <f t="shared" ca="1" si="126"/>
        <v>9.0396789101379351</v>
      </c>
      <c r="G280" s="359">
        <f t="shared" ca="1" si="127"/>
        <v>10.747770738681766</v>
      </c>
      <c r="H280" s="360">
        <f t="shared" ca="1" si="128"/>
        <v>-17.280675873711075</v>
      </c>
      <c r="I280" s="357">
        <f t="shared" ca="1" si="129"/>
        <v>20.350339911252686</v>
      </c>
      <c r="J280" s="359">
        <f t="shared" ca="1" si="130"/>
        <v>126.08366798431443</v>
      </c>
      <c r="K280" s="360">
        <f t="shared" ca="1" si="131"/>
        <v>294.78977361782506</v>
      </c>
      <c r="L280" s="357">
        <f t="shared" ca="1" si="116"/>
        <v>320.62143091507062</v>
      </c>
      <c r="M280" s="359">
        <f t="shared" ca="1" si="132"/>
        <v>-1.0143910078849399</v>
      </c>
      <c r="N280" s="357">
        <f t="shared" ca="1" si="133"/>
        <v>-58.120323527828866</v>
      </c>
      <c r="O280" s="343"/>
      <c r="P280" s="363">
        <f t="shared" ca="1" si="134"/>
        <v>23</v>
      </c>
      <c r="Q280" s="357">
        <f t="shared" ca="1" si="135"/>
        <v>0</v>
      </c>
      <c r="R280" s="359">
        <f t="shared" ca="1" si="136"/>
        <v>0</v>
      </c>
      <c r="S280" s="360">
        <f t="shared" ca="1" si="137"/>
        <v>0.42898953648292248</v>
      </c>
      <c r="T280" s="357">
        <f t="shared" ca="1" si="117"/>
        <v>4.2083873528974696</v>
      </c>
      <c r="U280" s="364">
        <f t="shared" ca="1" si="118"/>
        <v>0</v>
      </c>
      <c r="V280" s="359">
        <f t="shared" ca="1" si="119"/>
        <v>1.1894127900106395</v>
      </c>
      <c r="W280" s="357">
        <f t="shared" ca="1" si="120"/>
        <v>0.43420486491581128</v>
      </c>
      <c r="X280" s="343"/>
      <c r="Y280" s="367" t="str">
        <f t="shared" ca="1" si="138"/>
        <v/>
      </c>
      <c r="Z280" s="368" t="str">
        <f t="shared" ca="1" si="139"/>
        <v/>
      </c>
      <c r="AA280" s="369" t="str">
        <f t="shared" ca="1" si="140"/>
        <v/>
      </c>
      <c r="AB280" s="344"/>
      <c r="AC280" s="363" t="e">
        <f t="shared" ca="1" si="141"/>
        <v>#N/A</v>
      </c>
      <c r="AD280" s="376" t="e">
        <f t="shared" ca="1" si="142"/>
        <v>#N/A</v>
      </c>
      <c r="AE280" s="377" t="e">
        <f t="shared" ca="1" si="121"/>
        <v>#N/A</v>
      </c>
      <c r="AF280" s="344"/>
      <c r="AG280" s="359">
        <f t="shared" ca="1" si="143"/>
        <v>7.2493466801809516</v>
      </c>
      <c r="AH280" s="357">
        <f t="shared" ca="1" si="144"/>
        <v>-0.94048436148639325</v>
      </c>
    </row>
    <row r="281" spans="1:34">
      <c r="A281" s="402">
        <f t="shared" ca="1" si="122"/>
        <v>0.1</v>
      </c>
      <c r="B281" s="357">
        <f t="shared" ca="1" si="123"/>
        <v>9.6999999999999833</v>
      </c>
      <c r="C281" s="342"/>
      <c r="D281" s="359">
        <f t="shared" ca="1" si="124"/>
        <v>-0.53455785045604831</v>
      </c>
      <c r="E281" s="360">
        <f t="shared" ca="1" si="125"/>
        <v>-8.950517492038383</v>
      </c>
      <c r="F281" s="357">
        <f t="shared" ca="1" si="126"/>
        <v>8.9664661640341485</v>
      </c>
      <c r="G281" s="359">
        <f t="shared" ca="1" si="127"/>
        <v>10.694314953636161</v>
      </c>
      <c r="H281" s="360">
        <f t="shared" ca="1" si="128"/>
        <v>-18.175727622914913</v>
      </c>
      <c r="I281" s="357">
        <f t="shared" ca="1" si="129"/>
        <v>21.08851457428802</v>
      </c>
      <c r="J281" s="359">
        <f t="shared" ca="1" si="130"/>
        <v>127.15577226893032</v>
      </c>
      <c r="K281" s="360">
        <f t="shared" ca="1" si="131"/>
        <v>293.01695344299378</v>
      </c>
      <c r="L281" s="357">
        <f t="shared" ca="1" si="116"/>
        <v>319.41747827306142</v>
      </c>
      <c r="M281" s="359">
        <f t="shared" ca="1" si="132"/>
        <v>-1.0389614766520316</v>
      </c>
      <c r="N281" s="357">
        <f t="shared" ca="1" si="133"/>
        <v>-59.528107688841231</v>
      </c>
      <c r="O281" s="343"/>
      <c r="P281" s="363">
        <f t="shared" ca="1" si="134"/>
        <v>23</v>
      </c>
      <c r="Q281" s="357">
        <f t="shared" ca="1" si="135"/>
        <v>0</v>
      </c>
      <c r="R281" s="359">
        <f t="shared" ca="1" si="136"/>
        <v>0</v>
      </c>
      <c r="S281" s="360">
        <f t="shared" ca="1" si="137"/>
        <v>0.42898953648292248</v>
      </c>
      <c r="T281" s="357">
        <f t="shared" ca="1" si="117"/>
        <v>4.2083873528974696</v>
      </c>
      <c r="U281" s="364">
        <f t="shared" ca="1" si="118"/>
        <v>0</v>
      </c>
      <c r="V281" s="359">
        <f t="shared" ca="1" si="119"/>
        <v>1.1896237157549145</v>
      </c>
      <c r="W281" s="357">
        <f t="shared" ca="1" si="120"/>
        <v>0.46635897519850289</v>
      </c>
      <c r="X281" s="343"/>
      <c r="Y281" s="367" t="str">
        <f t="shared" ca="1" si="138"/>
        <v/>
      </c>
      <c r="Z281" s="368" t="str">
        <f t="shared" ca="1" si="139"/>
        <v/>
      </c>
      <c r="AA281" s="369" t="str">
        <f t="shared" ca="1" si="140"/>
        <v/>
      </c>
      <c r="AB281" s="344"/>
      <c r="AC281" s="363" t="e">
        <f t="shared" ca="1" si="141"/>
        <v>#N/A</v>
      </c>
      <c r="AD281" s="376" t="e">
        <f t="shared" ca="1" si="142"/>
        <v>#N/A</v>
      </c>
      <c r="AE281" s="377" t="e">
        <f t="shared" ca="1" si="121"/>
        <v>#N/A</v>
      </c>
      <c r="AF281" s="344"/>
      <c r="AG281" s="359">
        <f t="shared" ca="1" si="143"/>
        <v>7.3180933148091691</v>
      </c>
      <c r="AH281" s="357">
        <f t="shared" ca="1" si="144"/>
        <v>-1.0121572392549403</v>
      </c>
    </row>
    <row r="282" spans="1:34">
      <c r="A282" s="402">
        <f t="shared" ca="1" si="122"/>
        <v>0.1</v>
      </c>
      <c r="B282" s="357">
        <f t="shared" ca="1" si="123"/>
        <v>9.7999999999999829</v>
      </c>
      <c r="C282" s="342"/>
      <c r="D282" s="359">
        <f t="shared" ca="1" si="124"/>
        <v>-0.55129064125148619</v>
      </c>
      <c r="E282" s="360">
        <f t="shared" ca="1" si="125"/>
        <v>-8.8730434413153141</v>
      </c>
      <c r="F282" s="357">
        <f t="shared" ca="1" si="126"/>
        <v>8.890153051697153</v>
      </c>
      <c r="G282" s="359">
        <f t="shared" ca="1" si="127"/>
        <v>10.639185889511012</v>
      </c>
      <c r="H282" s="360">
        <f t="shared" ca="1" si="128"/>
        <v>-19.063031967046445</v>
      </c>
      <c r="I282" s="357">
        <f t="shared" ca="1" si="129"/>
        <v>21.830974879015479</v>
      </c>
      <c r="J282" s="359">
        <f t="shared" ca="1" si="130"/>
        <v>128.22244731108768</v>
      </c>
      <c r="K282" s="360">
        <f t="shared" ca="1" si="131"/>
        <v>291.15501546349572</v>
      </c>
      <c r="L282" s="357">
        <f t="shared" ca="1" si="116"/>
        <v>318.13871035130745</v>
      </c>
      <c r="M282" s="359">
        <f t="shared" ca="1" si="132"/>
        <v>-1.061751273392781</v>
      </c>
      <c r="N282" s="357">
        <f t="shared" ca="1" si="133"/>
        <v>-60.833866858047166</v>
      </c>
      <c r="O282" s="343"/>
      <c r="P282" s="363">
        <f t="shared" ca="1" si="134"/>
        <v>23</v>
      </c>
      <c r="Q282" s="357">
        <f t="shared" ca="1" si="135"/>
        <v>0</v>
      </c>
      <c r="R282" s="359">
        <f t="shared" ca="1" si="136"/>
        <v>0</v>
      </c>
      <c r="S282" s="360">
        <f t="shared" ca="1" si="137"/>
        <v>0.42898953648292248</v>
      </c>
      <c r="T282" s="357">
        <f t="shared" ca="1" si="117"/>
        <v>4.2083873528974696</v>
      </c>
      <c r="U282" s="364">
        <f t="shared" ca="1" si="118"/>
        <v>0</v>
      </c>
      <c r="V282" s="359">
        <f t="shared" ca="1" si="119"/>
        <v>1.1898452841968852</v>
      </c>
      <c r="W282" s="357">
        <f t="shared" ca="1" si="120"/>
        <v>0.49986818825657603</v>
      </c>
      <c r="X282" s="343"/>
      <c r="Y282" s="367" t="str">
        <f t="shared" ca="1" si="138"/>
        <v/>
      </c>
      <c r="Z282" s="368" t="str">
        <f t="shared" ca="1" si="139"/>
        <v/>
      </c>
      <c r="AA282" s="369" t="str">
        <f t="shared" ca="1" si="140"/>
        <v/>
      </c>
      <c r="AB282" s="344"/>
      <c r="AC282" s="363" t="e">
        <f t="shared" ca="1" si="141"/>
        <v>#N/A</v>
      </c>
      <c r="AD282" s="376" t="e">
        <f t="shared" ca="1" si="142"/>
        <v>#N/A</v>
      </c>
      <c r="AE282" s="377" t="e">
        <f t="shared" ca="1" si="121"/>
        <v>#N/A</v>
      </c>
      <c r="AF282" s="344"/>
      <c r="AG282" s="359">
        <f t="shared" ca="1" si="143"/>
        <v>7.3679132060134274</v>
      </c>
      <c r="AH282" s="357">
        <f t="shared" ca="1" si="144"/>
        <v>-1.0871103734183223</v>
      </c>
    </row>
    <row r="283" spans="1:34">
      <c r="A283" s="402">
        <f t="shared" ca="1" si="122"/>
        <v>0.1</v>
      </c>
      <c r="B283" s="357">
        <f t="shared" ca="1" si="123"/>
        <v>9.8999999999999826</v>
      </c>
      <c r="C283" s="342"/>
      <c r="D283" s="359">
        <f t="shared" ca="1" si="124"/>
        <v>-0.56786364627500596</v>
      </c>
      <c r="E283" s="360">
        <f t="shared" ca="1" si="125"/>
        <v>-8.7925158659426792</v>
      </c>
      <c r="F283" s="357">
        <f t="shared" ca="1" si="126"/>
        <v>8.8108344879253337</v>
      </c>
      <c r="G283" s="359">
        <f t="shared" ca="1" si="127"/>
        <v>10.582399524883511</v>
      </c>
      <c r="H283" s="360">
        <f t="shared" ca="1" si="128"/>
        <v>-19.942283553640713</v>
      </c>
      <c r="I283" s="357">
        <f t="shared" ca="1" si="129"/>
        <v>22.576134590271728</v>
      </c>
      <c r="J283" s="359">
        <f t="shared" ca="1" si="130"/>
        <v>129.28352658180739</v>
      </c>
      <c r="K283" s="360">
        <f t="shared" ca="1" si="131"/>
        <v>289.20474968746134</v>
      </c>
      <c r="L283" s="357">
        <f t="shared" ca="1" si="116"/>
        <v>316.78639094382839</v>
      </c>
      <c r="M283" s="359">
        <f t="shared" ca="1" si="132"/>
        <v>-1.082929381156952</v>
      </c>
      <c r="N283" s="357">
        <f t="shared" ca="1" si="133"/>
        <v>-62.047283051007412</v>
      </c>
      <c r="O283" s="343"/>
      <c r="P283" s="363">
        <f t="shared" ca="1" si="134"/>
        <v>23</v>
      </c>
      <c r="Q283" s="357">
        <f t="shared" ca="1" si="135"/>
        <v>0</v>
      </c>
      <c r="R283" s="359">
        <f t="shared" ca="1" si="136"/>
        <v>0</v>
      </c>
      <c r="S283" s="360">
        <f t="shared" ca="1" si="137"/>
        <v>0.42898953648292248</v>
      </c>
      <c r="T283" s="357">
        <f t="shared" ca="1" si="117"/>
        <v>4.2083873528974696</v>
      </c>
      <c r="U283" s="364">
        <f t="shared" ca="1" si="118"/>
        <v>0</v>
      </c>
      <c r="V283" s="359">
        <f t="shared" ca="1" si="119"/>
        <v>1.1900774071494746</v>
      </c>
      <c r="W283" s="357">
        <f t="shared" ca="1" si="120"/>
        <v>0.53467899990860646</v>
      </c>
      <c r="X283" s="343"/>
      <c r="Y283" s="367" t="str">
        <f t="shared" ca="1" si="138"/>
        <v/>
      </c>
      <c r="Z283" s="368" t="str">
        <f t="shared" ca="1" si="139"/>
        <v/>
      </c>
      <c r="AA283" s="369" t="str">
        <f t="shared" ca="1" si="140"/>
        <v/>
      </c>
      <c r="AB283" s="344"/>
      <c r="AC283" s="363" t="e">
        <f t="shared" ca="1" si="141"/>
        <v>#N/A</v>
      </c>
      <c r="AD283" s="376" t="e">
        <f t="shared" ca="1" si="142"/>
        <v>#N/A</v>
      </c>
      <c r="AE283" s="377" t="e">
        <f t="shared" ca="1" si="121"/>
        <v>#N/A</v>
      </c>
      <c r="AF283" s="344"/>
      <c r="AG283" s="359">
        <f t="shared" ca="1" si="143"/>
        <v>7.4009706403866931</v>
      </c>
      <c r="AH283" s="357">
        <f t="shared" ca="1" si="144"/>
        <v>-1.1652223323551276</v>
      </c>
    </row>
    <row r="284" spans="1:34">
      <c r="A284" s="402">
        <f t="shared" ca="1" si="122"/>
        <v>0.1</v>
      </c>
      <c r="B284" s="357">
        <f t="shared" ca="1" si="123"/>
        <v>9.9999999999999822</v>
      </c>
      <c r="C284" s="342"/>
      <c r="D284" s="359">
        <f t="shared" ca="1" si="124"/>
        <v>-0.58422615504231257</v>
      </c>
      <c r="E284" s="360">
        <f t="shared" ca="1" si="125"/>
        <v>-8.7090395216216052</v>
      </c>
      <c r="F284" s="357">
        <f t="shared" ca="1" si="126"/>
        <v>8.7286132684065354</v>
      </c>
      <c r="G284" s="359">
        <f t="shared" ca="1" si="127"/>
        <v>10.523976909379281</v>
      </c>
      <c r="H284" s="360">
        <f t="shared" ca="1" si="128"/>
        <v>-20.813187505802873</v>
      </c>
      <c r="I284" s="357">
        <f t="shared" ca="1" si="129"/>
        <v>23.322582707343049</v>
      </c>
      <c r="J284" s="359">
        <f t="shared" ca="1" si="130"/>
        <v>130.33884540352054</v>
      </c>
      <c r="K284" s="360">
        <f t="shared" ca="1" si="131"/>
        <v>287.16697613448918</v>
      </c>
      <c r="L284" s="357">
        <f t="shared" ca="1" si="116"/>
        <v>315.36183472853702</v>
      </c>
      <c r="M284" s="359">
        <f t="shared" ca="1" si="132"/>
        <v>-1.1026470276147793</v>
      </c>
      <c r="N284" s="357">
        <f t="shared" ca="1" si="133"/>
        <v>-63.177020974971988</v>
      </c>
      <c r="O284" s="343"/>
      <c r="P284" s="363">
        <f t="shared" ca="1" si="134"/>
        <v>23</v>
      </c>
      <c r="Q284" s="357">
        <f t="shared" ca="1" si="135"/>
        <v>0</v>
      </c>
      <c r="R284" s="359">
        <f t="shared" ca="1" si="136"/>
        <v>0</v>
      </c>
      <c r="S284" s="360">
        <f t="shared" ca="1" si="137"/>
        <v>0.42898953648292248</v>
      </c>
      <c r="T284" s="357">
        <f t="shared" ca="1" si="117"/>
        <v>4.2083873528974696</v>
      </c>
      <c r="U284" s="364">
        <f t="shared" ca="1" si="118"/>
        <v>0</v>
      </c>
      <c r="V284" s="359">
        <f t="shared" ca="1" si="119"/>
        <v>1.1903199930597923</v>
      </c>
      <c r="W284" s="357">
        <f t="shared" ca="1" si="120"/>
        <v>0.57073664438571337</v>
      </c>
      <c r="X284" s="343"/>
      <c r="Y284" s="367" t="str">
        <f t="shared" ca="1" si="138"/>
        <v/>
      </c>
      <c r="Z284" s="368" t="str">
        <f t="shared" ca="1" si="139"/>
        <v/>
      </c>
      <c r="AA284" s="369" t="str">
        <f t="shared" ca="1" si="140"/>
        <v/>
      </c>
      <c r="AB284" s="344"/>
      <c r="AC284" s="363">
        <f t="shared" ca="1" si="141"/>
        <v>9.9999999999999822</v>
      </c>
      <c r="AD284" s="376">
        <f t="shared" ca="1" si="142"/>
        <v>130.33884540352054</v>
      </c>
      <c r="AE284" s="377" t="e">
        <f t="shared" ca="1" si="121"/>
        <v>#N/A</v>
      </c>
      <c r="AF284" s="344"/>
      <c r="AG284" s="359">
        <f t="shared" ca="1" si="143"/>
        <v>7.419145220133152</v>
      </c>
      <c r="AH284" s="357">
        <f t="shared" ca="1" si="144"/>
        <v>-1.2463683946517221</v>
      </c>
    </row>
    <row r="285" spans="1:34">
      <c r="A285" s="402">
        <f t="shared" ca="1" si="122"/>
        <v>0.1</v>
      </c>
      <c r="B285" s="357">
        <f t="shared" ca="1" si="123"/>
        <v>10.099999999999982</v>
      </c>
      <c r="C285" s="342"/>
      <c r="D285" s="359">
        <f t="shared" ca="1" si="124"/>
        <v>-0.60033311861833105</v>
      </c>
      <c r="E285" s="360">
        <f t="shared" ca="1" si="125"/>
        <v>-8.6227258477153317</v>
      </c>
      <c r="F285" s="357">
        <f t="shared" ca="1" si="126"/>
        <v>8.6435988394978214</v>
      </c>
      <c r="G285" s="359">
        <f t="shared" ca="1" si="127"/>
        <v>10.463943597517448</v>
      </c>
      <c r="H285" s="360">
        <f t="shared" ca="1" si="128"/>
        <v>-21.675460090574404</v>
      </c>
      <c r="I285" s="357">
        <f t="shared" ca="1" si="129"/>
        <v>24.06906075753913</v>
      </c>
      <c r="J285" s="359">
        <f t="shared" ca="1" si="130"/>
        <v>131.38824142886537</v>
      </c>
      <c r="K285" s="360">
        <f t="shared" ca="1" si="131"/>
        <v>285.04254375467031</v>
      </c>
      <c r="L285" s="357">
        <f t="shared" ca="1" si="116"/>
        <v>313.86640746646168</v>
      </c>
      <c r="M285" s="359">
        <f t="shared" ca="1" si="132"/>
        <v>-1.1210393933587921</v>
      </c>
      <c r="N285" s="357">
        <f t="shared" ca="1" si="133"/>
        <v>-64.230825907364917</v>
      </c>
      <c r="O285" s="343"/>
      <c r="P285" s="363">
        <f t="shared" ca="1" si="134"/>
        <v>23</v>
      </c>
      <c r="Q285" s="357">
        <f t="shared" ca="1" si="135"/>
        <v>0</v>
      </c>
      <c r="R285" s="359">
        <f t="shared" ca="1" si="136"/>
        <v>0</v>
      </c>
      <c r="S285" s="360">
        <f t="shared" ca="1" si="137"/>
        <v>0.42898953648292248</v>
      </c>
      <c r="T285" s="357">
        <f t="shared" ca="1" si="117"/>
        <v>4.2083873528974696</v>
      </c>
      <c r="U285" s="364">
        <f t="shared" ca="1" si="118"/>
        <v>0</v>
      </c>
      <c r="V285" s="359">
        <f t="shared" ca="1" si="119"/>
        <v>1.1905729471263078</v>
      </c>
      <c r="W285" s="357">
        <f t="shared" ca="1" si="120"/>
        <v>0.607985248322365</v>
      </c>
      <c r="X285" s="343"/>
      <c r="Y285" s="367" t="str">
        <f t="shared" ca="1" si="138"/>
        <v/>
      </c>
      <c r="Z285" s="368" t="str">
        <f t="shared" ca="1" si="139"/>
        <v/>
      </c>
      <c r="AA285" s="369" t="str">
        <f t="shared" ca="1" si="140"/>
        <v/>
      </c>
      <c r="AB285" s="344"/>
      <c r="AC285" s="363" t="e">
        <f t="shared" ca="1" si="141"/>
        <v>#N/A</v>
      </c>
      <c r="AD285" s="376" t="e">
        <f t="shared" ca="1" si="142"/>
        <v>#N/A</v>
      </c>
      <c r="AE285" s="377" t="e">
        <f t="shared" ca="1" si="121"/>
        <v>#N/A</v>
      </c>
      <c r="AF285" s="344"/>
      <c r="AG285" s="359">
        <f t="shared" ca="1" si="143"/>
        <v>7.4240713463883186</v>
      </c>
      <c r="AH285" s="357">
        <f t="shared" ca="1" si="144"/>
        <v>-1.3304208980594416</v>
      </c>
    </row>
    <row r="286" spans="1:34">
      <c r="A286" s="402">
        <f t="shared" ca="1" si="122"/>
        <v>0.1</v>
      </c>
      <c r="B286" s="357">
        <f t="shared" ca="1" si="123"/>
        <v>10.199999999999982</v>
      </c>
      <c r="C286" s="342"/>
      <c r="D286" s="359">
        <f t="shared" ca="1" si="124"/>
        <v>-0.61614451894245637</v>
      </c>
      <c r="E286" s="360">
        <f t="shared" ca="1" si="125"/>
        <v>-8.5336919039269397</v>
      </c>
      <c r="F286" s="357">
        <f t="shared" ca="1" si="126"/>
        <v>8.555906239514961</v>
      </c>
      <c r="G286" s="359">
        <f t="shared" ca="1" si="127"/>
        <v>10.402329145623202</v>
      </c>
      <c r="H286" s="360">
        <f t="shared" ca="1" si="128"/>
        <v>-22.528829280967098</v>
      </c>
      <c r="I286" s="357">
        <f t="shared" ca="1" si="129"/>
        <v>24.8144433833371</v>
      </c>
      <c r="J286" s="359">
        <f t="shared" ca="1" si="130"/>
        <v>132.43155506602241</v>
      </c>
      <c r="K286" s="360">
        <f t="shared" ca="1" si="131"/>
        <v>282.83232928609323</v>
      </c>
      <c r="L286" s="357">
        <f t="shared" ca="1" si="116"/>
        <v>312.3015261996041</v>
      </c>
      <c r="M286" s="359">
        <f t="shared" ca="1" si="132"/>
        <v>-1.1382272649300114</v>
      </c>
      <c r="N286" s="357">
        <f t="shared" ca="1" si="133"/>
        <v>-65.215618407208666</v>
      </c>
      <c r="O286" s="343"/>
      <c r="P286" s="363">
        <f t="shared" ca="1" si="134"/>
        <v>23</v>
      </c>
      <c r="Q286" s="357">
        <f t="shared" ca="1" si="135"/>
        <v>0</v>
      </c>
      <c r="R286" s="359">
        <f t="shared" ca="1" si="136"/>
        <v>0</v>
      </c>
      <c r="S286" s="360">
        <f t="shared" ca="1" si="137"/>
        <v>0.42898953648292248</v>
      </c>
      <c r="T286" s="357">
        <f t="shared" ca="1" si="117"/>
        <v>4.2083873528974696</v>
      </c>
      <c r="U286" s="364">
        <f t="shared" ca="1" si="118"/>
        <v>0</v>
      </c>
      <c r="V286" s="359">
        <f t="shared" ca="1" si="119"/>
        <v>1.1908361714231397</v>
      </c>
      <c r="W286" s="357">
        <f t="shared" ca="1" si="120"/>
        <v>0.64636798758904446</v>
      </c>
      <c r="X286" s="343"/>
      <c r="Y286" s="367" t="str">
        <f t="shared" ca="1" si="138"/>
        <v/>
      </c>
      <c r="Z286" s="368" t="str">
        <f t="shared" ca="1" si="139"/>
        <v/>
      </c>
      <c r="AA286" s="369" t="str">
        <f t="shared" ca="1" si="140"/>
        <v/>
      </c>
      <c r="AB286" s="344"/>
      <c r="AC286" s="363" t="e">
        <f t="shared" ca="1" si="141"/>
        <v>#N/A</v>
      </c>
      <c r="AD286" s="376" t="e">
        <f t="shared" ca="1" si="142"/>
        <v>#N/A</v>
      </c>
      <c r="AE286" s="377" t="e">
        <f t="shared" ca="1" si="121"/>
        <v>#N/A</v>
      </c>
      <c r="AF286" s="344"/>
      <c r="AG286" s="359">
        <f t="shared" ca="1" si="143"/>
        <v>7.4171733825871824</v>
      </c>
      <c r="AH286" s="357">
        <f t="shared" ca="1" si="144"/>
        <v>-1.4172495984562741</v>
      </c>
    </row>
    <row r="287" spans="1:34">
      <c r="A287" s="402">
        <f t="shared" ca="1" si="122"/>
        <v>0.1</v>
      </c>
      <c r="B287" s="357">
        <f t="shared" ca="1" si="123"/>
        <v>10.299999999999981</v>
      </c>
      <c r="C287" s="342"/>
      <c r="D287" s="359">
        <f t="shared" ca="1" si="124"/>
        <v>-0.63162482838776823</v>
      </c>
      <c r="E287" s="360">
        <f t="shared" ca="1" si="125"/>
        <v>-8.4420594427301534</v>
      </c>
      <c r="F287" s="357">
        <f t="shared" ca="1" si="126"/>
        <v>8.4656551759698573</v>
      </c>
      <c r="G287" s="359">
        <f t="shared" ca="1" si="127"/>
        <v>10.339166662784425</v>
      </c>
      <c r="H287" s="360">
        <f t="shared" ca="1" si="128"/>
        <v>-23.373035225240113</v>
      </c>
      <c r="I287" s="357">
        <f t="shared" ca="1" si="129"/>
        <v>25.557721786598037</v>
      </c>
      <c r="J287" s="359">
        <f t="shared" ca="1" si="130"/>
        <v>133.46862985644279</v>
      </c>
      <c r="K287" s="360">
        <f t="shared" ca="1" si="131"/>
        <v>280.53723606078285</v>
      </c>
      <c r="L287" s="357">
        <f t="shared" ca="1" si="116"/>
        <v>310.66865946274584</v>
      </c>
      <c r="M287" s="359">
        <f t="shared" ca="1" si="132"/>
        <v>-1.1543185846814275</v>
      </c>
      <c r="N287" s="357">
        <f t="shared" ca="1" si="133"/>
        <v>-66.137583115760307</v>
      </c>
      <c r="O287" s="343"/>
      <c r="P287" s="363">
        <f t="shared" ca="1" si="134"/>
        <v>23</v>
      </c>
      <c r="Q287" s="357">
        <f t="shared" ca="1" si="135"/>
        <v>0</v>
      </c>
      <c r="R287" s="359">
        <f t="shared" ca="1" si="136"/>
        <v>0</v>
      </c>
      <c r="S287" s="360">
        <f t="shared" ca="1" si="137"/>
        <v>0.42898953648292248</v>
      </c>
      <c r="T287" s="357">
        <f t="shared" ca="1" si="117"/>
        <v>4.2083873528974696</v>
      </c>
      <c r="U287" s="364">
        <f t="shared" ca="1" si="118"/>
        <v>0</v>
      </c>
      <c r="V287" s="359">
        <f t="shared" ca="1" si="119"/>
        <v>1.1911095650303187</v>
      </c>
      <c r="W287" s="357">
        <f t="shared" ca="1" si="120"/>
        <v>0.68582724566410147</v>
      </c>
      <c r="X287" s="343"/>
      <c r="Y287" s="367" t="str">
        <f t="shared" ca="1" si="138"/>
        <v/>
      </c>
      <c r="Z287" s="368" t="str">
        <f t="shared" ca="1" si="139"/>
        <v/>
      </c>
      <c r="AA287" s="369" t="str">
        <f t="shared" ca="1" si="140"/>
        <v/>
      </c>
      <c r="AB287" s="344"/>
      <c r="AC287" s="363" t="e">
        <f t="shared" ca="1" si="141"/>
        <v>#N/A</v>
      </c>
      <c r="AD287" s="376" t="e">
        <f t="shared" ca="1" si="142"/>
        <v>#N/A</v>
      </c>
      <c r="AE287" s="377" t="e">
        <f t="shared" ca="1" si="121"/>
        <v>#N/A</v>
      </c>
      <c r="AF287" s="344"/>
      <c r="AG287" s="359">
        <f t="shared" ca="1" si="143"/>
        <v>7.3996963690471853</v>
      </c>
      <c r="AH287" s="357">
        <f t="shared" ca="1" si="144"/>
        <v>-1.5067220354330846</v>
      </c>
    </row>
    <row r="288" spans="1:34">
      <c r="A288" s="402">
        <f t="shared" ca="1" si="122"/>
        <v>0.1</v>
      </c>
      <c r="B288" s="357">
        <f t="shared" ca="1" si="123"/>
        <v>10.399999999999981</v>
      </c>
      <c r="C288" s="342"/>
      <c r="D288" s="359">
        <f t="shared" ca="1" si="124"/>
        <v>-0.64674254691929001</v>
      </c>
      <c r="E288" s="360">
        <f t="shared" ca="1" si="125"/>
        <v>-8.3479540901282743</v>
      </c>
      <c r="F288" s="357">
        <f t="shared" ca="1" si="126"/>
        <v>8.3729692112705774</v>
      </c>
      <c r="G288" s="359">
        <f t="shared" ca="1" si="127"/>
        <v>10.274492408092495</v>
      </c>
      <c r="H288" s="360">
        <f t="shared" ca="1" si="128"/>
        <v>-24.207830634252939</v>
      </c>
      <c r="I288" s="357">
        <f t="shared" ca="1" si="129"/>
        <v>26.297989623935617</v>
      </c>
      <c r="J288" s="359">
        <f t="shared" ca="1" si="130"/>
        <v>134.49931280998663</v>
      </c>
      <c r="K288" s="360">
        <f t="shared" ca="1" si="131"/>
        <v>278.1581927678082</v>
      </c>
      <c r="L288" s="357">
        <f t="shared" ca="1" si="116"/>
        <v>308.96932752331873</v>
      </c>
      <c r="M288" s="359">
        <f t="shared" ca="1" si="132"/>
        <v>-1.1694098738379977</v>
      </c>
      <c r="N288" s="357">
        <f t="shared" ca="1" si="133"/>
        <v>-67.002250291843325</v>
      </c>
      <c r="O288" s="343"/>
      <c r="P288" s="363">
        <f t="shared" ca="1" si="134"/>
        <v>23</v>
      </c>
      <c r="Q288" s="357">
        <f t="shared" ca="1" si="135"/>
        <v>0</v>
      </c>
      <c r="R288" s="359">
        <f t="shared" ca="1" si="136"/>
        <v>0</v>
      </c>
      <c r="S288" s="360">
        <f t="shared" ca="1" si="137"/>
        <v>0.42898953648292248</v>
      </c>
      <c r="T288" s="357">
        <f t="shared" ca="1" si="117"/>
        <v>4.2083873528974696</v>
      </c>
      <c r="U288" s="364">
        <f t="shared" ca="1" si="118"/>
        <v>0</v>
      </c>
      <c r="V288" s="359">
        <f t="shared" ca="1" si="119"/>
        <v>1.1913930241690203</v>
      </c>
      <c r="W288" s="357">
        <f t="shared" ca="1" si="120"/>
        <v>0.72630477236831648</v>
      </c>
      <c r="X288" s="343"/>
      <c r="Y288" s="367" t="str">
        <f t="shared" ca="1" si="138"/>
        <v/>
      </c>
      <c r="Z288" s="368" t="str">
        <f t="shared" ca="1" si="139"/>
        <v/>
      </c>
      <c r="AA288" s="369" t="str">
        <f t="shared" ca="1" si="140"/>
        <v/>
      </c>
      <c r="AB288" s="344"/>
      <c r="AC288" s="363" t="e">
        <f t="shared" ca="1" si="141"/>
        <v>#N/A</v>
      </c>
      <c r="AD288" s="376" t="e">
        <f t="shared" ca="1" si="142"/>
        <v>#N/A</v>
      </c>
      <c r="AE288" s="377" t="e">
        <f t="shared" ca="1" si="121"/>
        <v>#N/A</v>
      </c>
      <c r="AF288" s="344"/>
      <c r="AG288" s="359">
        <f t="shared" ca="1" si="143"/>
        <v>7.3727324994026766</v>
      </c>
      <c r="AH288" s="357">
        <f t="shared" ca="1" si="144"/>
        <v>-1.5987039014677771</v>
      </c>
    </row>
    <row r="289" spans="1:34">
      <c r="A289" s="402">
        <f t="shared" ca="1" si="122"/>
        <v>0.1</v>
      </c>
      <c r="B289" s="357">
        <f t="shared" ca="1" si="123"/>
        <v>10.49999999999998</v>
      </c>
      <c r="C289" s="342"/>
      <c r="D289" s="359">
        <f t="shared" ca="1" si="124"/>
        <v>-0.66146980522972454</v>
      </c>
      <c r="E289" s="360">
        <f t="shared" ca="1" si="125"/>
        <v>-8.2515046136915409</v>
      </c>
      <c r="F289" s="357">
        <f t="shared" ca="1" si="126"/>
        <v>8.2779750357803952</v>
      </c>
      <c r="G289" s="359">
        <f t="shared" ca="1" si="127"/>
        <v>10.208345427569522</v>
      </c>
      <c r="H289" s="360">
        <f t="shared" ca="1" si="128"/>
        <v>-25.032981095622095</v>
      </c>
      <c r="I289" s="357">
        <f t="shared" ca="1" si="129"/>
        <v>27.034430989061946</v>
      </c>
      <c r="J289" s="359">
        <f t="shared" ca="1" si="130"/>
        <v>135.52345470176974</v>
      </c>
      <c r="K289" s="360">
        <f t="shared" ca="1" si="131"/>
        <v>275.69615218131446</v>
      </c>
      <c r="L289" s="357">
        <f t="shared" ca="1" si="116"/>
        <v>307.20510266251296</v>
      </c>
      <c r="M289" s="359">
        <f t="shared" ca="1" si="132"/>
        <v>-1.183587520530424</v>
      </c>
      <c r="N289" s="357">
        <f t="shared" ca="1" si="133"/>
        <v>-67.814569610746972</v>
      </c>
      <c r="O289" s="343"/>
      <c r="P289" s="363">
        <f t="shared" ca="1" si="134"/>
        <v>23</v>
      </c>
      <c r="Q289" s="357">
        <f t="shared" ca="1" si="135"/>
        <v>0</v>
      </c>
      <c r="R289" s="359">
        <f t="shared" ca="1" si="136"/>
        <v>0</v>
      </c>
      <c r="S289" s="360">
        <f t="shared" ca="1" si="137"/>
        <v>0.42898953648292248</v>
      </c>
      <c r="T289" s="357">
        <f t="shared" ca="1" si="117"/>
        <v>4.2083873528974696</v>
      </c>
      <c r="U289" s="364">
        <f t="shared" ca="1" si="118"/>
        <v>0</v>
      </c>
      <c r="V289" s="359">
        <f t="shared" ca="1" si="119"/>
        <v>1.1916864423408935</v>
      </c>
      <c r="W289" s="357">
        <f t="shared" ca="1" si="120"/>
        <v>0.76774184189618044</v>
      </c>
      <c r="X289" s="343"/>
      <c r="Y289" s="367" t="str">
        <f t="shared" ca="1" si="138"/>
        <v/>
      </c>
      <c r="Z289" s="368" t="str">
        <f t="shared" ca="1" si="139"/>
        <v/>
      </c>
      <c r="AA289" s="369" t="str">
        <f t="shared" ca="1" si="140"/>
        <v/>
      </c>
      <c r="AB289" s="344"/>
      <c r="AC289" s="363" t="e">
        <f t="shared" ca="1" si="141"/>
        <v>#N/A</v>
      </c>
      <c r="AD289" s="376" t="e">
        <f t="shared" ca="1" si="142"/>
        <v>#N/A</v>
      </c>
      <c r="AE289" s="377" t="e">
        <f t="shared" ca="1" si="121"/>
        <v>#N/A</v>
      </c>
      <c r="AF289" s="344"/>
      <c r="AG289" s="359">
        <f t="shared" ca="1" si="143"/>
        <v>7.3372437373830612</v>
      </c>
      <c r="AH289" s="357">
        <f t="shared" ca="1" si="144"/>
        <v>-1.6930594119449571</v>
      </c>
    </row>
    <row r="290" spans="1:34">
      <c r="A290" s="402">
        <f t="shared" ca="1" si="122"/>
        <v>0.1</v>
      </c>
      <c r="B290" s="357">
        <f t="shared" ca="1" si="123"/>
        <v>10.59999999999998</v>
      </c>
      <c r="C290" s="342"/>
      <c r="D290" s="359">
        <f t="shared" ca="1" si="124"/>
        <v>-0.67578202351945726</v>
      </c>
      <c r="E290" s="360">
        <f t="shared" ca="1" si="125"/>
        <v>-8.1528422617991776</v>
      </c>
      <c r="F290" s="357">
        <f t="shared" ca="1" si="126"/>
        <v>8.1808018121141881</v>
      </c>
      <c r="G290" s="359">
        <f t="shared" ca="1" si="127"/>
        <v>10.140767225217576</v>
      </c>
      <c r="H290" s="360">
        <f t="shared" ca="1" si="128"/>
        <v>-25.848265321802014</v>
      </c>
      <c r="I290" s="357">
        <f t="shared" ca="1" si="129"/>
        <v>27.766310162899202</v>
      </c>
      <c r="J290" s="359">
        <f t="shared" ca="1" si="130"/>
        <v>136.54091033440909</v>
      </c>
      <c r="K290" s="360">
        <f t="shared" ca="1" si="131"/>
        <v>273.15208986044325</v>
      </c>
      <c r="L290" s="357">
        <f t="shared" ca="1" si="116"/>
        <v>305.37760951005691</v>
      </c>
      <c r="M290" s="359">
        <f t="shared" ca="1" si="132"/>
        <v>-1.196928934020675</v>
      </c>
      <c r="N290" s="357">
        <f t="shared" ca="1" si="133"/>
        <v>-68.578976296477251</v>
      </c>
      <c r="O290" s="343"/>
      <c r="P290" s="363">
        <f t="shared" ca="1" si="134"/>
        <v>23</v>
      </c>
      <c r="Q290" s="357">
        <f t="shared" ca="1" si="135"/>
        <v>0</v>
      </c>
      <c r="R290" s="359">
        <f t="shared" ca="1" si="136"/>
        <v>0</v>
      </c>
      <c r="S290" s="360">
        <f t="shared" ca="1" si="137"/>
        <v>0.42898953648292248</v>
      </c>
      <c r="T290" s="357">
        <f t="shared" ca="1" si="117"/>
        <v>4.2083873528974696</v>
      </c>
      <c r="U290" s="364">
        <f t="shared" ca="1" si="118"/>
        <v>0</v>
      </c>
      <c r="V290" s="359">
        <f t="shared" ca="1" si="119"/>
        <v>1.1919897104706871</v>
      </c>
      <c r="W290" s="357">
        <f t="shared" ca="1" si="120"/>
        <v>0.81007940917666943</v>
      </c>
      <c r="X290" s="343"/>
      <c r="Y290" s="367" t="str">
        <f t="shared" ca="1" si="138"/>
        <v/>
      </c>
      <c r="Z290" s="368" t="str">
        <f t="shared" ca="1" si="139"/>
        <v/>
      </c>
      <c r="AA290" s="369" t="str">
        <f t="shared" ca="1" si="140"/>
        <v/>
      </c>
      <c r="AB290" s="344"/>
      <c r="AC290" s="363" t="e">
        <f t="shared" ca="1" si="141"/>
        <v>#N/A</v>
      </c>
      <c r="AD290" s="376" t="e">
        <f t="shared" ca="1" si="142"/>
        <v>#N/A</v>
      </c>
      <c r="AE290" s="377" t="e">
        <f t="shared" ca="1" si="121"/>
        <v>#N/A</v>
      </c>
      <c r="AF290" s="344"/>
      <c r="AG290" s="359">
        <f t="shared" ca="1" si="143"/>
        <v>7.2940810170986126</v>
      </c>
      <c r="AH290" s="357">
        <f t="shared" ca="1" si="144"/>
        <v>-1.7896516735361989</v>
      </c>
    </row>
    <row r="291" spans="1:34">
      <c r="A291" s="402">
        <f t="shared" ca="1" si="122"/>
        <v>0.1</v>
      </c>
      <c r="B291" s="357">
        <f t="shared" ca="1" si="123"/>
        <v>10.69999999999998</v>
      </c>
      <c r="C291" s="342"/>
      <c r="D291" s="359">
        <f t="shared" ca="1" si="124"/>
        <v>-0.68965761693723204</v>
      </c>
      <c r="E291" s="360">
        <f t="shared" ca="1" si="125"/>
        <v>-8.0521001618629704</v>
      </c>
      <c r="F291" s="357">
        <f t="shared" ca="1" si="126"/>
        <v>8.0815805784062569</v>
      </c>
      <c r="G291" s="359">
        <f t="shared" ca="1" si="127"/>
        <v>10.071801463523853</v>
      </c>
      <c r="H291" s="360">
        <f t="shared" ca="1" si="128"/>
        <v>-26.653475337988311</v>
      </c>
      <c r="I291" s="357">
        <f t="shared" ca="1" si="129"/>
        <v>28.492962855999941</v>
      </c>
      <c r="J291" s="359">
        <f t="shared" ca="1" si="130"/>
        <v>137.55153876884617</v>
      </c>
      <c r="K291" s="360">
        <f t="shared" ca="1" si="131"/>
        <v>270.52700282745371</v>
      </c>
      <c r="L291" s="357">
        <f t="shared" ca="1" si="116"/>
        <v>303.48852544450926</v>
      </c>
      <c r="M291" s="359">
        <f t="shared" ca="1" si="132"/>
        <v>-1.2095035718060152</v>
      </c>
      <c r="N291" s="357">
        <f t="shared" ca="1" si="133"/>
        <v>-69.299449970482982</v>
      </c>
      <c r="O291" s="343"/>
      <c r="P291" s="363">
        <f t="shared" ca="1" si="134"/>
        <v>23</v>
      </c>
      <c r="Q291" s="357">
        <f t="shared" ca="1" si="135"/>
        <v>0</v>
      </c>
      <c r="R291" s="359">
        <f t="shared" ca="1" si="136"/>
        <v>0</v>
      </c>
      <c r="S291" s="360">
        <f t="shared" ca="1" si="137"/>
        <v>0.42898953648292248</v>
      </c>
      <c r="T291" s="357">
        <f t="shared" ca="1" si="117"/>
        <v>4.2083873528974696</v>
      </c>
      <c r="U291" s="364">
        <f t="shared" ca="1" si="118"/>
        <v>0</v>
      </c>
      <c r="V291" s="359">
        <f t="shared" ca="1" si="119"/>
        <v>1.1923027170514704</v>
      </c>
      <c r="W291" s="357">
        <f t="shared" ca="1" si="120"/>
        <v>0.85325826368647972</v>
      </c>
      <c r="X291" s="343"/>
      <c r="Y291" s="367" t="str">
        <f t="shared" ca="1" si="138"/>
        <v/>
      </c>
      <c r="Z291" s="368" t="str">
        <f t="shared" ca="1" si="139"/>
        <v/>
      </c>
      <c r="AA291" s="369" t="str">
        <f t="shared" ca="1" si="140"/>
        <v/>
      </c>
      <c r="AB291" s="344"/>
      <c r="AC291" s="363" t="e">
        <f t="shared" ca="1" si="141"/>
        <v>#N/A</v>
      </c>
      <c r="AD291" s="376" t="e">
        <f t="shared" ca="1" si="142"/>
        <v>#N/A</v>
      </c>
      <c r="AE291" s="377" t="e">
        <f t="shared" ca="1" si="121"/>
        <v>#N/A</v>
      </c>
      <c r="AF291" s="344"/>
      <c r="AG291" s="359">
        <f t="shared" ca="1" si="143"/>
        <v>7.2440004755064091</v>
      </c>
      <c r="AH291" s="357">
        <f t="shared" ca="1" si="144"/>
        <v>-1.8883430486862647</v>
      </c>
    </row>
    <row r="292" spans="1:34">
      <c r="A292" s="402">
        <f t="shared" ca="1" si="122"/>
        <v>0.1</v>
      </c>
      <c r="B292" s="357">
        <f t="shared" ca="1" si="123"/>
        <v>10.799999999999979</v>
      </c>
      <c r="C292" s="342"/>
      <c r="D292" s="359">
        <f t="shared" ca="1" si="124"/>
        <v>-0.70307773999183487</v>
      </c>
      <c r="E292" s="360">
        <f t="shared" ca="1" si="125"/>
        <v>-7.9494127682691147</v>
      </c>
      <c r="F292" s="357">
        <f t="shared" ca="1" si="126"/>
        <v>7.9804437012481992</v>
      </c>
      <c r="G292" s="359">
        <f t="shared" ca="1" si="127"/>
        <v>10.00149368952467</v>
      </c>
      <c r="H292" s="360">
        <f t="shared" ca="1" si="128"/>
        <v>-27.448416614815223</v>
      </c>
      <c r="I292" s="357">
        <f t="shared" ca="1" si="129"/>
        <v>29.213788708109501</v>
      </c>
      <c r="J292" s="359">
        <f t="shared" ca="1" si="130"/>
        <v>138.55520352649859</v>
      </c>
      <c r="K292" s="360">
        <f t="shared" ca="1" si="131"/>
        <v>267.82190822981352</v>
      </c>
      <c r="L292" s="357">
        <f t="shared" ca="1" si="116"/>
        <v>301.53958107042615</v>
      </c>
      <c r="M292" s="359">
        <f t="shared" ca="1" si="132"/>
        <v>-1.2213738491695409</v>
      </c>
      <c r="N292" s="357">
        <f t="shared" ca="1" si="133"/>
        <v>-69.979566765062685</v>
      </c>
      <c r="O292" s="343"/>
      <c r="P292" s="363">
        <f t="shared" ca="1" si="134"/>
        <v>23</v>
      </c>
      <c r="Q292" s="357">
        <f t="shared" ca="1" si="135"/>
        <v>0</v>
      </c>
      <c r="R292" s="359">
        <f t="shared" ca="1" si="136"/>
        <v>0</v>
      </c>
      <c r="S292" s="360">
        <f t="shared" ca="1" si="137"/>
        <v>0.42898953648292248</v>
      </c>
      <c r="T292" s="357">
        <f t="shared" ca="1" si="117"/>
        <v>4.2083873528974696</v>
      </c>
      <c r="U292" s="364">
        <f t="shared" ca="1" si="118"/>
        <v>0</v>
      </c>
      <c r="V292" s="359">
        <f t="shared" ca="1" si="119"/>
        <v>1.1926253482917866</v>
      </c>
      <c r="W292" s="357">
        <f t="shared" ca="1" si="120"/>
        <v>0.89721917992239664</v>
      </c>
      <c r="X292" s="343"/>
      <c r="Y292" s="367" t="str">
        <f t="shared" ca="1" si="138"/>
        <v/>
      </c>
      <c r="Z292" s="368" t="str">
        <f t="shared" ca="1" si="139"/>
        <v/>
      </c>
      <c r="AA292" s="369" t="str">
        <f t="shared" ca="1" si="140"/>
        <v/>
      </c>
      <c r="AB292" s="344"/>
      <c r="AC292" s="363" t="e">
        <f t="shared" ca="1" si="141"/>
        <v>#N/A</v>
      </c>
      <c r="AD292" s="376" t="e">
        <f t="shared" ca="1" si="142"/>
        <v>#N/A</v>
      </c>
      <c r="AE292" s="377" t="e">
        <f t="shared" ca="1" si="121"/>
        <v>#N/A</v>
      </c>
      <c r="AF292" s="344"/>
      <c r="AG292" s="359">
        <f t="shared" ca="1" si="143"/>
        <v>7.187677139613573</v>
      </c>
      <c r="AH292" s="357">
        <f t="shared" ca="1" si="144"/>
        <v>-1.9889955141608606</v>
      </c>
    </row>
    <row r="293" spans="1:34">
      <c r="A293" s="402">
        <f t="shared" ca="1" si="122"/>
        <v>0.1</v>
      </c>
      <c r="B293" s="357">
        <f t="shared" ca="1" si="123"/>
        <v>10.899999999999979</v>
      </c>
      <c r="C293" s="342"/>
      <c r="D293" s="359">
        <f t="shared" ca="1" si="124"/>
        <v>-0.71602606342535791</v>
      </c>
      <c r="E293" s="360">
        <f t="shared" ca="1" si="125"/>
        <v>-7.8449153530386919</v>
      </c>
      <c r="F293" s="357">
        <f t="shared" ca="1" si="126"/>
        <v>7.8775243712632586</v>
      </c>
      <c r="G293" s="359">
        <f t="shared" ca="1" si="127"/>
        <v>9.9298910831821345</v>
      </c>
      <c r="H293" s="360">
        <f t="shared" ca="1" si="128"/>
        <v>-28.232908150119091</v>
      </c>
      <c r="I293" s="357">
        <f t="shared" ca="1" si="129"/>
        <v>29.92824484557892</v>
      </c>
      <c r="J293" s="359">
        <f t="shared" ca="1" si="130"/>
        <v>139.55177276513393</v>
      </c>
      <c r="K293" s="360">
        <f t="shared" ca="1" si="131"/>
        <v>265.03784199156678</v>
      </c>
      <c r="L293" s="357">
        <f t="shared" ca="1" si="116"/>
        <v>299.53256078336176</v>
      </c>
      <c r="M293" s="359">
        <f t="shared" ca="1" si="132"/>
        <v>-1.2325959419795869</v>
      </c>
      <c r="N293" s="357">
        <f t="shared" ca="1" si="133"/>
        <v>-70.622545320382429</v>
      </c>
      <c r="O293" s="343"/>
      <c r="P293" s="363">
        <f t="shared" ca="1" si="134"/>
        <v>23</v>
      </c>
      <c r="Q293" s="357">
        <f t="shared" ca="1" si="135"/>
        <v>0</v>
      </c>
      <c r="R293" s="359">
        <f t="shared" ca="1" si="136"/>
        <v>0</v>
      </c>
      <c r="S293" s="360">
        <f t="shared" ca="1" si="137"/>
        <v>0.42898953648292248</v>
      </c>
      <c r="T293" s="357">
        <f t="shared" ca="1" si="117"/>
        <v>4.2083873528974696</v>
      </c>
      <c r="U293" s="364">
        <f t="shared" ca="1" si="118"/>
        <v>0</v>
      </c>
      <c r="V293" s="359">
        <f t="shared" ca="1" si="119"/>
        <v>1.1929574882641563</v>
      </c>
      <c r="W293" s="357">
        <f t="shared" ca="1" si="120"/>
        <v>0.94190306381841249</v>
      </c>
      <c r="X293" s="343"/>
      <c r="Y293" s="367" t="str">
        <f t="shared" ca="1" si="138"/>
        <v/>
      </c>
      <c r="Z293" s="368" t="str">
        <f t="shared" ca="1" si="139"/>
        <v/>
      </c>
      <c r="AA293" s="369" t="str">
        <f t="shared" ca="1" si="140"/>
        <v/>
      </c>
      <c r="AB293" s="344"/>
      <c r="AC293" s="363" t="e">
        <f t="shared" ca="1" si="141"/>
        <v>#N/A</v>
      </c>
      <c r="AD293" s="376" t="e">
        <f t="shared" ca="1" si="142"/>
        <v>#N/A</v>
      </c>
      <c r="AE293" s="377" t="e">
        <f t="shared" ca="1" si="121"/>
        <v>#N/A</v>
      </c>
      <c r="AF293" s="344"/>
      <c r="AG293" s="359">
        <f t="shared" ca="1" si="143"/>
        <v>7.1257164499685839</v>
      </c>
      <c r="AH293" s="357">
        <f t="shared" ca="1" si="144"/>
        <v>-2.0914710118066338</v>
      </c>
    </row>
    <row r="294" spans="1:34">
      <c r="A294" s="402">
        <f t="shared" ca="1" si="122"/>
        <v>0.1</v>
      </c>
      <c r="B294" s="357">
        <f t="shared" ca="1" si="123"/>
        <v>10.999999999999979</v>
      </c>
      <c r="C294" s="342"/>
      <c r="D294" s="359">
        <f t="shared" ca="1" si="124"/>
        <v>-0.72848857808259582</v>
      </c>
      <c r="E294" s="360">
        <f t="shared" ca="1" si="125"/>
        <v>-7.738743533929501</v>
      </c>
      <c r="F294" s="357">
        <f t="shared" ca="1" si="126"/>
        <v>7.7729561360098041</v>
      </c>
      <c r="G294" s="359">
        <f t="shared" ca="1" si="127"/>
        <v>9.8570422253738741</v>
      </c>
      <c r="H294" s="360">
        <f t="shared" ca="1" si="128"/>
        <v>-29.006782503512042</v>
      </c>
      <c r="I294" s="357">
        <f t="shared" ca="1" si="129"/>
        <v>30.635840328589911</v>
      </c>
      <c r="J294" s="359">
        <f t="shared" ca="1" si="130"/>
        <v>140.54111943056174</v>
      </c>
      <c r="K294" s="360">
        <f t="shared" ca="1" si="131"/>
        <v>262.17585745888522</v>
      </c>
      <c r="L294" s="357">
        <f t="shared" ca="1" si="116"/>
        <v>297.4693034333074</v>
      </c>
      <c r="M294" s="359">
        <f t="shared" ca="1" si="132"/>
        <v>-1.2432204937581848</v>
      </c>
      <c r="N294" s="357">
        <f t="shared" ca="1" si="133"/>
        <v>-71.231287296514296</v>
      </c>
      <c r="O294" s="343"/>
      <c r="P294" s="363">
        <f t="shared" ca="1" si="134"/>
        <v>23</v>
      </c>
      <c r="Q294" s="357">
        <f t="shared" ca="1" si="135"/>
        <v>0</v>
      </c>
      <c r="R294" s="359">
        <f t="shared" ca="1" si="136"/>
        <v>0</v>
      </c>
      <c r="S294" s="360">
        <f t="shared" ca="1" si="137"/>
        <v>0.42898953648292248</v>
      </c>
      <c r="T294" s="357">
        <f t="shared" ca="1" si="117"/>
        <v>4.2083873528974696</v>
      </c>
      <c r="U294" s="364">
        <f t="shared" ca="1" si="118"/>
        <v>0</v>
      </c>
      <c r="V294" s="359">
        <f t="shared" ca="1" si="119"/>
        <v>1.193299019054372</v>
      </c>
      <c r="W294" s="357">
        <f t="shared" ca="1" si="120"/>
        <v>0.98725109446834458</v>
      </c>
      <c r="X294" s="343"/>
      <c r="Y294" s="367" t="str">
        <f t="shared" ca="1" si="138"/>
        <v/>
      </c>
      <c r="Z294" s="368" t="str">
        <f t="shared" ca="1" si="139"/>
        <v/>
      </c>
      <c r="AA294" s="369" t="str">
        <f t="shared" ca="1" si="140"/>
        <v/>
      </c>
      <c r="AB294" s="344"/>
      <c r="AC294" s="363">
        <f t="shared" ca="1" si="141"/>
        <v>10.999999999999979</v>
      </c>
      <c r="AD294" s="376">
        <f t="shared" ca="1" si="142"/>
        <v>140.54111943056174</v>
      </c>
      <c r="AE294" s="377" t="e">
        <f t="shared" ca="1" si="121"/>
        <v>#N/A</v>
      </c>
      <c r="AF294" s="344"/>
      <c r="AG294" s="359">
        <f t="shared" ca="1" si="143"/>
        <v>7.0586639559073294</v>
      </c>
      <c r="AH294" s="357">
        <f t="shared" ca="1" si="144"/>
        <v>-2.195631789858139</v>
      </c>
    </row>
    <row r="295" spans="1:34">
      <c r="A295" s="402">
        <f t="shared" ca="1" si="122"/>
        <v>0.1</v>
      </c>
      <c r="B295" s="357">
        <f t="shared" ca="1" si="123"/>
        <v>11.099999999999978</v>
      </c>
      <c r="C295" s="342"/>
      <c r="D295" s="359">
        <f t="shared" ca="1" si="124"/>
        <v>-0.74045342121586122</v>
      </c>
      <c r="E295" s="360">
        <f t="shared" ca="1" si="125"/>
        <v>-7.6310328360062165</v>
      </c>
      <c r="F295" s="357">
        <f t="shared" ca="1" si="126"/>
        <v>7.6668724662143273</v>
      </c>
      <c r="G295" s="359">
        <f t="shared" ca="1" si="127"/>
        <v>9.782996883252288</v>
      </c>
      <c r="H295" s="360">
        <f t="shared" ca="1" si="128"/>
        <v>-29.769885787112663</v>
      </c>
      <c r="I295" s="357">
        <f t="shared" ca="1" si="129"/>
        <v>31.33613134698437</v>
      </c>
      <c r="J295" s="359">
        <f t="shared" ca="1" si="130"/>
        <v>141.52312138599305</v>
      </c>
      <c r="K295" s="360">
        <f t="shared" ca="1" si="131"/>
        <v>259.23702404435397</v>
      </c>
      <c r="L295" s="357">
        <f t="shared" ca="1" si="116"/>
        <v>295.35170309684599</v>
      </c>
      <c r="M295" s="359">
        <f t="shared" ca="1" si="132"/>
        <v>-1.2532932376563377</v>
      </c>
      <c r="N295" s="357">
        <f t="shared" ca="1" si="133"/>
        <v>-71.808413009994609</v>
      </c>
      <c r="O295" s="343"/>
      <c r="P295" s="363">
        <f t="shared" ca="1" si="134"/>
        <v>23</v>
      </c>
      <c r="Q295" s="357">
        <f t="shared" ca="1" si="135"/>
        <v>0</v>
      </c>
      <c r="R295" s="359">
        <f t="shared" ca="1" si="136"/>
        <v>0</v>
      </c>
      <c r="S295" s="360">
        <f t="shared" ca="1" si="137"/>
        <v>0.42898953648292248</v>
      </c>
      <c r="T295" s="357">
        <f t="shared" ca="1" si="117"/>
        <v>4.2083873528974696</v>
      </c>
      <c r="U295" s="364">
        <f t="shared" ca="1" si="118"/>
        <v>0</v>
      </c>
      <c r="V295" s="359">
        <f t="shared" ca="1" si="119"/>
        <v>1.1936498209110804</v>
      </c>
      <c r="W295" s="357">
        <f t="shared" ca="1" si="120"/>
        <v>1.0332048605868549</v>
      </c>
      <c r="X295" s="343"/>
      <c r="Y295" s="367" t="str">
        <f t="shared" ca="1" si="138"/>
        <v/>
      </c>
      <c r="Z295" s="368" t="str">
        <f t="shared" ca="1" si="139"/>
        <v/>
      </c>
      <c r="AA295" s="369" t="str">
        <f t="shared" ca="1" si="140"/>
        <v/>
      </c>
      <c r="AB295" s="344"/>
      <c r="AC295" s="363" t="e">
        <f t="shared" ca="1" si="141"/>
        <v>#N/A</v>
      </c>
      <c r="AD295" s="376" t="e">
        <f t="shared" ca="1" si="142"/>
        <v>#N/A</v>
      </c>
      <c r="AE295" s="377" t="e">
        <f t="shared" ca="1" si="121"/>
        <v>#N/A</v>
      </c>
      <c r="AF295" s="344"/>
      <c r="AG295" s="359">
        <f t="shared" ca="1" si="143"/>
        <v>6.9870134723409443</v>
      </c>
      <c r="AH295" s="357">
        <f t="shared" ca="1" si="144"/>
        <v>-2.301340733301652</v>
      </c>
    </row>
    <row r="296" spans="1:34">
      <c r="A296" s="402">
        <f t="shared" ca="1" si="122"/>
        <v>0.1</v>
      </c>
      <c r="B296" s="357">
        <f t="shared" ca="1" si="123"/>
        <v>11.199999999999978</v>
      </c>
      <c r="C296" s="342"/>
      <c r="D296" s="359">
        <f t="shared" ca="1" si="124"/>
        <v>-0.75191072143787518</v>
      </c>
      <c r="E296" s="360">
        <f t="shared" ca="1" si="125"/>
        <v>-7.5219182836875724</v>
      </c>
      <c r="F296" s="357">
        <f t="shared" ca="1" si="126"/>
        <v>7.5594063523193817</v>
      </c>
      <c r="G296" s="359">
        <f t="shared" ca="1" si="127"/>
        <v>9.7078058111084999</v>
      </c>
      <c r="H296" s="360">
        <f t="shared" ca="1" si="128"/>
        <v>-30.522077615481422</v>
      </c>
      <c r="I296" s="357">
        <f t="shared" ca="1" si="129"/>
        <v>32.028717046295561</v>
      </c>
      <c r="J296" s="359">
        <f t="shared" ca="1" si="130"/>
        <v>142.49766152071109</v>
      </c>
      <c r="K296" s="360">
        <f t="shared" ca="1" si="131"/>
        <v>256.22242587422426</v>
      </c>
      <c r="L296" s="357">
        <f t="shared" ca="1" si="116"/>
        <v>293.18170996797102</v>
      </c>
      <c r="M296" s="359">
        <f t="shared" ca="1" si="132"/>
        <v>-1.2628555432619744</v>
      </c>
      <c r="N296" s="357">
        <f t="shared" ca="1" si="133"/>
        <v>-72.356292763611876</v>
      </c>
      <c r="O296" s="343"/>
      <c r="P296" s="363">
        <f t="shared" ca="1" si="134"/>
        <v>23</v>
      </c>
      <c r="Q296" s="357">
        <f t="shared" ca="1" si="135"/>
        <v>0</v>
      </c>
      <c r="R296" s="359">
        <f t="shared" ca="1" si="136"/>
        <v>0</v>
      </c>
      <c r="S296" s="360">
        <f t="shared" ca="1" si="137"/>
        <v>0.42898953648292248</v>
      </c>
      <c r="T296" s="357">
        <f t="shared" ca="1" si="117"/>
        <v>4.2083873528974696</v>
      </c>
      <c r="U296" s="364">
        <f t="shared" ca="1" si="118"/>
        <v>0</v>
      </c>
      <c r="V296" s="359">
        <f t="shared" ca="1" si="119"/>
        <v>1.1940097723951728</v>
      </c>
      <c r="W296" s="357">
        <f t="shared" ca="1" si="120"/>
        <v>1.079706491211319</v>
      </c>
      <c r="X296" s="343"/>
      <c r="Y296" s="367" t="str">
        <f t="shared" ca="1" si="138"/>
        <v/>
      </c>
      <c r="Z296" s="368" t="str">
        <f t="shared" ca="1" si="139"/>
        <v/>
      </c>
      <c r="AA296" s="369" t="str">
        <f t="shared" ca="1" si="140"/>
        <v/>
      </c>
      <c r="AB296" s="344"/>
      <c r="AC296" s="363" t="e">
        <f t="shared" ca="1" si="141"/>
        <v>#N/A</v>
      </c>
      <c r="AD296" s="376" t="e">
        <f t="shared" ca="1" si="142"/>
        <v>#N/A</v>
      </c>
      <c r="AE296" s="377" t="e">
        <f t="shared" ca="1" si="121"/>
        <v>#N/A</v>
      </c>
      <c r="AF296" s="344"/>
      <c r="AG296" s="359">
        <f t="shared" ca="1" si="143"/>
        <v>6.911213945428667</v>
      </c>
      <c r="AH296" s="357">
        <f t="shared" ca="1" si="144"/>
        <v>-2.4084616819738804</v>
      </c>
    </row>
    <row r="297" spans="1:34">
      <c r="A297" s="402">
        <f t="shared" ca="1" si="122"/>
        <v>0.1</v>
      </c>
      <c r="B297" s="357">
        <f t="shared" ca="1" si="123"/>
        <v>11.299999999999978</v>
      </c>
      <c r="C297" s="342"/>
      <c r="D297" s="359">
        <f t="shared" ca="1" si="124"/>
        <v>-0.76285245918998268</v>
      </c>
      <c r="E297" s="360">
        <f t="shared" ca="1" si="125"/>
        <v>-7.4115340210128462</v>
      </c>
      <c r="F297" s="357">
        <f t="shared" ca="1" si="126"/>
        <v>7.4506899290685187</v>
      </c>
      <c r="G297" s="359">
        <f t="shared" ca="1" si="127"/>
        <v>9.6315205651895024</v>
      </c>
      <c r="H297" s="360">
        <f t="shared" ca="1" si="128"/>
        <v>-31.263231017582708</v>
      </c>
      <c r="I297" s="357">
        <f t="shared" ca="1" si="129"/>
        <v>32.713235884828237</v>
      </c>
      <c r="J297" s="359">
        <f t="shared" ca="1" si="130"/>
        <v>143.464627839526</v>
      </c>
      <c r="K297" s="360">
        <f t="shared" ca="1" si="131"/>
        <v>253.13316044257104</v>
      </c>
      <c r="L297" s="357">
        <f t="shared" ca="1" si="116"/>
        <v>290.96133137717476</v>
      </c>
      <c r="M297" s="359">
        <f t="shared" ca="1" si="132"/>
        <v>-1.2719448972977216</v>
      </c>
      <c r="N297" s="357">
        <f t="shared" ca="1" si="133"/>
        <v>-72.877074388360398</v>
      </c>
      <c r="O297" s="343"/>
      <c r="P297" s="363">
        <f t="shared" ca="1" si="134"/>
        <v>23</v>
      </c>
      <c r="Q297" s="357">
        <f t="shared" ca="1" si="135"/>
        <v>0</v>
      </c>
      <c r="R297" s="359">
        <f t="shared" ca="1" si="136"/>
        <v>0</v>
      </c>
      <c r="S297" s="360">
        <f t="shared" ca="1" si="137"/>
        <v>0.42898953648292248</v>
      </c>
      <c r="T297" s="357">
        <f t="shared" ca="1" si="117"/>
        <v>4.2083873528974696</v>
      </c>
      <c r="U297" s="364">
        <f t="shared" ca="1" si="118"/>
        <v>0</v>
      </c>
      <c r="V297" s="359">
        <f t="shared" ca="1" si="119"/>
        <v>1.1943787505285552</v>
      </c>
      <c r="W297" s="357">
        <f t="shared" ca="1" si="120"/>
        <v>1.1266987802141948</v>
      </c>
      <c r="X297" s="343"/>
      <c r="Y297" s="367" t="str">
        <f t="shared" ca="1" si="138"/>
        <v/>
      </c>
      <c r="Z297" s="368" t="str">
        <f t="shared" ca="1" si="139"/>
        <v/>
      </c>
      <c r="AA297" s="369" t="str">
        <f t="shared" ca="1" si="140"/>
        <v/>
      </c>
      <c r="AB297" s="344"/>
      <c r="AC297" s="363" t="e">
        <f t="shared" ca="1" si="141"/>
        <v>#N/A</v>
      </c>
      <c r="AD297" s="376" t="e">
        <f t="shared" ca="1" si="142"/>
        <v>#N/A</v>
      </c>
      <c r="AE297" s="377" t="e">
        <f t="shared" ca="1" si="121"/>
        <v>#N/A</v>
      </c>
      <c r="AF297" s="344"/>
      <c r="AG297" s="359">
        <f t="shared" ca="1" si="143"/>
        <v>6.8316752365233988</v>
      </c>
      <c r="AH297" s="357">
        <f t="shared" ca="1" si="144"/>
        <v>-2.5168597352357582</v>
      </c>
    </row>
    <row r="298" spans="1:34">
      <c r="A298" s="402">
        <f t="shared" ca="1" si="122"/>
        <v>0.1</v>
      </c>
      <c r="B298" s="357">
        <f t="shared" ca="1" si="123"/>
        <v>11.399999999999977</v>
      </c>
      <c r="C298" s="342"/>
      <c r="D298" s="359">
        <f t="shared" ca="1" si="124"/>
        <v>-0.77327234014325663</v>
      </c>
      <c r="E298" s="360">
        <f t="shared" ca="1" si="125"/>
        <v>-7.3000129584128892</v>
      </c>
      <c r="F298" s="357">
        <f t="shared" ca="1" si="126"/>
        <v>7.3408541263961054</v>
      </c>
      <c r="G298" s="359">
        <f t="shared" ca="1" si="127"/>
        <v>9.5541933311751759</v>
      </c>
      <c r="H298" s="360">
        <f t="shared" ca="1" si="128"/>
        <v>-31.993232313423995</v>
      </c>
      <c r="I298" s="357">
        <f t="shared" ca="1" si="129"/>
        <v>33.389362438809606</v>
      </c>
      <c r="J298" s="359">
        <f t="shared" ca="1" si="130"/>
        <v>144.42391353434422</v>
      </c>
      <c r="K298" s="360">
        <f t="shared" ca="1" si="131"/>
        <v>249.9703372760207</v>
      </c>
      <c r="L298" s="357">
        <f t="shared" ca="1" si="116"/>
        <v>288.69263294802533</v>
      </c>
      <c r="M298" s="359">
        <f t="shared" ca="1" si="132"/>
        <v>-1.2805953263474985</v>
      </c>
      <c r="N298" s="357">
        <f t="shared" ca="1" si="133"/>
        <v>-73.372707463889981</v>
      </c>
      <c r="O298" s="343"/>
      <c r="P298" s="363">
        <f t="shared" ca="1" si="134"/>
        <v>23</v>
      </c>
      <c r="Q298" s="357">
        <f t="shared" ca="1" si="135"/>
        <v>0</v>
      </c>
      <c r="R298" s="359">
        <f t="shared" ca="1" si="136"/>
        <v>0</v>
      </c>
      <c r="S298" s="360">
        <f t="shared" ca="1" si="137"/>
        <v>0.42898953648292248</v>
      </c>
      <c r="T298" s="357">
        <f t="shared" ca="1" si="117"/>
        <v>4.2083873528974696</v>
      </c>
      <c r="U298" s="364">
        <f t="shared" ca="1" si="118"/>
        <v>0</v>
      </c>
      <c r="V298" s="359">
        <f t="shared" ca="1" si="119"/>
        <v>1.1947566309418789</v>
      </c>
      <c r="W298" s="357">
        <f t="shared" ca="1" si="120"/>
        <v>1.1741253042604751</v>
      </c>
      <c r="X298" s="343"/>
      <c r="Y298" s="367" t="str">
        <f t="shared" ca="1" si="138"/>
        <v/>
      </c>
      <c r="Z298" s="368" t="str">
        <f t="shared" ca="1" si="139"/>
        <v/>
      </c>
      <c r="AA298" s="369" t="str">
        <f t="shared" ca="1" si="140"/>
        <v/>
      </c>
      <c r="AB298" s="344"/>
      <c r="AC298" s="363" t="e">
        <f t="shared" ca="1" si="141"/>
        <v>#N/A</v>
      </c>
      <c r="AD298" s="376" t="e">
        <f t="shared" ca="1" si="142"/>
        <v>#N/A</v>
      </c>
      <c r="AE298" s="377" t="e">
        <f t="shared" ca="1" si="121"/>
        <v>#N/A</v>
      </c>
      <c r="AF298" s="344"/>
      <c r="AG298" s="359">
        <f t="shared" ca="1" si="143"/>
        <v>6.7487730006562359</v>
      </c>
      <c r="AH298" s="357">
        <f t="shared" ca="1" si="144"/>
        <v>-2.626401542218145</v>
      </c>
    </row>
    <row r="299" spans="1:34">
      <c r="A299" s="402">
        <f t="shared" ca="1" si="122"/>
        <v>0.1</v>
      </c>
      <c r="B299" s="357">
        <f t="shared" ca="1" si="123"/>
        <v>11.499999999999977</v>
      </c>
      <c r="C299" s="342"/>
      <c r="D299" s="359">
        <f t="shared" ca="1" si="124"/>
        <v>-0.78316567941030013</v>
      </c>
      <c r="E299" s="360">
        <f t="shared" ca="1" si="125"/>
        <v>-7.1874864446675</v>
      </c>
      <c r="F299" s="357">
        <f t="shared" ca="1" si="126"/>
        <v>7.230028345289198</v>
      </c>
      <c r="G299" s="359">
        <f t="shared" ca="1" si="127"/>
        <v>9.4758767632341456</v>
      </c>
      <c r="H299" s="360">
        <f t="shared" ca="1" si="128"/>
        <v>-32.711980957890745</v>
      </c>
      <c r="I299" s="357">
        <f t="shared" ca="1" si="129"/>
        <v>34.056804586182295</v>
      </c>
      <c r="J299" s="359">
        <f t="shared" ca="1" si="130"/>
        <v>145.3754170390647</v>
      </c>
      <c r="K299" s="360">
        <f t="shared" ca="1" si="131"/>
        <v>246.73507661245498</v>
      </c>
      <c r="L299" s="357">
        <f t="shared" ca="1" si="116"/>
        <v>286.37773990000693</v>
      </c>
      <c r="M299" s="359">
        <f t="shared" ca="1" si="132"/>
        <v>-1.2888377688477</v>
      </c>
      <c r="N299" s="357">
        <f t="shared" ca="1" si="133"/>
        <v>-73.844964632030781</v>
      </c>
      <c r="O299" s="343"/>
      <c r="P299" s="363">
        <f t="shared" ca="1" si="134"/>
        <v>23</v>
      </c>
      <c r="Q299" s="357">
        <f t="shared" ca="1" si="135"/>
        <v>0</v>
      </c>
      <c r="R299" s="359">
        <f t="shared" ca="1" si="136"/>
        <v>0</v>
      </c>
      <c r="S299" s="360">
        <f t="shared" ca="1" si="137"/>
        <v>0.42898953648292248</v>
      </c>
      <c r="T299" s="357">
        <f t="shared" ca="1" si="117"/>
        <v>4.2083873528974696</v>
      </c>
      <c r="U299" s="364">
        <f t="shared" ca="1" si="118"/>
        <v>0</v>
      </c>
      <c r="V299" s="359">
        <f t="shared" ca="1" si="119"/>
        <v>1.195143288020853</v>
      </c>
      <c r="W299" s="357">
        <f t="shared" ca="1" si="120"/>
        <v>1.221930533907456</v>
      </c>
      <c r="X299" s="343"/>
      <c r="Y299" s="367" t="str">
        <f t="shared" ca="1" si="138"/>
        <v/>
      </c>
      <c r="Z299" s="368" t="str">
        <f t="shared" ca="1" si="139"/>
        <v/>
      </c>
      <c r="AA299" s="369" t="str">
        <f t="shared" ca="1" si="140"/>
        <v/>
      </c>
      <c r="AB299" s="344"/>
      <c r="AC299" s="363" t="e">
        <f t="shared" ca="1" si="141"/>
        <v>#N/A</v>
      </c>
      <c r="AD299" s="376" t="e">
        <f t="shared" ca="1" si="142"/>
        <v>#N/A</v>
      </c>
      <c r="AE299" s="377" t="e">
        <f t="shared" ca="1" si="121"/>
        <v>#N/A</v>
      </c>
      <c r="AF299" s="344"/>
      <c r="AG299" s="359">
        <f t="shared" ca="1" si="143"/>
        <v>6.6628528073906379</v>
      </c>
      <c r="AH299" s="357">
        <f t="shared" ca="1" si="144"/>
        <v>-2.7369555767876301</v>
      </c>
    </row>
    <row r="300" spans="1:34">
      <c r="A300" s="402">
        <f t="shared" ca="1" si="122"/>
        <v>0.1</v>
      </c>
      <c r="B300" s="357">
        <f t="shared" ca="1" si="123"/>
        <v>11.599999999999977</v>
      </c>
      <c r="C300" s="342"/>
      <c r="D300" s="359">
        <f t="shared" ca="1" si="124"/>
        <v>-0.79252929482911072</v>
      </c>
      <c r="E300" s="360">
        <f t="shared" ca="1" si="125"/>
        <v>-7.0740839630155676</v>
      </c>
      <c r="F300" s="357">
        <f t="shared" ca="1" si="126"/>
        <v>7.1183401575758065</v>
      </c>
      <c r="G300" s="359">
        <f t="shared" ca="1" si="127"/>
        <v>9.3966238337512351</v>
      </c>
      <c r="H300" s="360">
        <f t="shared" ca="1" si="128"/>
        <v>-33.419389354192305</v>
      </c>
      <c r="I300" s="357">
        <f t="shared" ca="1" si="129"/>
        <v>34.715301010939307</v>
      </c>
      <c r="J300" s="359">
        <f t="shared" ca="1" si="130"/>
        <v>146.31904206891397</v>
      </c>
      <c r="K300" s="360">
        <f t="shared" ca="1" si="131"/>
        <v>243.42850809685083</v>
      </c>
      <c r="L300" s="357">
        <f t="shared" ca="1" si="116"/>
        <v>284.0188385058695</v>
      </c>
      <c r="M300" s="359">
        <f t="shared" ca="1" si="132"/>
        <v>-1.2967004027268318</v>
      </c>
      <c r="N300" s="357">
        <f t="shared" ca="1" si="133"/>
        <v>-74.295460369161603</v>
      </c>
      <c r="O300" s="343"/>
      <c r="P300" s="363">
        <f t="shared" ca="1" si="134"/>
        <v>23</v>
      </c>
      <c r="Q300" s="357">
        <f t="shared" ca="1" si="135"/>
        <v>0</v>
      </c>
      <c r="R300" s="359">
        <f t="shared" ca="1" si="136"/>
        <v>0</v>
      </c>
      <c r="S300" s="360">
        <f t="shared" ca="1" si="137"/>
        <v>0.42898953648292248</v>
      </c>
      <c r="T300" s="357">
        <f t="shared" ca="1" si="117"/>
        <v>4.2083873528974696</v>
      </c>
      <c r="U300" s="364">
        <f t="shared" ca="1" si="118"/>
        <v>0</v>
      </c>
      <c r="V300" s="359">
        <f t="shared" ca="1" si="119"/>
        <v>1.1955385950507968</v>
      </c>
      <c r="W300" s="357">
        <f t="shared" ca="1" si="120"/>
        <v>1.2700599376043495</v>
      </c>
      <c r="X300" s="343"/>
      <c r="Y300" s="367" t="str">
        <f t="shared" ca="1" si="138"/>
        <v/>
      </c>
      <c r="Z300" s="368" t="str">
        <f t="shared" ca="1" si="139"/>
        <v/>
      </c>
      <c r="AA300" s="369" t="str">
        <f t="shared" ca="1" si="140"/>
        <v/>
      </c>
      <c r="AB300" s="344"/>
      <c r="AC300" s="363" t="e">
        <f t="shared" ca="1" si="141"/>
        <v>#N/A</v>
      </c>
      <c r="AD300" s="376" t="e">
        <f t="shared" ca="1" si="142"/>
        <v>#N/A</v>
      </c>
      <c r="AE300" s="377" t="e">
        <f t="shared" ca="1" si="121"/>
        <v>#N/A</v>
      </c>
      <c r="AF300" s="344"/>
      <c r="AG300" s="359">
        <f t="shared" ca="1" si="143"/>
        <v>6.574233627733614</v>
      </c>
      <c r="AH300" s="357">
        <f t="shared" ca="1" si="144"/>
        <v>-2.848392396526668</v>
      </c>
    </row>
    <row r="301" spans="1:34">
      <c r="A301" s="402">
        <f t="shared" ca="1" si="122"/>
        <v>0.1</v>
      </c>
      <c r="B301" s="357">
        <f t="shared" ca="1" si="123"/>
        <v>11.699999999999976</v>
      </c>
      <c r="C301" s="342"/>
      <c r="D301" s="359">
        <f t="shared" ca="1" si="124"/>
        <v>-0.80136140789902388</v>
      </c>
      <c r="E301" s="360">
        <f t="shared" ca="1" si="125"/>
        <v>-6.9599328505832165</v>
      </c>
      <c r="F301" s="357">
        <f t="shared" ca="1" si="126"/>
        <v>7.00591502879512</v>
      </c>
      <c r="G301" s="359">
        <f t="shared" ca="1" si="127"/>
        <v>9.3164876929613332</v>
      </c>
      <c r="H301" s="360">
        <f t="shared" ca="1" si="128"/>
        <v>-34.115382639250626</v>
      </c>
      <c r="I301" s="357">
        <f t="shared" ca="1" si="129"/>
        <v>35.364618979363861</v>
      </c>
      <c r="J301" s="359">
        <f t="shared" ca="1" si="130"/>
        <v>147.25469764524959</v>
      </c>
      <c r="K301" s="360">
        <f t="shared" ca="1" si="131"/>
        <v>240.0517694971787</v>
      </c>
      <c r="L301" s="357">
        <f t="shared" ca="1" si="116"/>
        <v>281.61817771109963</v>
      </c>
      <c r="M301" s="359">
        <f t="shared" ca="1" si="132"/>
        <v>-1.3042089342952956</v>
      </c>
      <c r="N301" s="357">
        <f t="shared" ca="1" si="133"/>
        <v>-74.725667538375333</v>
      </c>
      <c r="O301" s="343"/>
      <c r="P301" s="363">
        <f t="shared" ca="1" si="134"/>
        <v>23</v>
      </c>
      <c r="Q301" s="357">
        <f t="shared" ca="1" si="135"/>
        <v>0</v>
      </c>
      <c r="R301" s="359">
        <f t="shared" ca="1" si="136"/>
        <v>0</v>
      </c>
      <c r="S301" s="360">
        <f t="shared" ca="1" si="137"/>
        <v>0.42898953648292248</v>
      </c>
      <c r="T301" s="357">
        <f t="shared" ca="1" si="117"/>
        <v>4.2083873528974696</v>
      </c>
      <c r="U301" s="364">
        <f t="shared" ca="1" si="118"/>
        <v>0</v>
      </c>
      <c r="V301" s="359">
        <f t="shared" ca="1" si="119"/>
        <v>1.1959424243590906</v>
      </c>
      <c r="W301" s="357">
        <f t="shared" ca="1" si="120"/>
        <v>1.3184600784070122</v>
      </c>
      <c r="X301" s="343"/>
      <c r="Y301" s="367" t="str">
        <f t="shared" ca="1" si="138"/>
        <v/>
      </c>
      <c r="Z301" s="368" t="str">
        <f t="shared" ca="1" si="139"/>
        <v/>
      </c>
      <c r="AA301" s="369" t="str">
        <f t="shared" ca="1" si="140"/>
        <v/>
      </c>
      <c r="AB301" s="344"/>
      <c r="AC301" s="363" t="e">
        <f t="shared" ca="1" si="141"/>
        <v>#N/A</v>
      </c>
      <c r="AD301" s="376" t="e">
        <f t="shared" ca="1" si="142"/>
        <v>#N/A</v>
      </c>
      <c r="AE301" s="377" t="e">
        <f t="shared" ca="1" si="121"/>
        <v>#N/A</v>
      </c>
      <c r="AF301" s="344"/>
      <c r="AG301" s="359">
        <f t="shared" ca="1" si="143"/>
        <v>6.483210790447699</v>
      </c>
      <c r="AH301" s="357">
        <f t="shared" ca="1" si="144"/>
        <v>-2.9605848851628318</v>
      </c>
    </row>
    <row r="302" spans="1:34">
      <c r="A302" s="402">
        <f t="shared" ca="1" si="122"/>
        <v>0.1</v>
      </c>
      <c r="B302" s="357">
        <f t="shared" ca="1" si="123"/>
        <v>11.799999999999976</v>
      </c>
      <c r="C302" s="342"/>
      <c r="D302" s="359">
        <f t="shared" ca="1" si="124"/>
        <v>-0.80966155121288474</v>
      </c>
      <c r="E302" s="360">
        <f t="shared" ca="1" si="125"/>
        <v>-6.8451580404291921</v>
      </c>
      <c r="F302" s="357">
        <f t="shared" ca="1" si="126"/>
        <v>6.8928760634415065</v>
      </c>
      <c r="G302" s="359">
        <f t="shared" ca="1" si="127"/>
        <v>9.2355215378400448</v>
      </c>
      <c r="H302" s="360">
        <f t="shared" ca="1" si="128"/>
        <v>-34.799898443293543</v>
      </c>
      <c r="I302" s="357">
        <f t="shared" ca="1" si="129"/>
        <v>36.004552347438675</v>
      </c>
      <c r="J302" s="359">
        <f t="shared" ca="1" si="130"/>
        <v>148.18229810678966</v>
      </c>
      <c r="K302" s="360">
        <f t="shared" ca="1" si="131"/>
        <v>236.60600544305149</v>
      </c>
      <c r="L302" s="357">
        <f t="shared" ca="1" si="116"/>
        <v>279.17807092235375</v>
      </c>
      <c r="M302" s="359">
        <f t="shared" ca="1" si="132"/>
        <v>-1.3113868532819182</v>
      </c>
      <c r="N302" s="357">
        <f t="shared" ca="1" si="133"/>
        <v>-75.136932001995618</v>
      </c>
      <c r="O302" s="343"/>
      <c r="P302" s="363">
        <f t="shared" ca="1" si="134"/>
        <v>23</v>
      </c>
      <c r="Q302" s="357">
        <f t="shared" ca="1" si="135"/>
        <v>0</v>
      </c>
      <c r="R302" s="359">
        <f t="shared" ca="1" si="136"/>
        <v>0</v>
      </c>
      <c r="S302" s="360">
        <f t="shared" ca="1" si="137"/>
        <v>0.42898953648292248</v>
      </c>
      <c r="T302" s="357">
        <f t="shared" ca="1" si="117"/>
        <v>4.2083873528974696</v>
      </c>
      <c r="U302" s="364">
        <f t="shared" ca="1" si="118"/>
        <v>0</v>
      </c>
      <c r="V302" s="359">
        <f t="shared" ca="1" si="119"/>
        <v>1.1963546474552325</v>
      </c>
      <c r="W302" s="357">
        <f t="shared" ca="1" si="120"/>
        <v>1.3670787032782361</v>
      </c>
      <c r="X302" s="343"/>
      <c r="Y302" s="367" t="str">
        <f t="shared" ca="1" si="138"/>
        <v/>
      </c>
      <c r="Z302" s="368" t="str">
        <f t="shared" ca="1" si="139"/>
        <v/>
      </c>
      <c r="AA302" s="369" t="str">
        <f t="shared" ca="1" si="140"/>
        <v/>
      </c>
      <c r="AB302" s="344"/>
      <c r="AC302" s="363" t="e">
        <f t="shared" ca="1" si="141"/>
        <v>#N/A</v>
      </c>
      <c r="AD302" s="376" t="e">
        <f t="shared" ca="1" si="142"/>
        <v>#N/A</v>
      </c>
      <c r="AE302" s="377" t="e">
        <f t="shared" ca="1" si="121"/>
        <v>#N/A</v>
      </c>
      <c r="AF302" s="344"/>
      <c r="AG302" s="359">
        <f t="shared" ca="1" si="143"/>
        <v>6.3900584940533989</v>
      </c>
      <c r="AH302" s="357">
        <f t="shared" ca="1" si="144"/>
        <v>-3.0734084780165691</v>
      </c>
    </row>
    <row r="303" spans="1:34">
      <c r="A303" s="402">
        <f t="shared" ca="1" si="122"/>
        <v>0.1</v>
      </c>
      <c r="B303" s="357">
        <f t="shared" ca="1" si="123"/>
        <v>11.899999999999975</v>
      </c>
      <c r="C303" s="342"/>
      <c r="D303" s="359">
        <f t="shared" ca="1" si="124"/>
        <v>-0.8174304814480704</v>
      </c>
      <c r="E303" s="360">
        <f t="shared" ca="1" si="125"/>
        <v>-6.7298818255911614</v>
      </c>
      <c r="F303" s="357">
        <f t="shared" ca="1" si="126"/>
        <v>6.7793437719607228</v>
      </c>
      <c r="G303" s="359">
        <f t="shared" ca="1" si="127"/>
        <v>9.1537784896952381</v>
      </c>
      <c r="H303" s="360">
        <f t="shared" ca="1" si="128"/>
        <v>-35.472886625852659</v>
      </c>
      <c r="I303" s="357">
        <f t="shared" ca="1" si="129"/>
        <v>36.634919765286831</v>
      </c>
      <c r="J303" s="359">
        <f t="shared" ca="1" si="130"/>
        <v>149.10176310816644</v>
      </c>
      <c r="K303" s="360">
        <f t="shared" ca="1" si="131"/>
        <v>233.09236618959417</v>
      </c>
      <c r="L303" s="357">
        <f t="shared" ca="1" si="116"/>
        <v>276.70089797076491</v>
      </c>
      <c r="M303" s="359">
        <f t="shared" ca="1" si="132"/>
        <v>-1.3182556582862048</v>
      </c>
      <c r="N303" s="357">
        <f t="shared" ca="1" si="133"/>
        <v>-75.530485539039589</v>
      </c>
      <c r="O303" s="343"/>
      <c r="P303" s="363">
        <f t="shared" ca="1" si="134"/>
        <v>23</v>
      </c>
      <c r="Q303" s="357">
        <f t="shared" ca="1" si="135"/>
        <v>0</v>
      </c>
      <c r="R303" s="359">
        <f t="shared" ca="1" si="136"/>
        <v>0</v>
      </c>
      <c r="S303" s="360">
        <f t="shared" ca="1" si="137"/>
        <v>0.42898953648292248</v>
      </c>
      <c r="T303" s="357">
        <f t="shared" ca="1" si="117"/>
        <v>4.2083873528974696</v>
      </c>
      <c r="U303" s="364">
        <f t="shared" ca="1" si="118"/>
        <v>0</v>
      </c>
      <c r="V303" s="359">
        <f t="shared" ca="1" si="119"/>
        <v>1.1967751351682259</v>
      </c>
      <c r="W303" s="357">
        <f t="shared" ca="1" si="120"/>
        <v>1.4158648248963259</v>
      </c>
      <c r="X303" s="343"/>
      <c r="Y303" s="367" t="str">
        <f t="shared" ca="1" si="138"/>
        <v/>
      </c>
      <c r="Z303" s="368" t="str">
        <f t="shared" ca="1" si="139"/>
        <v/>
      </c>
      <c r="AA303" s="369" t="str">
        <f t="shared" ca="1" si="140"/>
        <v/>
      </c>
      <c r="AB303" s="344"/>
      <c r="AC303" s="363" t="e">
        <f t="shared" ca="1" si="141"/>
        <v>#N/A</v>
      </c>
      <c r="AD303" s="376" t="e">
        <f t="shared" ca="1" si="142"/>
        <v>#N/A</v>
      </c>
      <c r="AE303" s="377" t="e">
        <f t="shared" ca="1" si="121"/>
        <v>#N/A</v>
      </c>
      <c r="AF303" s="344"/>
      <c r="AG303" s="359">
        <f t="shared" ca="1" si="143"/>
        <v>6.2950319465633457</v>
      </c>
      <c r="AH303" s="357">
        <f t="shared" ca="1" si="144"/>
        <v>-3.186741370165465</v>
      </c>
    </row>
    <row r="304" spans="1:34">
      <c r="A304" s="402">
        <f t="shared" ca="1" si="122"/>
        <v>0.1</v>
      </c>
      <c r="B304" s="357">
        <f t="shared" ca="1" si="123"/>
        <v>11.999999999999975</v>
      </c>
      <c r="C304" s="342"/>
      <c r="D304" s="359">
        <f t="shared" ca="1" si="124"/>
        <v>-0.82467009715926831</v>
      </c>
      <c r="E304" s="360">
        <f t="shared" ca="1" si="125"/>
        <v>-6.6142236445645555</v>
      </c>
      <c r="F304" s="357">
        <f t="shared" ca="1" si="126"/>
        <v>6.6654358589266689</v>
      </c>
      <c r="G304" s="359">
        <f t="shared" ca="1" si="127"/>
        <v>9.0713114799793111</v>
      </c>
      <c r="H304" s="360">
        <f t="shared" ca="1" si="128"/>
        <v>-36.134308990309115</v>
      </c>
      <c r="I304" s="357">
        <f t="shared" ca="1" si="129"/>
        <v>37.255563050018964</v>
      </c>
      <c r="J304" s="359">
        <f t="shared" ca="1" si="130"/>
        <v>150.01301760665015</v>
      </c>
      <c r="K304" s="360">
        <f t="shared" ca="1" si="131"/>
        <v>229.51200640878608</v>
      </c>
      <c r="L304" s="357">
        <f t="shared" ca="1" si="116"/>
        <v>274.18910725490133</v>
      </c>
      <c r="M304" s="359">
        <f t="shared" ca="1" si="132"/>
        <v>-1.3248350563617008</v>
      </c>
      <c r="N304" s="357">
        <f t="shared" ca="1" si="133"/>
        <v>-75.907457280502001</v>
      </c>
      <c r="O304" s="343"/>
      <c r="P304" s="363">
        <f t="shared" ca="1" si="134"/>
        <v>23</v>
      </c>
      <c r="Q304" s="357">
        <f t="shared" ca="1" si="135"/>
        <v>0</v>
      </c>
      <c r="R304" s="359">
        <f t="shared" ca="1" si="136"/>
        <v>0</v>
      </c>
      <c r="S304" s="360">
        <f t="shared" ca="1" si="137"/>
        <v>0.42898953648292248</v>
      </c>
      <c r="T304" s="357">
        <f t="shared" ca="1" si="117"/>
        <v>4.2083873528974696</v>
      </c>
      <c r="U304" s="364">
        <f t="shared" ca="1" si="118"/>
        <v>0</v>
      </c>
      <c r="V304" s="359">
        <f t="shared" ca="1" si="119"/>
        <v>1.1972037577810386</v>
      </c>
      <c r="W304" s="357">
        <f t="shared" ca="1" si="120"/>
        <v>1.4647687959440583</v>
      </c>
      <c r="X304" s="343"/>
      <c r="Y304" s="367" t="str">
        <f t="shared" ca="1" si="138"/>
        <v/>
      </c>
      <c r="Z304" s="368" t="str">
        <f t="shared" ca="1" si="139"/>
        <v/>
      </c>
      <c r="AA304" s="369" t="str">
        <f t="shared" ca="1" si="140"/>
        <v/>
      </c>
      <c r="AB304" s="344"/>
      <c r="AC304" s="363">
        <f t="shared" ca="1" si="141"/>
        <v>11.999999999999975</v>
      </c>
      <c r="AD304" s="376">
        <f t="shared" ca="1" si="142"/>
        <v>150.01301760665015</v>
      </c>
      <c r="AE304" s="377" t="e">
        <f t="shared" ca="1" si="121"/>
        <v>#N/A</v>
      </c>
      <c r="AF304" s="344"/>
      <c r="AG304" s="359">
        <f t="shared" ca="1" si="143"/>
        <v>6.198369193109742</v>
      </c>
      <c r="AH304" s="357">
        <f t="shared" ca="1" si="144"/>
        <v>-3.3004647071448785</v>
      </c>
    </row>
    <row r="305" spans="1:34">
      <c r="A305" s="402">
        <f t="shared" ca="1" si="122"/>
        <v>0.1</v>
      </c>
      <c r="B305" s="357">
        <f t="shared" ca="1" si="123"/>
        <v>12.099999999999975</v>
      </c>
      <c r="C305" s="342"/>
      <c r="D305" s="359">
        <f t="shared" ca="1" si="124"/>
        <v>-0.83138336076440345</v>
      </c>
      <c r="E305" s="360">
        <f t="shared" ca="1" si="125"/>
        <v>-6.4982998876661764</v>
      </c>
      <c r="F305" s="357">
        <f t="shared" ca="1" si="126"/>
        <v>6.5512670318495001</v>
      </c>
      <c r="G305" s="359">
        <f t="shared" ca="1" si="127"/>
        <v>8.9881731439028716</v>
      </c>
      <c r="H305" s="360">
        <f t="shared" ca="1" si="128"/>
        <v>-36.784138979075735</v>
      </c>
      <c r="I305" s="357">
        <f t="shared" ca="1" si="129"/>
        <v>37.866345702968694</v>
      </c>
      <c r="J305" s="359">
        <f t="shared" ca="1" si="130"/>
        <v>150.91599183784427</v>
      </c>
      <c r="K305" s="360">
        <f t="shared" ca="1" si="131"/>
        <v>225.86608401031683</v>
      </c>
      <c r="L305" s="357">
        <f t="shared" ca="1" si="116"/>
        <v>271.64521806679346</v>
      </c>
      <c r="M305" s="359">
        <f t="shared" ca="1" si="132"/>
        <v>-1.3311431399607432</v>
      </c>
      <c r="N305" s="357">
        <f t="shared" ca="1" si="133"/>
        <v>-76.268883847542824</v>
      </c>
      <c r="O305" s="343"/>
      <c r="P305" s="363">
        <f t="shared" ca="1" si="134"/>
        <v>23</v>
      </c>
      <c r="Q305" s="357">
        <f t="shared" ca="1" si="135"/>
        <v>0</v>
      </c>
      <c r="R305" s="359">
        <f t="shared" ca="1" si="136"/>
        <v>0</v>
      </c>
      <c r="S305" s="360">
        <f t="shared" ca="1" si="137"/>
        <v>0.42898953648292248</v>
      </c>
      <c r="T305" s="357">
        <f t="shared" ca="1" si="117"/>
        <v>4.2083873528974696</v>
      </c>
      <c r="U305" s="364">
        <f t="shared" ca="1" si="118"/>
        <v>0</v>
      </c>
      <c r="V305" s="359">
        <f t="shared" ca="1" si="119"/>
        <v>1.1976403851619115</v>
      </c>
      <c r="W305" s="357">
        <f t="shared" ca="1" si="120"/>
        <v>1.5137423758963784</v>
      </c>
      <c r="X305" s="343"/>
      <c r="Y305" s="367" t="str">
        <f t="shared" ca="1" si="138"/>
        <v/>
      </c>
      <c r="Z305" s="368" t="str">
        <f t="shared" ca="1" si="139"/>
        <v/>
      </c>
      <c r="AA305" s="369" t="str">
        <f t="shared" ca="1" si="140"/>
        <v/>
      </c>
      <c r="AB305" s="344"/>
      <c r="AC305" s="363" t="e">
        <f t="shared" ca="1" si="141"/>
        <v>#N/A</v>
      </c>
      <c r="AD305" s="376" t="e">
        <f t="shared" ca="1" si="142"/>
        <v>#N/A</v>
      </c>
      <c r="AE305" s="377" t="e">
        <f t="shared" ca="1" si="121"/>
        <v>#N/A</v>
      </c>
      <c r="AF305" s="344"/>
      <c r="AG305" s="359">
        <f t="shared" ca="1" si="143"/>
        <v>6.1002926817325065</v>
      </c>
      <c r="AH305" s="357">
        <f t="shared" ca="1" si="144"/>
        <v>-3.4144627581199032</v>
      </c>
    </row>
    <row r="306" spans="1:34">
      <c r="A306" s="402">
        <f t="shared" ca="1" si="122"/>
        <v>0.1</v>
      </c>
      <c r="B306" s="357">
        <f t="shared" ca="1" si="123"/>
        <v>12.199999999999974</v>
      </c>
      <c r="C306" s="342"/>
      <c r="D306" s="359">
        <f t="shared" ca="1" si="124"/>
        <v>-0.837574224237011</v>
      </c>
      <c r="E306" s="360">
        <f t="shared" ca="1" si="125"/>
        <v>-6.3822237237357466</v>
      </c>
      <c r="F306" s="357">
        <f t="shared" ca="1" si="126"/>
        <v>6.4369488300686069</v>
      </c>
      <c r="G306" s="359">
        <f t="shared" ca="1" si="127"/>
        <v>8.9044157214791699</v>
      </c>
      <c r="H306" s="360">
        <f t="shared" ca="1" si="128"/>
        <v>-37.422361351449311</v>
      </c>
      <c r="I306" s="357">
        <f t="shared" ca="1" si="129"/>
        <v>38.467151551153002</v>
      </c>
      <c r="J306" s="359">
        <f t="shared" ca="1" si="130"/>
        <v>151.81062128111338</v>
      </c>
      <c r="K306" s="360">
        <f t="shared" ca="1" si="131"/>
        <v>222.15575899379058</v>
      </c>
      <c r="L306" s="357">
        <f t="shared" ca="1" si="116"/>
        <v>269.07182310280058</v>
      </c>
      <c r="M306" s="359">
        <f t="shared" ca="1" si="132"/>
        <v>-1.3371965440477511</v>
      </c>
      <c r="N306" s="357">
        <f t="shared" ca="1" si="133"/>
        <v>-76.615718353415616</v>
      </c>
      <c r="O306" s="343"/>
      <c r="P306" s="363">
        <f t="shared" ca="1" si="134"/>
        <v>23</v>
      </c>
      <c r="Q306" s="357">
        <f t="shared" ca="1" si="135"/>
        <v>0</v>
      </c>
      <c r="R306" s="359">
        <f t="shared" ca="1" si="136"/>
        <v>0</v>
      </c>
      <c r="S306" s="360">
        <f t="shared" ca="1" si="137"/>
        <v>0.42898953648292248</v>
      </c>
      <c r="T306" s="357">
        <f t="shared" ca="1" si="117"/>
        <v>4.2083873528974696</v>
      </c>
      <c r="U306" s="364">
        <f t="shared" ca="1" si="118"/>
        <v>0</v>
      </c>
      <c r="V306" s="359">
        <f t="shared" ca="1" si="119"/>
        <v>1.1980848868923029</v>
      </c>
      <c r="W306" s="357">
        <f t="shared" ca="1" si="120"/>
        <v>1.5627387903682053</v>
      </c>
      <c r="X306" s="343"/>
      <c r="Y306" s="367" t="str">
        <f t="shared" ca="1" si="138"/>
        <v/>
      </c>
      <c r="Z306" s="368" t="str">
        <f t="shared" ca="1" si="139"/>
        <v/>
      </c>
      <c r="AA306" s="369" t="str">
        <f t="shared" ca="1" si="140"/>
        <v/>
      </c>
      <c r="AB306" s="344"/>
      <c r="AC306" s="363" t="e">
        <f t="shared" ca="1" si="141"/>
        <v>#N/A</v>
      </c>
      <c r="AD306" s="376" t="e">
        <f t="shared" ca="1" si="142"/>
        <v>#N/A</v>
      </c>
      <c r="AE306" s="377" t="e">
        <f t="shared" ca="1" si="121"/>
        <v>#N/A</v>
      </c>
      <c r="AF306" s="344"/>
      <c r="AG306" s="359">
        <f t="shared" ca="1" si="143"/>
        <v>6.0010106093581239</v>
      </c>
      <c r="AH306" s="357">
        <f t="shared" ca="1" si="144"/>
        <v>-3.5286230715714404</v>
      </c>
    </row>
    <row r="307" spans="1:34">
      <c r="A307" s="402">
        <f t="shared" ca="1" si="122"/>
        <v>0.1</v>
      </c>
      <c r="B307" s="357">
        <f t="shared" ca="1" si="123"/>
        <v>12.299999999999974</v>
      </c>
      <c r="C307" s="342"/>
      <c r="D307" s="359">
        <f t="shared" ca="1" si="124"/>
        <v>-0.84324755811816177</v>
      </c>
      <c r="E307" s="360">
        <f t="shared" ca="1" si="125"/>
        <v>-6.2661049466159602</v>
      </c>
      <c r="F307" s="357">
        <f t="shared" ca="1" si="126"/>
        <v>6.322589473172938</v>
      </c>
      <c r="G307" s="359">
        <f t="shared" ca="1" si="127"/>
        <v>8.8200909656673545</v>
      </c>
      <c r="H307" s="360">
        <f t="shared" ca="1" si="128"/>
        <v>-38.048971846110909</v>
      </c>
      <c r="I307" s="357">
        <f t="shared" ca="1" si="129"/>
        <v>39.057883496021482</v>
      </c>
      <c r="J307" s="359">
        <f t="shared" ca="1" si="130"/>
        <v>152.69684661547072</v>
      </c>
      <c r="K307" s="360">
        <f t="shared" ca="1" si="131"/>
        <v>218.38219233391257</v>
      </c>
      <c r="L307" s="357">
        <f t="shared" ca="1" si="116"/>
        <v>266.47159115912257</v>
      </c>
      <c r="M307" s="359">
        <f t="shared" ca="1" si="132"/>
        <v>-1.3430105858203683</v>
      </c>
      <c r="N307" s="357">
        <f t="shared" ca="1" si="133"/>
        <v>-76.948838408899348</v>
      </c>
      <c r="O307" s="343"/>
      <c r="P307" s="363">
        <f t="shared" ca="1" si="134"/>
        <v>23</v>
      </c>
      <c r="Q307" s="357">
        <f t="shared" ca="1" si="135"/>
        <v>0</v>
      </c>
      <c r="R307" s="359">
        <f t="shared" ca="1" si="136"/>
        <v>0</v>
      </c>
      <c r="S307" s="360">
        <f t="shared" ca="1" si="137"/>
        <v>0.42898953648292248</v>
      </c>
      <c r="T307" s="357">
        <f t="shared" ca="1" si="117"/>
        <v>4.2083873528974696</v>
      </c>
      <c r="U307" s="364">
        <f t="shared" ca="1" si="118"/>
        <v>0</v>
      </c>
      <c r="V307" s="359">
        <f t="shared" ca="1" si="119"/>
        <v>1.1985371323912875</v>
      </c>
      <c r="W307" s="357">
        <f t="shared" ca="1" si="120"/>
        <v>1.6117127831234841</v>
      </c>
      <c r="X307" s="343"/>
      <c r="Y307" s="367" t="str">
        <f t="shared" ca="1" si="138"/>
        <v/>
      </c>
      <c r="Z307" s="368" t="str">
        <f t="shared" ca="1" si="139"/>
        <v/>
      </c>
      <c r="AA307" s="369" t="str">
        <f t="shared" ca="1" si="140"/>
        <v/>
      </c>
      <c r="AB307" s="344"/>
      <c r="AC307" s="363" t="e">
        <f t="shared" ca="1" si="141"/>
        <v>#N/A</v>
      </c>
      <c r="AD307" s="376" t="e">
        <f t="shared" ca="1" si="142"/>
        <v>#N/A</v>
      </c>
      <c r="AE307" s="377" t="e">
        <f t="shared" ca="1" si="121"/>
        <v>#N/A</v>
      </c>
      <c r="AF307" s="344"/>
      <c r="AG307" s="359">
        <f t="shared" ca="1" si="143"/>
        <v>5.900718083139604</v>
      </c>
      <c r="AH307" s="357">
        <f t="shared" ca="1" si="144"/>
        <v>-3.6428366136394468</v>
      </c>
    </row>
    <row r="308" spans="1:34">
      <c r="A308" s="402">
        <f t="shared" ca="1" si="122"/>
        <v>0.1</v>
      </c>
      <c r="B308" s="357">
        <f t="shared" ca="1" si="123"/>
        <v>12.399999999999974</v>
      </c>
      <c r="C308" s="342"/>
      <c r="D308" s="359">
        <f t="shared" ca="1" si="124"/>
        <v>-0.84840908354245692</v>
      </c>
      <c r="E308" s="360">
        <f t="shared" ca="1" si="125"/>
        <v>-6.1500498408295945</v>
      </c>
      <c r="F308" s="357">
        <f t="shared" ca="1" si="126"/>
        <v>6.2082937283705792</v>
      </c>
      <c r="G308" s="359">
        <f t="shared" ca="1" si="127"/>
        <v>8.7352500573131096</v>
      </c>
      <c r="H308" s="360">
        <f t="shared" ca="1" si="128"/>
        <v>-38.663976830193867</v>
      </c>
      <c r="I308" s="357">
        <f t="shared" ca="1" si="129"/>
        <v>39.638462355262433</v>
      </c>
      <c r="J308" s="359">
        <f t="shared" ca="1" si="130"/>
        <v>153.57461366661974</v>
      </c>
      <c r="K308" s="360">
        <f t="shared" ca="1" si="131"/>
        <v>214.54654490009733</v>
      </c>
      <c r="L308" s="357">
        <f t="shared" ca="1" si="116"/>
        <v>263.84727000941467</v>
      </c>
      <c r="M308" s="359">
        <f t="shared" ca="1" si="132"/>
        <v>-1.3485993891587336</v>
      </c>
      <c r="N308" s="357">
        <f t="shared" ca="1" si="133"/>
        <v>-77.269053252716304</v>
      </c>
      <c r="O308" s="343"/>
      <c r="P308" s="363">
        <f t="shared" ca="1" si="134"/>
        <v>23</v>
      </c>
      <c r="Q308" s="357">
        <f t="shared" ca="1" si="135"/>
        <v>0</v>
      </c>
      <c r="R308" s="359">
        <f t="shared" ca="1" si="136"/>
        <v>0</v>
      </c>
      <c r="S308" s="360">
        <f t="shared" ca="1" si="137"/>
        <v>0.42898953648292248</v>
      </c>
      <c r="T308" s="357">
        <f t="shared" ca="1" si="117"/>
        <v>4.2083873528974696</v>
      </c>
      <c r="U308" s="364">
        <f t="shared" ca="1" si="118"/>
        <v>0</v>
      </c>
      <c r="V308" s="359">
        <f t="shared" ca="1" si="119"/>
        <v>1.198996991036247</v>
      </c>
      <c r="W308" s="357">
        <f t="shared" ca="1" si="120"/>
        <v>1.6606206608829484</v>
      </c>
      <c r="X308" s="343"/>
      <c r="Y308" s="367" t="str">
        <f t="shared" ca="1" si="138"/>
        <v/>
      </c>
      <c r="Z308" s="368" t="str">
        <f t="shared" ca="1" si="139"/>
        <v/>
      </c>
      <c r="AA308" s="369" t="str">
        <f t="shared" ca="1" si="140"/>
        <v/>
      </c>
      <c r="AB308" s="344"/>
      <c r="AC308" s="363" t="e">
        <f t="shared" ca="1" si="141"/>
        <v>#N/A</v>
      </c>
      <c r="AD308" s="376" t="e">
        <f t="shared" ca="1" si="142"/>
        <v>#N/A</v>
      </c>
      <c r="AE308" s="377" t="e">
        <f t="shared" ca="1" si="121"/>
        <v>#N/A</v>
      </c>
      <c r="AF308" s="344"/>
      <c r="AG308" s="359">
        <f t="shared" ca="1" si="143"/>
        <v>5.7995981266121337</v>
      </c>
      <c r="AH308" s="357">
        <f t="shared" ca="1" si="144"/>
        <v>-3.7569978893591132</v>
      </c>
    </row>
    <row r="309" spans="1:34">
      <c r="A309" s="402">
        <f t="shared" ca="1" si="122"/>
        <v>0.1</v>
      </c>
      <c r="B309" s="357">
        <f t="shared" ca="1" si="123"/>
        <v>12.499999999999973</v>
      </c>
      <c r="C309" s="342"/>
      <c r="D309" s="359">
        <f t="shared" ca="1" si="124"/>
        <v>-0.85306530703861538</v>
      </c>
      <c r="E309" s="360">
        <f t="shared" ca="1" si="125"/>
        <v>-6.0341610658449198</v>
      </c>
      <c r="F309" s="357">
        <f t="shared" ca="1" si="126"/>
        <v>6.0941627962035589</v>
      </c>
      <c r="G309" s="359">
        <f t="shared" ca="1" si="127"/>
        <v>8.6499435266092473</v>
      </c>
      <c r="H309" s="360">
        <f t="shared" ca="1" si="128"/>
        <v>-39.267392936778357</v>
      </c>
      <c r="I309" s="357">
        <f t="shared" ca="1" si="129"/>
        <v>40.208825785701329</v>
      </c>
      <c r="J309" s="359">
        <f t="shared" ca="1" si="130"/>
        <v>154.44387334581586</v>
      </c>
      <c r="K309" s="360">
        <f t="shared" ca="1" si="131"/>
        <v>210.64997641174872</v>
      </c>
      <c r="L309" s="357">
        <f t="shared" ca="1" si="116"/>
        <v>261.20168945917771</v>
      </c>
      <c r="M309" s="359">
        <f t="shared" ca="1" si="132"/>
        <v>-1.3539759956468511</v>
      </c>
      <c r="N309" s="357">
        <f t="shared" ca="1" si="133"/>
        <v>-77.577110112588088</v>
      </c>
      <c r="O309" s="343"/>
      <c r="P309" s="363">
        <f t="shared" ca="1" si="134"/>
        <v>23</v>
      </c>
      <c r="Q309" s="357">
        <f t="shared" ca="1" si="135"/>
        <v>0</v>
      </c>
      <c r="R309" s="359">
        <f t="shared" ca="1" si="136"/>
        <v>0</v>
      </c>
      <c r="S309" s="360">
        <f t="shared" ca="1" si="137"/>
        <v>0.42898953648292248</v>
      </c>
      <c r="T309" s="357">
        <f t="shared" ca="1" si="117"/>
        <v>4.2083873528974696</v>
      </c>
      <c r="U309" s="364">
        <f t="shared" ca="1" si="118"/>
        <v>0</v>
      </c>
      <c r="V309" s="359">
        <f t="shared" ca="1" si="119"/>
        <v>1.1994643322797081</v>
      </c>
      <c r="W309" s="357">
        <f t="shared" ca="1" si="120"/>
        <v>1.7094203311010192</v>
      </c>
      <c r="X309" s="343"/>
      <c r="Y309" s="367" t="str">
        <f t="shared" ca="1" si="138"/>
        <v/>
      </c>
      <c r="Z309" s="368" t="str">
        <f t="shared" ca="1" si="139"/>
        <v/>
      </c>
      <c r="AA309" s="369" t="str">
        <f t="shared" ca="1" si="140"/>
        <v/>
      </c>
      <c r="AB309" s="344"/>
      <c r="AC309" s="363" t="e">
        <f t="shared" ca="1" si="141"/>
        <v>#N/A</v>
      </c>
      <c r="AD309" s="376" t="e">
        <f t="shared" ca="1" si="142"/>
        <v>#N/A</v>
      </c>
      <c r="AE309" s="377" t="e">
        <f t="shared" ca="1" si="121"/>
        <v>#N/A</v>
      </c>
      <c r="AF309" s="344"/>
      <c r="AG309" s="359">
        <f t="shared" ca="1" si="143"/>
        <v>5.697822555351987</v>
      </c>
      <c r="AH309" s="357">
        <f t="shared" ca="1" si="144"/>
        <v>-3.87100504711041</v>
      </c>
    </row>
    <row r="310" spans="1:34">
      <c r="A310" s="402">
        <f t="shared" ca="1" si="122"/>
        <v>0.1</v>
      </c>
      <c r="B310" s="357">
        <f t="shared" ca="1" si="123"/>
        <v>12.599999999999973</v>
      </c>
      <c r="C310" s="342"/>
      <c r="D310" s="359">
        <f t="shared" ca="1" si="124"/>
        <v>-0.85722345791847465</v>
      </c>
      <c r="E310" s="360">
        <f t="shared" ca="1" si="125"/>
        <v>-5.9185375582904385</v>
      </c>
      <c r="F310" s="357">
        <f t="shared" ca="1" si="126"/>
        <v>5.9802942139747817</v>
      </c>
      <c r="G310" s="359">
        <f t="shared" ca="1" si="127"/>
        <v>8.5642211808174</v>
      </c>
      <c r="H310" s="360">
        <f t="shared" ca="1" si="128"/>
        <v>-39.8592466926074</v>
      </c>
      <c r="I310" s="357">
        <f t="shared" ca="1" si="129"/>
        <v>40.768927277230333</v>
      </c>
      <c r="J310" s="359">
        <f t="shared" ca="1" si="130"/>
        <v>155.30458158118719</v>
      </c>
      <c r="K310" s="360">
        <f t="shared" ca="1" si="131"/>
        <v>206.69364443027945</v>
      </c>
      <c r="L310" s="357">
        <f t="shared" ca="1" si="116"/>
        <v>258.53776456830911</v>
      </c>
      <c r="M310" s="359">
        <f t="shared" ca="1" si="132"/>
        <v>-1.3591524637709571</v>
      </c>
      <c r="N310" s="357">
        <f t="shared" ca="1" si="133"/>
        <v>-77.873699888883365</v>
      </c>
      <c r="O310" s="343"/>
      <c r="P310" s="363">
        <f t="shared" ca="1" si="134"/>
        <v>23</v>
      </c>
      <c r="Q310" s="357">
        <f t="shared" ca="1" si="135"/>
        <v>0</v>
      </c>
      <c r="R310" s="359">
        <f t="shared" ca="1" si="136"/>
        <v>0</v>
      </c>
      <c r="S310" s="360">
        <f t="shared" ca="1" si="137"/>
        <v>0.42898953648292248</v>
      </c>
      <c r="T310" s="357">
        <f t="shared" ca="1" si="117"/>
        <v>4.2083873528974696</v>
      </c>
      <c r="U310" s="364">
        <f t="shared" ca="1" si="118"/>
        <v>0</v>
      </c>
      <c r="V310" s="359">
        <f t="shared" ca="1" si="119"/>
        <v>1.1999390257621998</v>
      </c>
      <c r="W310" s="357">
        <f t="shared" ca="1" si="120"/>
        <v>1.7580713329118065</v>
      </c>
      <c r="X310" s="343"/>
      <c r="Y310" s="367" t="str">
        <f t="shared" ca="1" si="138"/>
        <v/>
      </c>
      <c r="Z310" s="368" t="str">
        <f t="shared" ca="1" si="139"/>
        <v/>
      </c>
      <c r="AA310" s="369" t="str">
        <f t="shared" ca="1" si="140"/>
        <v/>
      </c>
      <c r="AB310" s="344"/>
      <c r="AC310" s="363" t="e">
        <f t="shared" ca="1" si="141"/>
        <v>#N/A</v>
      </c>
      <c r="AD310" s="376" t="e">
        <f t="shared" ca="1" si="142"/>
        <v>#N/A</v>
      </c>
      <c r="AE310" s="377" t="e">
        <f t="shared" ca="1" si="121"/>
        <v>#N/A</v>
      </c>
      <c r="AF310" s="344"/>
      <c r="AG310" s="359">
        <f t="shared" ca="1" si="143"/>
        <v>5.5955527428458467</v>
      </c>
      <c r="AH310" s="357">
        <f t="shared" ca="1" si="144"/>
        <v>-3.984759966678276</v>
      </c>
    </row>
    <row r="311" spans="1:34">
      <c r="A311" s="402">
        <f t="shared" ca="1" si="122"/>
        <v>0.1</v>
      </c>
      <c r="B311" s="357">
        <f t="shared" ca="1" si="123"/>
        <v>12.699999999999973</v>
      </c>
      <c r="C311" s="342"/>
      <c r="D311" s="359">
        <f t="shared" ca="1" si="124"/>
        <v>-0.86089142811083796</v>
      </c>
      <c r="E311" s="360">
        <f t="shared" ca="1" si="125"/>
        <v>-5.8032744514491998</v>
      </c>
      <c r="F311" s="357">
        <f t="shared" ca="1" si="126"/>
        <v>5.8667817762243146</v>
      </c>
      <c r="G311" s="359">
        <f t="shared" ca="1" si="127"/>
        <v>8.4781320380063168</v>
      </c>
      <c r="H311" s="360">
        <f t="shared" ca="1" si="128"/>
        <v>-40.439574137752317</v>
      </c>
      <c r="I311" s="357">
        <f t="shared" ca="1" si="129"/>
        <v>41.318735209304691</v>
      </c>
      <c r="J311" s="359">
        <f t="shared" ca="1" si="130"/>
        <v>156.15669924212838</v>
      </c>
      <c r="K311" s="360">
        <f t="shared" ca="1" si="131"/>
        <v>202.67870338876145</v>
      </c>
      <c r="L311" s="357">
        <f t="shared" ca="1" si="116"/>
        <v>255.85849902933865</v>
      </c>
      <c r="M311" s="359">
        <f t="shared" ca="1" si="132"/>
        <v>-1.364139957692996</v>
      </c>
      <c r="N311" s="357">
        <f t="shared" ca="1" si="133"/>
        <v>-78.15946224096335</v>
      </c>
      <c r="O311" s="343"/>
      <c r="P311" s="363">
        <f t="shared" ca="1" si="134"/>
        <v>23</v>
      </c>
      <c r="Q311" s="357">
        <f t="shared" ca="1" si="135"/>
        <v>0</v>
      </c>
      <c r="R311" s="359">
        <f t="shared" ca="1" si="136"/>
        <v>0</v>
      </c>
      <c r="S311" s="360">
        <f t="shared" ca="1" si="137"/>
        <v>0.42898953648292248</v>
      </c>
      <c r="T311" s="357">
        <f t="shared" ca="1" si="117"/>
        <v>4.2083873528974696</v>
      </c>
      <c r="U311" s="364">
        <f t="shared" ca="1" si="118"/>
        <v>0</v>
      </c>
      <c r="V311" s="359">
        <f t="shared" ca="1" si="119"/>
        <v>1.2004209414210416</v>
      </c>
      <c r="W311" s="357">
        <f t="shared" ca="1" si="120"/>
        <v>1.8065348614703178</v>
      </c>
      <c r="X311" s="343"/>
      <c r="Y311" s="367" t="str">
        <f t="shared" ca="1" si="138"/>
        <v/>
      </c>
      <c r="Z311" s="368" t="str">
        <f t="shared" ca="1" si="139"/>
        <v/>
      </c>
      <c r="AA311" s="369" t="str">
        <f t="shared" ca="1" si="140"/>
        <v/>
      </c>
      <c r="AB311" s="344"/>
      <c r="AC311" s="363" t="e">
        <f t="shared" ca="1" si="141"/>
        <v>#N/A</v>
      </c>
      <c r="AD311" s="376" t="e">
        <f t="shared" ca="1" si="142"/>
        <v>#N/A</v>
      </c>
      <c r="AE311" s="377" t="e">
        <f t="shared" ca="1" si="121"/>
        <v>#N/A</v>
      </c>
      <c r="AF311" s="344"/>
      <c r="AG311" s="359">
        <f t="shared" ca="1" si="143"/>
        <v>5.4929402939498244</v>
      </c>
      <c r="AH311" s="357">
        <f t="shared" ca="1" si="144"/>
        <v>-4.0981683313895774</v>
      </c>
    </row>
    <row r="312" spans="1:34">
      <c r="A312" s="402">
        <f t="shared" ca="1" si="122"/>
        <v>0.1</v>
      </c>
      <c r="B312" s="357">
        <f t="shared" ca="1" si="123"/>
        <v>12.799999999999972</v>
      </c>
      <c r="C312" s="342"/>
      <c r="D312" s="359">
        <f t="shared" ca="1" si="124"/>
        <v>-0.86407771433041736</v>
      </c>
      <c r="E312" s="360">
        <f t="shared" ca="1" si="125"/>
        <v>-5.6884630113331527</v>
      </c>
      <c r="F312" s="357">
        <f t="shared" ca="1" si="126"/>
        <v>5.7537154715633898</v>
      </c>
      <c r="G312" s="359">
        <f t="shared" ca="1" si="127"/>
        <v>8.3917242665732754</v>
      </c>
      <c r="H312" s="360">
        <f t="shared" ca="1" si="128"/>
        <v>-41.008420438885629</v>
      </c>
      <c r="I312" s="357">
        <f t="shared" ca="1" si="129"/>
        <v>41.858231962884048</v>
      </c>
      <c r="J312" s="359">
        <f t="shared" ca="1" si="130"/>
        <v>157.00019205735737</v>
      </c>
      <c r="K312" s="360">
        <f t="shared" ca="1" si="131"/>
        <v>198.60630365992955</v>
      </c>
      <c r="L312" s="357">
        <f t="shared" ca="1" si="116"/>
        <v>253.16698868436075</v>
      </c>
      <c r="M312" s="359">
        <f t="shared" ca="1" si="132"/>
        <v>-1.3689488268184677</v>
      </c>
      <c r="N312" s="357">
        <f t="shared" ca="1" si="133"/>
        <v>-78.434990146083649</v>
      </c>
      <c r="O312" s="343"/>
      <c r="P312" s="363">
        <f t="shared" ca="1" si="134"/>
        <v>23</v>
      </c>
      <c r="Q312" s="357">
        <f t="shared" ca="1" si="135"/>
        <v>0</v>
      </c>
      <c r="R312" s="359">
        <f t="shared" ca="1" si="136"/>
        <v>0</v>
      </c>
      <c r="S312" s="360">
        <f t="shared" ca="1" si="137"/>
        <v>0.42898953648292248</v>
      </c>
      <c r="T312" s="357">
        <f t="shared" ca="1" si="117"/>
        <v>4.2083873528974696</v>
      </c>
      <c r="U312" s="364">
        <f t="shared" ca="1" si="118"/>
        <v>0</v>
      </c>
      <c r="V312" s="359">
        <f t="shared" ca="1" si="119"/>
        <v>1.2009099495949551</v>
      </c>
      <c r="W312" s="357">
        <f t="shared" ca="1" si="120"/>
        <v>1.8547737859377524</v>
      </c>
      <c r="X312" s="343"/>
      <c r="Y312" s="367" t="str">
        <f t="shared" ca="1" si="138"/>
        <v/>
      </c>
      <c r="Z312" s="368" t="str">
        <f t="shared" ca="1" si="139"/>
        <v/>
      </c>
      <c r="AA312" s="369" t="str">
        <f t="shared" ca="1" si="140"/>
        <v/>
      </c>
      <c r="AB312" s="344"/>
      <c r="AC312" s="363" t="e">
        <f t="shared" ca="1" si="141"/>
        <v>#N/A</v>
      </c>
      <c r="AD312" s="376" t="e">
        <f t="shared" ca="1" si="142"/>
        <v>#N/A</v>
      </c>
      <c r="AE312" s="377" t="e">
        <f t="shared" ca="1" si="121"/>
        <v>#N/A</v>
      </c>
      <c r="AF312" s="344"/>
      <c r="AG312" s="359">
        <f t="shared" ca="1" si="143"/>
        <v>5.3901276405315359</v>
      </c>
      <c r="AH312" s="357">
        <f t="shared" ca="1" si="144"/>
        <v>-4.2111396848539071</v>
      </c>
    </row>
    <row r="313" spans="1:34">
      <c r="A313" s="402">
        <f t="shared" ca="1" si="122"/>
        <v>0.1</v>
      </c>
      <c r="B313" s="357">
        <f t="shared" ca="1" si="123"/>
        <v>12.899999999999972</v>
      </c>
      <c r="C313" s="342"/>
      <c r="D313" s="359">
        <f t="shared" ca="1" si="124"/>
        <v>-0.86679136249857258</v>
      </c>
      <c r="E313" s="360">
        <f t="shared" ca="1" si="125"/>
        <v>-5.5741905886105885</v>
      </c>
      <c r="F313" s="357">
        <f t="shared" ca="1" si="126"/>
        <v>5.6411814351478702</v>
      </c>
      <c r="G313" s="359">
        <f t="shared" ca="1" si="127"/>
        <v>8.3050451303234176</v>
      </c>
      <c r="H313" s="360">
        <f t="shared" ca="1" si="128"/>
        <v>-41.565839497746687</v>
      </c>
      <c r="I313" s="357">
        <f t="shared" ca="1" si="129"/>
        <v>42.38741308182356</v>
      </c>
      <c r="J313" s="359">
        <f t="shared" ca="1" si="130"/>
        <v>157.83503052720221</v>
      </c>
      <c r="K313" s="360">
        <f t="shared" ca="1" si="131"/>
        <v>194.47759066309794</v>
      </c>
      <c r="L313" s="357">
        <f t="shared" ca="1" si="116"/>
        <v>250.46642515843581</v>
      </c>
      <c r="M313" s="359">
        <f t="shared" ca="1" si="132"/>
        <v>-1.3735886772231811</v>
      </c>
      <c r="N313" s="357">
        <f t="shared" ca="1" si="133"/>
        <v>-78.700833991845784</v>
      </c>
      <c r="O313" s="343"/>
      <c r="P313" s="363">
        <f t="shared" ca="1" si="134"/>
        <v>23</v>
      </c>
      <c r="Q313" s="357">
        <f t="shared" ca="1" si="135"/>
        <v>0</v>
      </c>
      <c r="R313" s="359">
        <f t="shared" ca="1" si="136"/>
        <v>0</v>
      </c>
      <c r="S313" s="360">
        <f t="shared" ca="1" si="137"/>
        <v>0.42898953648292248</v>
      </c>
      <c r="T313" s="357">
        <f t="shared" ca="1" si="117"/>
        <v>4.2083873528974696</v>
      </c>
      <c r="U313" s="364">
        <f t="shared" ca="1" si="118"/>
        <v>0</v>
      </c>
      <c r="V313" s="359">
        <f t="shared" ca="1" si="119"/>
        <v>1.2014059211244523</v>
      </c>
      <c r="W313" s="357">
        <f t="shared" ca="1" si="120"/>
        <v>1.9027526613793171</v>
      </c>
      <c r="X313" s="343"/>
      <c r="Y313" s="367" t="str">
        <f t="shared" ca="1" si="138"/>
        <v/>
      </c>
      <c r="Z313" s="368" t="str">
        <f t="shared" ca="1" si="139"/>
        <v/>
      </c>
      <c r="AA313" s="369" t="str">
        <f t="shared" ca="1" si="140"/>
        <v/>
      </c>
      <c r="AB313" s="344"/>
      <c r="AC313" s="363" t="e">
        <f t="shared" ca="1" si="141"/>
        <v>#N/A</v>
      </c>
      <c r="AD313" s="376" t="e">
        <f t="shared" ca="1" si="142"/>
        <v>#N/A</v>
      </c>
      <c r="AE313" s="377" t="e">
        <f t="shared" ca="1" si="121"/>
        <v>#N/A</v>
      </c>
      <c r="AF313" s="344"/>
      <c r="AG313" s="359">
        <f t="shared" ca="1" si="143"/>
        <v>5.287248571552861</v>
      </c>
      <c r="AH313" s="357">
        <f t="shared" ca="1" si="144"/>
        <v>-4.323587472888371</v>
      </c>
    </row>
    <row r="314" spans="1:34">
      <c r="A314" s="402">
        <f t="shared" ca="1" si="122"/>
        <v>0.1</v>
      </c>
      <c r="B314" s="357">
        <f t="shared" ca="1" si="123"/>
        <v>12.999999999999972</v>
      </c>
      <c r="C314" s="342"/>
      <c r="D314" s="359">
        <f t="shared" ca="1" si="124"/>
        <v>-0.8690419143529482</v>
      </c>
      <c r="E314" s="360">
        <f t="shared" ca="1" si="125"/>
        <v>-5.4605405856352665</v>
      </c>
      <c r="F314" s="357">
        <f t="shared" ca="1" si="126"/>
        <v>5.5292619160492098</v>
      </c>
      <c r="G314" s="359">
        <f t="shared" ca="1" si="127"/>
        <v>8.2181409388881228</v>
      </c>
      <c r="H314" s="360">
        <f t="shared" ca="1" si="128"/>
        <v>-42.111893556310214</v>
      </c>
      <c r="I314" s="357">
        <f t="shared" ca="1" si="129"/>
        <v>42.906286478666864</v>
      </c>
      <c r="J314" s="359">
        <f t="shared" ca="1" si="130"/>
        <v>158.66118983066278</v>
      </c>
      <c r="K314" s="360">
        <f t="shared" ca="1" si="131"/>
        <v>190.29370401039509</v>
      </c>
      <c r="L314" s="357">
        <f t="shared" ca="1" si="116"/>
        <v>247.76009958118249</v>
      </c>
      <c r="M314" s="359">
        <f t="shared" ca="1" si="132"/>
        <v>-1.3780684358695103</v>
      </c>
      <c r="N314" s="357">
        <f t="shared" ca="1" si="133"/>
        <v>-78.957505255517688</v>
      </c>
      <c r="O314" s="343"/>
      <c r="P314" s="363">
        <f t="shared" ca="1" si="134"/>
        <v>23</v>
      </c>
      <c r="Q314" s="357">
        <f t="shared" ca="1" si="135"/>
        <v>0</v>
      </c>
      <c r="R314" s="359">
        <f t="shared" ca="1" si="136"/>
        <v>0</v>
      </c>
      <c r="S314" s="360">
        <f t="shared" ca="1" si="137"/>
        <v>0.42898953648292248</v>
      </c>
      <c r="T314" s="357">
        <f t="shared" ca="1" si="117"/>
        <v>4.2083873528974696</v>
      </c>
      <c r="U314" s="364">
        <f t="shared" ca="1" si="118"/>
        <v>0</v>
      </c>
      <c r="V314" s="359">
        <f t="shared" ca="1" si="119"/>
        <v>1.2019087274479392</v>
      </c>
      <c r="W314" s="357">
        <f t="shared" ca="1" si="120"/>
        <v>1.9504377348593216</v>
      </c>
      <c r="X314" s="343"/>
      <c r="Y314" s="367" t="str">
        <f t="shared" ca="1" si="138"/>
        <v/>
      </c>
      <c r="Z314" s="368" t="str">
        <f t="shared" ca="1" si="139"/>
        <v/>
      </c>
      <c r="AA314" s="369" t="str">
        <f t="shared" ca="1" si="140"/>
        <v/>
      </c>
      <c r="AB314" s="344"/>
      <c r="AC314" s="363">
        <f t="shared" ca="1" si="141"/>
        <v>12.999999999999972</v>
      </c>
      <c r="AD314" s="376">
        <f t="shared" ca="1" si="142"/>
        <v>158.66118983066278</v>
      </c>
      <c r="AE314" s="377" t="e">
        <f t="shared" ca="1" si="121"/>
        <v>#N/A</v>
      </c>
      <c r="AF314" s="344"/>
      <c r="AG314" s="359">
        <f t="shared" ca="1" si="143"/>
        <v>5.1844287078901203</v>
      </c>
      <c r="AH314" s="357">
        <f t="shared" ca="1" si="144"/>
        <v>-4.4354290712520985</v>
      </c>
    </row>
    <row r="315" spans="1:34">
      <c r="A315" s="402">
        <f t="shared" ca="1" si="122"/>
        <v>0.1</v>
      </c>
      <c r="B315" s="357">
        <f t="shared" ca="1" si="123"/>
        <v>13.099999999999971</v>
      </c>
      <c r="C315" s="342"/>
      <c r="D315" s="359">
        <f t="shared" ca="1" si="124"/>
        <v>-0.87083935619847952</v>
      </c>
      <c r="E315" s="360">
        <f t="shared" ca="1" si="125"/>
        <v>-5.3475924378053135</v>
      </c>
      <c r="F315" s="357">
        <f t="shared" ca="1" si="126"/>
        <v>5.4180352587609431</v>
      </c>
      <c r="G315" s="359">
        <f t="shared" ca="1" si="127"/>
        <v>8.1310570032682747</v>
      </c>
      <c r="H315" s="360">
        <f t="shared" ca="1" si="128"/>
        <v>-42.646652800090749</v>
      </c>
      <c r="I315" s="357">
        <f t="shared" ca="1" si="129"/>
        <v>43.414871680587588</v>
      </c>
      <c r="J315" s="359">
        <f t="shared" ca="1" si="130"/>
        <v>159.4786497277706</v>
      </c>
      <c r="K315" s="360">
        <f t="shared" ca="1" si="131"/>
        <v>186.05577669257505</v>
      </c>
      <c r="L315" s="357">
        <f t="shared" ca="1" si="116"/>
        <v>245.05140636133942</v>
      </c>
      <c r="M315" s="359">
        <f t="shared" ca="1" si="132"/>
        <v>-1.3823964084267333</v>
      </c>
      <c r="N315" s="357">
        <f t="shared" ca="1" si="133"/>
        <v>-79.205479816895007</v>
      </c>
      <c r="O315" s="343"/>
      <c r="P315" s="363">
        <f t="shared" ca="1" si="134"/>
        <v>23</v>
      </c>
      <c r="Q315" s="357">
        <f t="shared" ca="1" si="135"/>
        <v>0</v>
      </c>
      <c r="R315" s="359">
        <f t="shared" ca="1" si="136"/>
        <v>0</v>
      </c>
      <c r="S315" s="360">
        <f t="shared" ca="1" si="137"/>
        <v>0.42898953648292248</v>
      </c>
      <c r="T315" s="357">
        <f t="shared" ca="1" si="117"/>
        <v>4.2083873528974696</v>
      </c>
      <c r="U315" s="364">
        <f t="shared" ca="1" si="118"/>
        <v>0</v>
      </c>
      <c r="V315" s="359">
        <f t="shared" ca="1" si="119"/>
        <v>1.2024182406935024</v>
      </c>
      <c r="W315" s="357">
        <f t="shared" ca="1" si="120"/>
        <v>1.9977969460315841</v>
      </c>
      <c r="X315" s="343"/>
      <c r="Y315" s="367" t="str">
        <f t="shared" ca="1" si="138"/>
        <v/>
      </c>
      <c r="Z315" s="368" t="str">
        <f t="shared" ca="1" si="139"/>
        <v/>
      </c>
      <c r="AA315" s="369" t="str">
        <f t="shared" ca="1" si="140"/>
        <v/>
      </c>
      <c r="AB315" s="344"/>
      <c r="AC315" s="363" t="e">
        <f t="shared" ca="1" si="141"/>
        <v>#N/A</v>
      </c>
      <c r="AD315" s="376" t="e">
        <f t="shared" ca="1" si="142"/>
        <v>#N/A</v>
      </c>
      <c r="AE315" s="377" t="e">
        <f t="shared" ca="1" si="121"/>
        <v>#N/A</v>
      </c>
      <c r="AF315" s="344"/>
      <c r="AG315" s="359">
        <f t="shared" ca="1" si="143"/>
        <v>5.0817859305402155</v>
      </c>
      <c r="AH315" s="357">
        <f t="shared" ca="1" si="144"/>
        <v>-4.546585799854272</v>
      </c>
    </row>
    <row r="316" spans="1:34">
      <c r="A316" s="402">
        <f t="shared" ca="1" si="122"/>
        <v>0.1</v>
      </c>
      <c r="B316" s="357">
        <f t="shared" ca="1" si="123"/>
        <v>13.199999999999971</v>
      </c>
      <c r="C316" s="342"/>
      <c r="D316" s="359">
        <f t="shared" ca="1" si="124"/>
        <v>-0.8721940697634869</v>
      </c>
      <c r="E316" s="360">
        <f t="shared" ca="1" si="125"/>
        <v>-5.2354216084636276</v>
      </c>
      <c r="F316" s="357">
        <f t="shared" ca="1" si="126"/>
        <v>5.3075758980629253</v>
      </c>
      <c r="G316" s="359">
        <f t="shared" ca="1" si="127"/>
        <v>8.043837596291926</v>
      </c>
      <c r="H316" s="360">
        <f t="shared" ca="1" si="128"/>
        <v>-43.17019496093711</v>
      </c>
      <c r="I316" s="357">
        <f t="shared" ca="1" si="129"/>
        <v>43.913199111893903</v>
      </c>
      <c r="J316" s="359">
        <f t="shared" ca="1" si="130"/>
        <v>160.2873944577486</v>
      </c>
      <c r="K316" s="360">
        <f t="shared" ca="1" si="131"/>
        <v>181.76493430452365</v>
      </c>
      <c r="L316" s="357">
        <f t="shared" ca="1" si="116"/>
        <v>242.34384697116141</v>
      </c>
      <c r="M316" s="359">
        <f t="shared" ca="1" si="132"/>
        <v>-1.3865803314094465</v>
      </c>
      <c r="N316" s="357">
        <f t="shared" ca="1" si="133"/>
        <v>-79.445200945612257</v>
      </c>
      <c r="O316" s="343"/>
      <c r="P316" s="363">
        <f t="shared" ca="1" si="134"/>
        <v>23</v>
      </c>
      <c r="Q316" s="357">
        <f t="shared" ca="1" si="135"/>
        <v>0</v>
      </c>
      <c r="R316" s="359">
        <f t="shared" ca="1" si="136"/>
        <v>0</v>
      </c>
      <c r="S316" s="360">
        <f t="shared" ca="1" si="137"/>
        <v>0.42898953648292248</v>
      </c>
      <c r="T316" s="357">
        <f t="shared" ca="1" si="117"/>
        <v>4.2083873528974696</v>
      </c>
      <c r="U316" s="364">
        <f t="shared" ca="1" si="118"/>
        <v>0</v>
      </c>
      <c r="V316" s="359">
        <f t="shared" ca="1" si="119"/>
        <v>1.2029343337663632</v>
      </c>
      <c r="W316" s="357">
        <f t="shared" ca="1" si="120"/>
        <v>2.0447999225335778</v>
      </c>
      <c r="X316" s="343"/>
      <c r="Y316" s="367" t="str">
        <f t="shared" ca="1" si="138"/>
        <v/>
      </c>
      <c r="Z316" s="368" t="str">
        <f t="shared" ca="1" si="139"/>
        <v/>
      </c>
      <c r="AA316" s="369" t="str">
        <f t="shared" ca="1" si="140"/>
        <v/>
      </c>
      <c r="AB316" s="344"/>
      <c r="AC316" s="363" t="e">
        <f t="shared" ca="1" si="141"/>
        <v>#N/A</v>
      </c>
      <c r="AD316" s="376" t="e">
        <f t="shared" ca="1" si="142"/>
        <v>#N/A</v>
      </c>
      <c r="AE316" s="377" t="e">
        <f t="shared" ca="1" si="121"/>
        <v>#N/A</v>
      </c>
      <c r="AF316" s="344"/>
      <c r="AG316" s="359">
        <f t="shared" ca="1" si="143"/>
        <v>4.9794307694739599</v>
      </c>
      <c r="AH316" s="357">
        <f t="shared" ca="1" si="144"/>
        <v>-4.6569829241303973</v>
      </c>
    </row>
    <row r="317" spans="1:34">
      <c r="A317" s="402">
        <f t="shared" ca="1" si="122"/>
        <v>0.1</v>
      </c>
      <c r="B317" s="357">
        <f t="shared" ca="1" si="123"/>
        <v>13.299999999999971</v>
      </c>
      <c r="C317" s="342"/>
      <c r="D317" s="359">
        <f t="shared" ca="1" si="124"/>
        <v>-0.87311678513246826</v>
      </c>
      <c r="E317" s="360">
        <f t="shared" ca="1" si="125"/>
        <v>-5.1240995965394713</v>
      </c>
      <c r="F317" s="357">
        <f t="shared" ca="1" si="126"/>
        <v>5.1979543664537911</v>
      </c>
      <c r="G317" s="359">
        <f t="shared" ca="1" si="127"/>
        <v>7.9565259177786789</v>
      </c>
      <c r="H317" s="360">
        <f t="shared" ca="1" si="128"/>
        <v>-43.682604920591054</v>
      </c>
      <c r="I317" s="357">
        <f t="shared" ca="1" si="129"/>
        <v>44.401309410069537</v>
      </c>
      <c r="J317" s="359">
        <f t="shared" ca="1" si="130"/>
        <v>161.08741263345215</v>
      </c>
      <c r="K317" s="360">
        <f t="shared" ca="1" si="131"/>
        <v>177.42229431044723</v>
      </c>
      <c r="L317" s="357">
        <f t="shared" ca="1" si="116"/>
        <v>239.64103368856311</v>
      </c>
      <c r="M317" s="359">
        <f t="shared" ca="1" si="132"/>
        <v>-1.3906274192607528</v>
      </c>
      <c r="N317" s="357">
        <f t="shared" ca="1" si="133"/>
        <v>-79.677081998810792</v>
      </c>
      <c r="O317" s="343"/>
      <c r="P317" s="363">
        <f t="shared" ca="1" si="134"/>
        <v>23</v>
      </c>
      <c r="Q317" s="357">
        <f t="shared" ca="1" si="135"/>
        <v>0</v>
      </c>
      <c r="R317" s="359">
        <f t="shared" ca="1" si="136"/>
        <v>0</v>
      </c>
      <c r="S317" s="360">
        <f t="shared" ca="1" si="137"/>
        <v>0.42898953648292248</v>
      </c>
      <c r="T317" s="357">
        <f t="shared" ca="1" si="117"/>
        <v>4.2083873528974696</v>
      </c>
      <c r="U317" s="364">
        <f t="shared" ca="1" si="118"/>
        <v>0</v>
      </c>
      <c r="V317" s="359">
        <f t="shared" ca="1" si="119"/>
        <v>1.2034568804319883</v>
      </c>
      <c r="W317" s="357">
        <f t="shared" ca="1" si="120"/>
        <v>2.0914179705002716</v>
      </c>
      <c r="X317" s="343"/>
      <c r="Y317" s="367" t="str">
        <f t="shared" ca="1" si="138"/>
        <v/>
      </c>
      <c r="Z317" s="368" t="str">
        <f t="shared" ca="1" si="139"/>
        <v/>
      </c>
      <c r="AA317" s="369" t="str">
        <f t="shared" ca="1" si="140"/>
        <v/>
      </c>
      <c r="AB317" s="344"/>
      <c r="AC317" s="363" t="e">
        <f t="shared" ca="1" si="141"/>
        <v>#N/A</v>
      </c>
      <c r="AD317" s="376" t="e">
        <f t="shared" ca="1" si="142"/>
        <v>#N/A</v>
      </c>
      <c r="AE317" s="377" t="e">
        <f t="shared" ca="1" si="121"/>
        <v>#N/A</v>
      </c>
      <c r="AF317" s="344"/>
      <c r="AG317" s="359">
        <f t="shared" ca="1" si="143"/>
        <v>4.8774667592289802</v>
      </c>
      <c r="AH317" s="357">
        <f t="shared" ca="1" si="144"/>
        <v>-4.7665496443057851</v>
      </c>
    </row>
    <row r="318" spans="1:34">
      <c r="A318" s="402">
        <f t="shared" ca="1" si="122"/>
        <v>0.1</v>
      </c>
      <c r="B318" s="357">
        <f t="shared" ca="1" si="123"/>
        <v>13.39999999999997</v>
      </c>
      <c r="C318" s="342"/>
      <c r="D318" s="359">
        <f t="shared" ca="1" si="124"/>
        <v>-0.87361853573233261</v>
      </c>
      <c r="E318" s="360">
        <f t="shared" ca="1" si="125"/>
        <v>-5.013693956123646</v>
      </c>
      <c r="F318" s="357">
        <f t="shared" ca="1" si="126"/>
        <v>5.0892373133551043</v>
      </c>
      <c r="G318" s="359">
        <f t="shared" ca="1" si="127"/>
        <v>7.8691640642054459</v>
      </c>
      <c r="H318" s="360">
        <f t="shared" ca="1" si="128"/>
        <v>-44.183974316203418</v>
      </c>
      <c r="I318" s="357">
        <f t="shared" ca="1" si="129"/>
        <v>44.879252772793642</v>
      </c>
      <c r="J318" s="359">
        <f t="shared" ca="1" si="130"/>
        <v>161.87869713255137</v>
      </c>
      <c r="K318" s="360">
        <f t="shared" ca="1" si="131"/>
        <v>173.0289653486075</v>
      </c>
      <c r="L318" s="357">
        <f t="shared" ca="1" si="116"/>
        <v>236.94669323487489</v>
      </c>
      <c r="M318" s="359">
        <f t="shared" ca="1" si="132"/>
        <v>-1.3945444069310868</v>
      </c>
      <c r="N318" s="357">
        <f t="shared" ca="1" si="133"/>
        <v>-79.901508860725698</v>
      </c>
      <c r="O318" s="343"/>
      <c r="P318" s="363">
        <f t="shared" ca="1" si="134"/>
        <v>23</v>
      </c>
      <c r="Q318" s="357">
        <f t="shared" ca="1" si="135"/>
        <v>0</v>
      </c>
      <c r="R318" s="359">
        <f t="shared" ca="1" si="136"/>
        <v>0</v>
      </c>
      <c r="S318" s="360">
        <f t="shared" ca="1" si="137"/>
        <v>0.42898953648292248</v>
      </c>
      <c r="T318" s="357">
        <f t="shared" ca="1" si="117"/>
        <v>4.2083873528974696</v>
      </c>
      <c r="U318" s="364">
        <f t="shared" ca="1" si="118"/>
        <v>0</v>
      </c>
      <c r="V318" s="359">
        <f t="shared" ca="1" si="119"/>
        <v>1.2039857553948761</v>
      </c>
      <c r="W318" s="357">
        <f t="shared" ca="1" si="120"/>
        <v>2.1376240605186454</v>
      </c>
      <c r="X318" s="343"/>
      <c r="Y318" s="367" t="str">
        <f t="shared" ca="1" si="138"/>
        <v/>
      </c>
      <c r="Z318" s="368" t="str">
        <f t="shared" ca="1" si="139"/>
        <v/>
      </c>
      <c r="AA318" s="369" t="str">
        <f t="shared" ca="1" si="140"/>
        <v/>
      </c>
      <c r="AB318" s="344"/>
      <c r="AC318" s="363" t="e">
        <f t="shared" ca="1" si="141"/>
        <v>#N/A</v>
      </c>
      <c r="AD318" s="376" t="e">
        <f t="shared" ca="1" si="142"/>
        <v>#N/A</v>
      </c>
      <c r="AE318" s="377" t="e">
        <f t="shared" ca="1" si="121"/>
        <v>#N/A</v>
      </c>
      <c r="AF318" s="344"/>
      <c r="AG318" s="359">
        <f t="shared" ca="1" si="143"/>
        <v>4.7759907663490271</v>
      </c>
      <c r="AH318" s="357">
        <f t="shared" ca="1" si="144"/>
        <v>-4.8752190732827536</v>
      </c>
    </row>
    <row r="319" spans="1:34">
      <c r="A319" s="402">
        <f t="shared" ca="1" si="122"/>
        <v>0.1</v>
      </c>
      <c r="B319" s="357">
        <f t="shared" ca="1" si="123"/>
        <v>13.49999999999997</v>
      </c>
      <c r="C319" s="342"/>
      <c r="D319" s="359">
        <f t="shared" ca="1" si="124"/>
        <v>-0.87371061535174133</v>
      </c>
      <c r="E319" s="360">
        <f t="shared" ca="1" si="125"/>
        <v>-4.9042683271665277</v>
      </c>
      <c r="F319" s="357">
        <f t="shared" ca="1" si="126"/>
        <v>4.9814875352877364</v>
      </c>
      <c r="G319" s="359">
        <f t="shared" ca="1" si="127"/>
        <v>7.7817930026702715</v>
      </c>
      <c r="H319" s="360">
        <f t="shared" ca="1" si="128"/>
        <v>-44.674401148920069</v>
      </c>
      <c r="I319" s="357">
        <f t="shared" ca="1" si="129"/>
        <v>45.3470883337733</v>
      </c>
      <c r="J319" s="359">
        <f t="shared" ca="1" si="130"/>
        <v>162.66124498589517</v>
      </c>
      <c r="K319" s="360">
        <f t="shared" ca="1" si="131"/>
        <v>168.58604657535133</v>
      </c>
      <c r="L319" s="357">
        <f t="shared" ca="1" si="116"/>
        <v>234.26467023490321</v>
      </c>
      <c r="M319" s="359">
        <f t="shared" ca="1" si="132"/>
        <v>-1.3983375884375602</v>
      </c>
      <c r="N319" s="357">
        <f t="shared" ca="1" si="133"/>
        <v>-80.118842151973695</v>
      </c>
      <c r="O319" s="343"/>
      <c r="P319" s="363">
        <f t="shared" ca="1" si="134"/>
        <v>23</v>
      </c>
      <c r="Q319" s="357">
        <f t="shared" ca="1" si="135"/>
        <v>0</v>
      </c>
      <c r="R319" s="359">
        <f t="shared" ca="1" si="136"/>
        <v>0</v>
      </c>
      <c r="S319" s="360">
        <f t="shared" ca="1" si="137"/>
        <v>0.42898953648292248</v>
      </c>
      <c r="T319" s="357">
        <f t="shared" ca="1" si="117"/>
        <v>4.2083873528974696</v>
      </c>
      <c r="U319" s="364">
        <f t="shared" ca="1" si="118"/>
        <v>0</v>
      </c>
      <c r="V319" s="359">
        <f t="shared" ca="1" si="119"/>
        <v>1.2045208343730303</v>
      </c>
      <c r="W319" s="357">
        <f t="shared" ca="1" si="120"/>
        <v>2.1833928093463322</v>
      </c>
      <c r="X319" s="343"/>
      <c r="Y319" s="367" t="str">
        <f t="shared" ca="1" si="138"/>
        <v/>
      </c>
      <c r="Z319" s="368" t="str">
        <f t="shared" ca="1" si="139"/>
        <v/>
      </c>
      <c r="AA319" s="369" t="str">
        <f t="shared" ca="1" si="140"/>
        <v/>
      </c>
      <c r="AB319" s="344"/>
      <c r="AC319" s="363" t="e">
        <f t="shared" ca="1" si="141"/>
        <v>#N/A</v>
      </c>
      <c r="AD319" s="376" t="e">
        <f t="shared" ca="1" si="142"/>
        <v>#N/A</v>
      </c>
      <c r="AE319" s="377" t="e">
        <f t="shared" ca="1" si="121"/>
        <v>#N/A</v>
      </c>
      <c r="AF319" s="344"/>
      <c r="AG319" s="359">
        <f t="shared" ca="1" si="143"/>
        <v>4.6750932929446458</v>
      </c>
      <c r="AH319" s="357">
        <f t="shared" ca="1" si="144"/>
        <v>-4.9829282038997738</v>
      </c>
    </row>
    <row r="320" spans="1:34">
      <c r="A320" s="402">
        <f t="shared" ca="1" si="122"/>
        <v>0.1</v>
      </c>
      <c r="B320" s="357">
        <f t="shared" ca="1" si="123"/>
        <v>13.599999999999969</v>
      </c>
      <c r="C320" s="342"/>
      <c r="D320" s="359">
        <f t="shared" ca="1" si="124"/>
        <v>-0.87340453717443811</v>
      </c>
      <c r="E320" s="360">
        <f t="shared" ca="1" si="125"/>
        <v>-4.7958824764898456</v>
      </c>
      <c r="F320" s="357">
        <f t="shared" ca="1" si="126"/>
        <v>4.8747640162226595</v>
      </c>
      <c r="G320" s="359">
        <f t="shared" ca="1" si="127"/>
        <v>7.6944525489528282</v>
      </c>
      <c r="H320" s="360">
        <f t="shared" ca="1" si="128"/>
        <v>-45.153989396569052</v>
      </c>
      <c r="I320" s="357">
        <f t="shared" ca="1" si="129"/>
        <v>45.804883565549616</v>
      </c>
      <c r="J320" s="359">
        <f t="shared" ca="1" si="130"/>
        <v>163.43505726347632</v>
      </c>
      <c r="K320" s="360">
        <f t="shared" ca="1" si="131"/>
        <v>164.09462704807689</v>
      </c>
      <c r="L320" s="357">
        <f t="shared" ca="1" si="116"/>
        <v>231.59893041368571</v>
      </c>
      <c r="M320" s="359">
        <f t="shared" ca="1" si="132"/>
        <v>-1.4020128518312724</v>
      </c>
      <c r="N320" s="357">
        <f t="shared" ca="1" si="133"/>
        <v>-80.32941923303234</v>
      </c>
      <c r="O320" s="343"/>
      <c r="P320" s="363">
        <f t="shared" ca="1" si="134"/>
        <v>23</v>
      </c>
      <c r="Q320" s="357">
        <f t="shared" ca="1" si="135"/>
        <v>0</v>
      </c>
      <c r="R320" s="359">
        <f t="shared" ca="1" si="136"/>
        <v>0</v>
      </c>
      <c r="S320" s="360">
        <f t="shared" ca="1" si="137"/>
        <v>0.42898953648292248</v>
      </c>
      <c r="T320" s="357">
        <f t="shared" ca="1" si="117"/>
        <v>4.2083873528974696</v>
      </c>
      <c r="U320" s="364">
        <f t="shared" ca="1" si="118"/>
        <v>0</v>
      </c>
      <c r="V320" s="359">
        <f t="shared" ca="1" si="119"/>
        <v>1.2050619941681635</v>
      </c>
      <c r="W320" s="357">
        <f t="shared" ca="1" si="120"/>
        <v>2.2287004577181313</v>
      </c>
      <c r="X320" s="343"/>
      <c r="Y320" s="367" t="str">
        <f t="shared" ca="1" si="138"/>
        <v/>
      </c>
      <c r="Z320" s="368" t="str">
        <f t="shared" ca="1" si="139"/>
        <v/>
      </c>
      <c r="AA320" s="369" t="str">
        <f t="shared" ca="1" si="140"/>
        <v/>
      </c>
      <c r="AB320" s="344"/>
      <c r="AC320" s="363" t="e">
        <f t="shared" ca="1" si="141"/>
        <v>#N/A</v>
      </c>
      <c r="AD320" s="376" t="e">
        <f t="shared" ca="1" si="142"/>
        <v>#N/A</v>
      </c>
      <c r="AE320" s="377" t="e">
        <f t="shared" ca="1" si="121"/>
        <v>#N/A</v>
      </c>
      <c r="AF320" s="344"/>
      <c r="AG320" s="359">
        <f t="shared" ca="1" si="143"/>
        <v>4.5748587599480111</v>
      </c>
      <c r="AH320" s="357">
        <f t="shared" ca="1" si="144"/>
        <v>-5.0896178663165372</v>
      </c>
    </row>
    <row r="321" spans="1:34">
      <c r="A321" s="402">
        <f t="shared" ca="1" si="122"/>
        <v>0.1</v>
      </c>
      <c r="B321" s="357">
        <f t="shared" ca="1" si="123"/>
        <v>13.699999999999969</v>
      </c>
      <c r="C321" s="342"/>
      <c r="D321" s="359">
        <f t="shared" ca="1" si="124"/>
        <v>-0.87271199480721007</v>
      </c>
      <c r="E321" s="360">
        <f t="shared" ca="1" si="125"/>
        <v>-4.6885923483086005</v>
      </c>
      <c r="F321" s="357">
        <f t="shared" ca="1" si="126"/>
        <v>4.7691219773138886</v>
      </c>
      <c r="G321" s="359">
        <f t="shared" ca="1" si="127"/>
        <v>7.607181349472107</v>
      </c>
      <c r="H321" s="360">
        <f t="shared" ca="1" si="128"/>
        <v>-45.622848631399911</v>
      </c>
      <c r="I321" s="357">
        <f t="shared" ca="1" si="129"/>
        <v>46.252713707710001</v>
      </c>
      <c r="J321" s="359">
        <f t="shared" ca="1" si="130"/>
        <v>164.20013895839756</v>
      </c>
      <c r="K321" s="360">
        <f t="shared" ca="1" si="131"/>
        <v>159.55578514667843</v>
      </c>
      <c r="L321" s="357">
        <f t="shared" ca="1" si="116"/>
        <v>228.95356343095008</v>
      </c>
      <c r="M321" s="359">
        <f t="shared" ca="1" si="132"/>
        <v>-1.4055757109499187</v>
      </c>
      <c r="N321" s="357">
        <f t="shared" ca="1" si="133"/>
        <v>-80.53355602353048</v>
      </c>
      <c r="O321" s="343"/>
      <c r="P321" s="363">
        <f t="shared" ca="1" si="134"/>
        <v>23</v>
      </c>
      <c r="Q321" s="357">
        <f t="shared" ca="1" si="135"/>
        <v>0</v>
      </c>
      <c r="R321" s="359">
        <f t="shared" ca="1" si="136"/>
        <v>0</v>
      </c>
      <c r="S321" s="360">
        <f t="shared" ca="1" si="137"/>
        <v>0.42898953648292248</v>
      </c>
      <c r="T321" s="357">
        <f t="shared" ca="1" si="117"/>
        <v>4.2083873528974696</v>
      </c>
      <c r="U321" s="364">
        <f t="shared" ca="1" si="118"/>
        <v>0</v>
      </c>
      <c r="V321" s="359">
        <f t="shared" ca="1" si="119"/>
        <v>1.2056091127316713</v>
      </c>
      <c r="W321" s="357">
        <f t="shared" ca="1" si="120"/>
        <v>2.2735248445622891</v>
      </c>
      <c r="X321" s="343"/>
      <c r="Y321" s="367" t="str">
        <f t="shared" ca="1" si="138"/>
        <v/>
      </c>
      <c r="Z321" s="368" t="str">
        <f t="shared" ca="1" si="139"/>
        <v/>
      </c>
      <c r="AA321" s="369" t="str">
        <f t="shared" ca="1" si="140"/>
        <v/>
      </c>
      <c r="AB321" s="344"/>
      <c r="AC321" s="363" t="e">
        <f t="shared" ca="1" si="141"/>
        <v>#N/A</v>
      </c>
      <c r="AD321" s="376" t="e">
        <f t="shared" ca="1" si="142"/>
        <v>#N/A</v>
      </c>
      <c r="AE321" s="377" t="e">
        <f t="shared" ca="1" si="121"/>
        <v>#N/A</v>
      </c>
      <c r="AF321" s="344"/>
      <c r="AG321" s="359">
        <f t="shared" ca="1" si="143"/>
        <v>4.4753657730415766</v>
      </c>
      <c r="AH321" s="357">
        <f t="shared" ca="1" si="144"/>
        <v>-5.1952326762796295</v>
      </c>
    </row>
    <row r="322" spans="1:34">
      <c r="A322" s="402">
        <f t="shared" ca="1" si="122"/>
        <v>0.1</v>
      </c>
      <c r="B322" s="357">
        <f t="shared" ca="1" si="123"/>
        <v>13.799999999999969</v>
      </c>
      <c r="C322" s="342"/>
      <c r="D322" s="359">
        <f t="shared" ca="1" si="124"/>
        <v>-0.87164482528192577</v>
      </c>
      <c r="E322" s="360">
        <f t="shared" ca="1" si="125"/>
        <v>-4.5824501234691981</v>
      </c>
      <c r="F322" s="357">
        <f t="shared" ca="1" si="126"/>
        <v>4.6646129352309211</v>
      </c>
      <c r="G322" s="359">
        <f t="shared" ca="1" si="127"/>
        <v>7.520016866943914</v>
      </c>
      <c r="H322" s="360">
        <f t="shared" ca="1" si="128"/>
        <v>-46.081093643746833</v>
      </c>
      <c r="I322" s="357">
        <f t="shared" ca="1" si="129"/>
        <v>46.690661219165506</v>
      </c>
      <c r="J322" s="359">
        <f t="shared" ca="1" si="130"/>
        <v>164.95649886921836</v>
      </c>
      <c r="K322" s="360">
        <f t="shared" ca="1" si="131"/>
        <v>154.97058803292109</v>
      </c>
      <c r="L322" s="357">
        <f t="shared" ca="1" si="116"/>
        <v>226.3327852399201</v>
      </c>
      <c r="M322" s="359">
        <f t="shared" ca="1" si="132"/>
        <v>-1.4090313342892906</v>
      </c>
      <c r="N322" s="357">
        <f t="shared" ca="1" si="133"/>
        <v>-80.731548656463389</v>
      </c>
      <c r="O322" s="343"/>
      <c r="P322" s="363">
        <f t="shared" ca="1" si="134"/>
        <v>23</v>
      </c>
      <c r="Q322" s="357">
        <f t="shared" ca="1" si="135"/>
        <v>0</v>
      </c>
      <c r="R322" s="359">
        <f t="shared" ca="1" si="136"/>
        <v>0</v>
      </c>
      <c r="S322" s="360">
        <f t="shared" ca="1" si="137"/>
        <v>0.42898953648292248</v>
      </c>
      <c r="T322" s="357">
        <f t="shared" ca="1" si="117"/>
        <v>4.2083873528974696</v>
      </c>
      <c r="U322" s="364">
        <f t="shared" ca="1" si="118"/>
        <v>0</v>
      </c>
      <c r="V322" s="359">
        <f t="shared" ca="1" si="119"/>
        <v>1.2061620692264325</v>
      </c>
      <c r="W322" s="357">
        <f t="shared" ca="1" si="120"/>
        <v>2.3178453779447556</v>
      </c>
      <c r="X322" s="343"/>
      <c r="Y322" s="367" t="str">
        <f t="shared" ca="1" si="138"/>
        <v/>
      </c>
      <c r="Z322" s="368" t="str">
        <f t="shared" ca="1" si="139"/>
        <v/>
      </c>
      <c r="AA322" s="369" t="str">
        <f t="shared" ca="1" si="140"/>
        <v/>
      </c>
      <c r="AB322" s="344"/>
      <c r="AC322" s="363" t="e">
        <f t="shared" ca="1" si="141"/>
        <v>#N/A</v>
      </c>
      <c r="AD322" s="376" t="e">
        <f t="shared" ca="1" si="142"/>
        <v>#N/A</v>
      </c>
      <c r="AE322" s="377" t="e">
        <f t="shared" ca="1" si="121"/>
        <v>#N/A</v>
      </c>
      <c r="AF322" s="344"/>
      <c r="AG322" s="359">
        <f t="shared" ca="1" si="143"/>
        <v>4.376687373739589</v>
      </c>
      <c r="AH322" s="357">
        <f t="shared" ca="1" si="144"/>
        <v>-5.2997209750191541</v>
      </c>
    </row>
    <row r="323" spans="1:34">
      <c r="A323" s="402">
        <f t="shared" ca="1" si="122"/>
        <v>0.1</v>
      </c>
      <c r="B323" s="357">
        <f t="shared" ca="1" si="123"/>
        <v>13.899999999999968</v>
      </c>
      <c r="C323" s="342"/>
      <c r="D323" s="359">
        <f t="shared" ca="1" si="124"/>
        <v>-0.87021497400902292</v>
      </c>
      <c r="E323" s="360">
        <f t="shared" ca="1" si="125"/>
        <v>-4.4775042866230894</v>
      </c>
      <c r="F323" s="357">
        <f t="shared" ca="1" si="126"/>
        <v>4.5612847683210553</v>
      </c>
      <c r="G323" s="359">
        <f t="shared" ca="1" si="127"/>
        <v>7.4329953695430113</v>
      </c>
      <c r="H323" s="360">
        <f t="shared" ca="1" si="128"/>
        <v>-46.528844072409143</v>
      </c>
      <c r="I323" s="357">
        <f t="shared" ca="1" si="129"/>
        <v>47.118815253338141</v>
      </c>
      <c r="J323" s="359">
        <f t="shared" ca="1" si="130"/>
        <v>165.70414948104272</v>
      </c>
      <c r="K323" s="360">
        <f t="shared" ca="1" si="131"/>
        <v>150.3400911471133</v>
      </c>
      <c r="L323" s="357">
        <f t="shared" ca="1" si="116"/>
        <v>223.74093984194775</v>
      </c>
      <c r="M323" s="359">
        <f t="shared" ca="1" si="132"/>
        <v>-1.4123845712890086</v>
      </c>
      <c r="N323" s="357">
        <f t="shared" ca="1" si="133"/>
        <v>-80.923674984254333</v>
      </c>
      <c r="O323" s="343"/>
      <c r="P323" s="363">
        <f t="shared" ca="1" si="134"/>
        <v>23</v>
      </c>
      <c r="Q323" s="357">
        <f t="shared" ca="1" si="135"/>
        <v>0</v>
      </c>
      <c r="R323" s="359">
        <f t="shared" ca="1" si="136"/>
        <v>0</v>
      </c>
      <c r="S323" s="360">
        <f t="shared" ca="1" si="137"/>
        <v>0.42898953648292248</v>
      </c>
      <c r="T323" s="357">
        <f t="shared" ca="1" si="117"/>
        <v>4.2083873528974696</v>
      </c>
      <c r="U323" s="364">
        <f t="shared" ca="1" si="118"/>
        <v>0</v>
      </c>
      <c r="V323" s="359">
        <f t="shared" ca="1" si="119"/>
        <v>1.2067207440845005</v>
      </c>
      <c r="W323" s="357">
        <f t="shared" ca="1" si="120"/>
        <v>2.3616430030541391</v>
      </c>
      <c r="X323" s="343"/>
      <c r="Y323" s="367" t="str">
        <f t="shared" ca="1" si="138"/>
        <v/>
      </c>
      <c r="Z323" s="368" t="str">
        <f t="shared" ca="1" si="139"/>
        <v/>
      </c>
      <c r="AA323" s="369" t="str">
        <f t="shared" ca="1" si="140"/>
        <v/>
      </c>
      <c r="AB323" s="344"/>
      <c r="AC323" s="363" t="e">
        <f t="shared" ca="1" si="141"/>
        <v>#N/A</v>
      </c>
      <c r="AD323" s="376" t="e">
        <f t="shared" ca="1" si="142"/>
        <v>#N/A</v>
      </c>
      <c r="AE323" s="377" t="e">
        <f t="shared" ca="1" si="121"/>
        <v>#N/A</v>
      </c>
      <c r="AF323" s="344"/>
      <c r="AG323" s="359">
        <f t="shared" ca="1" si="143"/>
        <v>4.2788912776787642</v>
      </c>
      <c r="AH323" s="357">
        <f t="shared" ca="1" si="144"/>
        <v>-5.4030347615180725</v>
      </c>
    </row>
    <row r="324" spans="1:34">
      <c r="A324" s="402">
        <f t="shared" ca="1" si="122"/>
        <v>0.1</v>
      </c>
      <c r="B324" s="357">
        <f t="shared" ca="1" si="123"/>
        <v>13.999999999999968</v>
      </c>
      <c r="C324" s="342"/>
      <c r="D324" s="359">
        <f t="shared" ca="1" si="124"/>
        <v>-0.86843446165725102</v>
      </c>
      <c r="E324" s="360">
        <f t="shared" ca="1" si="125"/>
        <v>-4.3737997005719755</v>
      </c>
      <c r="F324" s="357">
        <f t="shared" ca="1" si="126"/>
        <v>4.459181789848607</v>
      </c>
      <c r="G324" s="359">
        <f t="shared" ca="1" si="127"/>
        <v>7.3461519233772865</v>
      </c>
      <c r="H324" s="360">
        <f t="shared" ca="1" si="128"/>
        <v>-46.966224042466344</v>
      </c>
      <c r="I324" s="357">
        <f t="shared" ca="1" si="129"/>
        <v>47.537271155257571</v>
      </c>
      <c r="J324" s="359">
        <f t="shared" ca="1" si="130"/>
        <v>166.44310684568873</v>
      </c>
      <c r="K324" s="360">
        <f t="shared" ca="1" si="131"/>
        <v>145.66533774136951</v>
      </c>
      <c r="L324" s="357">
        <f t="shared" ref="L324:L387" ca="1" si="145">SQRT(pos_x^2+pos_z^2)</f>
        <v>221.18250029275057</v>
      </c>
      <c r="M324" s="359">
        <f t="shared" ca="1" si="132"/>
        <v>-1.415639976294337</v>
      </c>
      <c r="N324" s="357">
        <f t="shared" ca="1" si="133"/>
        <v>-81.110195951665418</v>
      </c>
      <c r="O324" s="343"/>
      <c r="P324" s="363">
        <f t="shared" ca="1" si="134"/>
        <v>23</v>
      </c>
      <c r="Q324" s="357">
        <f t="shared" ca="1" si="135"/>
        <v>0</v>
      </c>
      <c r="R324" s="359">
        <f t="shared" ca="1" si="136"/>
        <v>0</v>
      </c>
      <c r="S324" s="360">
        <f t="shared" ca="1" si="137"/>
        <v>0.42898953648292248</v>
      </c>
      <c r="T324" s="357">
        <f t="shared" ref="T324:T387" ca="1" si="146">m*g</f>
        <v>4.2083873528974696</v>
      </c>
      <c r="U324" s="364">
        <f t="shared" ref="U324:U387" ca="1" si="147">IF(pos_xz&lt;L_rampe,Poids*COS(Beta),0)</f>
        <v>0</v>
      </c>
      <c r="V324" s="359">
        <f t="shared" ref="V324:V387" ca="1" si="148">Rho_moyen*(20000-Alt_rampe-pos_z)/(20000+Alt_rampe+pos_z)</f>
        <v>1.2072850190607625</v>
      </c>
      <c r="W324" s="357">
        <f t="shared" ref="W324:W387" ca="1" si="149">1/2*Rho*Sref*Cx*vit_xz^2</f>
        <v>2.4049001675332193</v>
      </c>
      <c r="X324" s="343"/>
      <c r="Y324" s="367" t="str">
        <f t="shared" ca="1" si="138"/>
        <v/>
      </c>
      <c r="Z324" s="368" t="str">
        <f t="shared" ca="1" si="139"/>
        <v/>
      </c>
      <c r="AA324" s="369" t="str">
        <f t="shared" ca="1" si="140"/>
        <v/>
      </c>
      <c r="AB324" s="344"/>
      <c r="AC324" s="363">
        <f t="shared" ca="1" si="141"/>
        <v>13.999999999999968</v>
      </c>
      <c r="AD324" s="376">
        <f t="shared" ca="1" si="142"/>
        <v>166.44310684568873</v>
      </c>
      <c r="AE324" s="377" t="e">
        <f t="shared" ref="AE324:AE387" ca="1" si="150">IF(t&lt;T_para, pos_z, NA())</f>
        <v>#N/A</v>
      </c>
      <c r="AF324" s="344"/>
      <c r="AG324" s="359">
        <f t="shared" ca="1" si="143"/>
        <v>4.1820401018179894</v>
      </c>
      <c r="AH324" s="357">
        <f t="shared" ca="1" si="144"/>
        <v>-5.5051296178832398</v>
      </c>
    </row>
    <row r="325" spans="1:34">
      <c r="A325" s="402">
        <f t="shared" ref="A325:A388" ca="1" si="151">IF(B324+0.01&lt;=T_ini+ROUNDUP(Temps_fin_propu,0), 0.01, IF(K324&gt;0, 0.1, 0.0001))</f>
        <v>0.1</v>
      </c>
      <c r="B325" s="357">
        <f t="shared" ref="B325:B388" ca="1" si="152">B324+pas</f>
        <v>14.099999999999968</v>
      </c>
      <c r="C325" s="342"/>
      <c r="D325" s="359">
        <f t="shared" ref="D325:D388" ca="1" si="153">IF(AND(L324&lt;L_rampe,Poussee&lt;Poids*SIN(M324)),0,(-W324+Poussee)/m*COS(M324)-U324/m*SIN(M324))</f>
        <v>-0.86631535293153117</v>
      </c>
      <c r="E325" s="360">
        <f t="shared" ref="E325:E388" ca="1" si="154">IF(AND(L324&lt;L_rampe,Poussee&lt;Poids*SIN(M324)),0,(-W324+Poussee)/m*SIN(M324)+U324/m*COS(M324)-Poids/m)</f>
        <v>-4.2713776870401201</v>
      </c>
      <c r="F325" s="357">
        <f t="shared" ref="F325:F388" ca="1" si="155">SQRT(acc_x^2+acc_z^2)</f>
        <v>4.3583448275772181</v>
      </c>
      <c r="G325" s="359">
        <f t="shared" ref="G325:G388" ca="1" si="156">G324+acc_x*pas</f>
        <v>7.259520388084133</v>
      </c>
      <c r="H325" s="360">
        <f t="shared" ref="H325:H388" ca="1" si="157">H324+acc_z*pas</f>
        <v>-47.393361811170358</v>
      </c>
      <c r="I325" s="357">
        <f t="shared" ref="I325:I388" ca="1" si="158">SQRT(vit_x^2+vit_z^2)</f>
        <v>47.946129979691896</v>
      </c>
      <c r="J325" s="359">
        <f t="shared" ref="J325:J388" ca="1" si="159">J324+0.5*(vit_x+G324)*pas*(K324&gt;=0)</f>
        <v>167.17339046126179</v>
      </c>
      <c r="K325" s="360">
        <f t="shared" ref="K325:K388" ca="1" si="160">K324+0.5*(vit_z+H324)*pas</f>
        <v>140.94735844868768</v>
      </c>
      <c r="L325" s="357">
        <f t="shared" ca="1" si="145"/>
        <v>218.66206880018387</v>
      </c>
      <c r="M325" s="359">
        <f t="shared" ref="M325:M388" ca="1" si="161">IF(AND(L324&gt;L_rampe,G325&gt;0),ATAN2(G325,H325),$M$4)</f>
        <v>-1.4188018304265746</v>
      </c>
      <c r="N325" s="357">
        <f t="shared" ref="N325:N388" ca="1" si="162">DEGREES(Beta)</f>
        <v>-81.291356848878635</v>
      </c>
      <c r="O325" s="343"/>
      <c r="P325" s="363">
        <f t="shared" ref="P325:P388" ca="1" si="163">MATCH(t-pas/2-T_ini,CdP_t)</f>
        <v>23</v>
      </c>
      <c r="Q325" s="357">
        <f t="shared" ref="Q325:Q388" ca="1" si="164">(INDEX(CdP,2,i_P+1)-INDEX(CdP,2,i_P+0))/(INDEX(CdP,1,i_P+1)-INDEX(CdP,1,i_P+0))*(t-pas/2-T_ini-INDEX(CdP,1,i_P+0))+INDEX(CdP,2,i_P+0)</f>
        <v>0</v>
      </c>
      <c r="R325" s="359">
        <f t="shared" ref="R325:R388" ca="1" si="165">Poussee/(g*ISP)</f>
        <v>0</v>
      </c>
      <c r="S325" s="360">
        <f t="shared" ref="S325:S388" ca="1" si="166">S324-Débit*pas</f>
        <v>0.42898953648292248</v>
      </c>
      <c r="T325" s="357">
        <f t="shared" ca="1" si="146"/>
        <v>4.2083873528974696</v>
      </c>
      <c r="U325" s="364">
        <f t="shared" ca="1" si="147"/>
        <v>0</v>
      </c>
      <c r="V325" s="359">
        <f t="shared" ca="1" si="148"/>
        <v>1.2078547772826371</v>
      </c>
      <c r="W325" s="357">
        <f t="shared" ca="1" si="149"/>
        <v>2.4476007844544649</v>
      </c>
      <c r="X325" s="343"/>
      <c r="Y325" s="367" t="str">
        <f t="shared" ref="Y325:Y388" ca="1" si="167">IF(AND(pos_z&lt;=0,K324&gt;0),"Impact balistique","") &amp; IF(AND(H326&lt;0,vit_z&gt;=0),"Apogée","") &amp; IF(AND(Poussee=0,Q324&gt;0),"Fin de propulsion","") &amp; IF(AND(L326&gt;L_rampe,pos_xz&lt;=L_rampe),"Sortie de rampe","")</f>
        <v/>
      </c>
      <c r="Z325" s="368" t="str">
        <f t="shared" ref="Z325:Z388" ca="1" si="168">IF(ABS(t-T_para)&lt;pas/2,"Para","")</f>
        <v/>
      </c>
      <c r="AA325" s="369" t="str">
        <f t="shared" ref="AA325:AA388" ca="1" si="169">IF(ABS(t-T_satellite)&lt;pas/2,"Satellite","")</f>
        <v/>
      </c>
      <c r="AB325" s="344"/>
      <c r="AC325" s="363" t="e">
        <f t="shared" ref="AC325:AC388" ca="1" si="170">IF(ABS(t-ROUND(t,0))&lt;0.001,t,NA())</f>
        <v>#N/A</v>
      </c>
      <c r="AD325" s="376" t="e">
        <f t="shared" ref="AD325:AD388" ca="1" si="171">IF(ABS(t-ROUND(t,0))&lt;0.001,pos_x,NA())</f>
        <v>#N/A</v>
      </c>
      <c r="AE325" s="377" t="e">
        <f t="shared" ca="1" si="150"/>
        <v>#N/A</v>
      </c>
      <c r="AF325" s="344"/>
      <c r="AG325" s="359">
        <f t="shared" ref="AG325:AG388" ca="1" si="172">IF(AND(L324&lt;L_rampe,Poussee&lt;Poids*SIN(M324)),0,(-W324+Poussee)/m-Poids*SIN(M324)/m)</f>
        <v>4.0861915819466494</v>
      </c>
      <c r="AH325" s="357">
        <f t="shared" ref="AH325:AH388" ca="1" si="173">IF(AND(L324&lt;L_rampe,Poussee&lt;Poids*SIN(M324)), g*SIN(M324), (-W324+Poussee)/m)</f>
        <v>-5.6059646285311091</v>
      </c>
    </row>
    <row r="326" spans="1:34">
      <c r="A326" s="402">
        <f t="shared" ca="1" si="151"/>
        <v>0.1</v>
      </c>
      <c r="B326" s="357">
        <f t="shared" ca="1" si="152"/>
        <v>14.199999999999967</v>
      </c>
      <c r="C326" s="342"/>
      <c r="D326" s="359">
        <f t="shared" ca="1" si="153"/>
        <v>-0.86386972721754485</v>
      </c>
      <c r="E326" s="360">
        <f t="shared" ca="1" si="154"/>
        <v>-4.1702761131520054</v>
      </c>
      <c r="F326" s="357">
        <f t="shared" ca="1" si="155"/>
        <v>4.258811308983895</v>
      </c>
      <c r="G326" s="359">
        <f t="shared" ca="1" si="156"/>
        <v>7.1731334153623783</v>
      </c>
      <c r="H326" s="360">
        <f t="shared" ca="1" si="157"/>
        <v>-47.810389422485557</v>
      </c>
      <c r="I326" s="357">
        <f t="shared" ca="1" si="158"/>
        <v>48.345498029540529</v>
      </c>
      <c r="J326" s="359">
        <f t="shared" ca="1" si="159"/>
        <v>167.89502315143412</v>
      </c>
      <c r="K326" s="360">
        <f t="shared" ca="1" si="160"/>
        <v>136.1871708870049</v>
      </c>
      <c r="L326" s="357">
        <f t="shared" ca="1" si="145"/>
        <v>216.18437573799562</v>
      </c>
      <c r="M326" s="359">
        <f t="shared" ca="1" si="161"/>
        <v>-1.4218741615687225</v>
      </c>
      <c r="N326" s="357">
        <f t="shared" ca="1" si="162"/>
        <v>-81.467388456590314</v>
      </c>
      <c r="O326" s="343"/>
      <c r="P326" s="363">
        <f t="shared" ca="1" si="163"/>
        <v>23</v>
      </c>
      <c r="Q326" s="357">
        <f t="shared" ca="1" si="164"/>
        <v>0</v>
      </c>
      <c r="R326" s="359">
        <f t="shared" ca="1" si="165"/>
        <v>0</v>
      </c>
      <c r="S326" s="360">
        <f t="shared" ca="1" si="166"/>
        <v>0.42898953648292248</v>
      </c>
      <c r="T326" s="357">
        <f t="shared" ca="1" si="146"/>
        <v>4.2083873528974696</v>
      </c>
      <c r="U326" s="364">
        <f t="shared" ca="1" si="147"/>
        <v>0</v>
      </c>
      <c r="V326" s="359">
        <f t="shared" ca="1" si="148"/>
        <v>1.2084299032959145</v>
      </c>
      <c r="W326" s="357">
        <f t="shared" ca="1" si="149"/>
        <v>2.489730193227663</v>
      </c>
      <c r="X326" s="343"/>
      <c r="Y326" s="367" t="str">
        <f t="shared" ca="1" si="167"/>
        <v/>
      </c>
      <c r="Z326" s="368" t="str">
        <f t="shared" ca="1" si="168"/>
        <v/>
      </c>
      <c r="AA326" s="369" t="str">
        <f t="shared" ca="1" si="169"/>
        <v/>
      </c>
      <c r="AB326" s="344"/>
      <c r="AC326" s="363" t="e">
        <f t="shared" ca="1" si="170"/>
        <v>#N/A</v>
      </c>
      <c r="AD326" s="376" t="e">
        <f t="shared" ca="1" si="171"/>
        <v>#N/A</v>
      </c>
      <c r="AE326" s="377" t="e">
        <f t="shared" ca="1" si="150"/>
        <v>#N/A</v>
      </c>
      <c r="AF326" s="344"/>
      <c r="AG326" s="359">
        <f t="shared" ca="1" si="172"/>
        <v>3.9913987816486447</v>
      </c>
      <c r="AH326" s="357">
        <f t="shared" ca="1" si="173"/>
        <v>-5.7055022938814748</v>
      </c>
    </row>
    <row r="327" spans="1:34">
      <c r="A327" s="402">
        <f t="shared" ca="1" si="151"/>
        <v>0.1</v>
      </c>
      <c r="B327" s="357">
        <f t="shared" ca="1" si="152"/>
        <v>14.299999999999967</v>
      </c>
      <c r="C327" s="342"/>
      <c r="D327" s="359">
        <f t="shared" ca="1" si="153"/>
        <v>-0.86110965105850645</v>
      </c>
      <c r="E327" s="360">
        <f t="shared" ca="1" si="154"/>
        <v>-4.0705294829180323</v>
      </c>
      <c r="F327" s="357">
        <f t="shared" ca="1" si="155"/>
        <v>4.1606153514175093</v>
      </c>
      <c r="G327" s="359">
        <f t="shared" ca="1" si="156"/>
        <v>7.0870224502565273</v>
      </c>
      <c r="H327" s="360">
        <f t="shared" ca="1" si="157"/>
        <v>-48.217442370777363</v>
      </c>
      <c r="I327" s="357">
        <f t="shared" ca="1" si="158"/>
        <v>48.735486413799912</v>
      </c>
      <c r="J327" s="359">
        <f t="shared" ca="1" si="159"/>
        <v>168.60803094471507</v>
      </c>
      <c r="K327" s="360">
        <f t="shared" ca="1" si="160"/>
        <v>131.38577929734174</v>
      </c>
      <c r="L327" s="357">
        <f t="shared" ca="1" si="145"/>
        <v>213.75427738556201</v>
      </c>
      <c r="M327" s="359">
        <f t="shared" ca="1" si="161"/>
        <v>-1.424860762650477</v>
      </c>
      <c r="N327" s="357">
        <f t="shared" ca="1" si="162"/>
        <v>-81.638508093664058</v>
      </c>
      <c r="O327" s="343"/>
      <c r="P327" s="363">
        <f t="shared" ca="1" si="163"/>
        <v>23</v>
      </c>
      <c r="Q327" s="357">
        <f t="shared" ca="1" si="164"/>
        <v>0</v>
      </c>
      <c r="R327" s="359">
        <f t="shared" ca="1" si="165"/>
        <v>0</v>
      </c>
      <c r="S327" s="360">
        <f t="shared" ca="1" si="166"/>
        <v>0.42898953648292248</v>
      </c>
      <c r="T327" s="357">
        <f t="shared" ca="1" si="146"/>
        <v>4.2083873528974696</v>
      </c>
      <c r="U327" s="364">
        <f t="shared" ca="1" si="147"/>
        <v>0</v>
      </c>
      <c r="V327" s="359">
        <f t="shared" ca="1" si="148"/>
        <v>1.2090102831068132</v>
      </c>
      <c r="W327" s="357">
        <f t="shared" ca="1" si="149"/>
        <v>2.5312751187171796</v>
      </c>
      <c r="X327" s="343"/>
      <c r="Y327" s="367" t="str">
        <f t="shared" ca="1" si="167"/>
        <v/>
      </c>
      <c r="Z327" s="368" t="str">
        <f t="shared" ca="1" si="168"/>
        <v/>
      </c>
      <c r="AA327" s="369" t="str">
        <f t="shared" ca="1" si="169"/>
        <v/>
      </c>
      <c r="AB327" s="344"/>
      <c r="AC327" s="363" t="e">
        <f t="shared" ca="1" si="170"/>
        <v>#N/A</v>
      </c>
      <c r="AD327" s="376" t="e">
        <f t="shared" ca="1" si="171"/>
        <v>#N/A</v>
      </c>
      <c r="AE327" s="377" t="e">
        <f t="shared" ca="1" si="150"/>
        <v>#N/A</v>
      </c>
      <c r="AF327" s="344"/>
      <c r="AG327" s="359">
        <f t="shared" ca="1" si="172"/>
        <v>3.8977102936571395</v>
      </c>
      <c r="AH327" s="357">
        <f t="shared" ca="1" si="173"/>
        <v>-5.8037084392308387</v>
      </c>
    </row>
    <row r="328" spans="1:34">
      <c r="A328" s="402">
        <f t="shared" ca="1" si="151"/>
        <v>0.1</v>
      </c>
      <c r="B328" s="357">
        <f t="shared" ca="1" si="152"/>
        <v>14.399999999999967</v>
      </c>
      <c r="C328" s="342"/>
      <c r="D328" s="359">
        <f t="shared" ca="1" si="153"/>
        <v>-0.85804715242621188</v>
      </c>
      <c r="E328" s="360">
        <f t="shared" ca="1" si="154"/>
        <v>-3.972169033058031</v>
      </c>
      <c r="F328" s="357">
        <f t="shared" ca="1" si="155"/>
        <v>4.0637878565412224</v>
      </c>
      <c r="G328" s="359">
        <f t="shared" ca="1" si="156"/>
        <v>7.0012177350139062</v>
      </c>
      <c r="H328" s="360">
        <f t="shared" ca="1" si="157"/>
        <v>-48.614659274083166</v>
      </c>
      <c r="I328" s="357">
        <f t="shared" ca="1" si="158"/>
        <v>49.116210624479919</v>
      </c>
      <c r="J328" s="359">
        <f t="shared" ca="1" si="159"/>
        <v>169.3124429539786</v>
      </c>
      <c r="K328" s="360">
        <f t="shared" ca="1" si="160"/>
        <v>126.54417421509872</v>
      </c>
      <c r="L328" s="357">
        <f t="shared" ca="1" si="145"/>
        <v>211.37675219102388</v>
      </c>
      <c r="M328" s="359">
        <f t="shared" ca="1" si="161"/>
        <v>-1.4277652083966339</v>
      </c>
      <c r="N328" s="357">
        <f t="shared" ca="1" si="162"/>
        <v>-81.804920576743569</v>
      </c>
      <c r="O328" s="343"/>
      <c r="P328" s="363">
        <f t="shared" ca="1" si="163"/>
        <v>23</v>
      </c>
      <c r="Q328" s="357">
        <f t="shared" ca="1" si="164"/>
        <v>0</v>
      </c>
      <c r="R328" s="359">
        <f t="shared" ca="1" si="165"/>
        <v>0</v>
      </c>
      <c r="S328" s="360">
        <f t="shared" ca="1" si="166"/>
        <v>0.42898953648292248</v>
      </c>
      <c r="T328" s="357">
        <f t="shared" ca="1" si="146"/>
        <v>4.2083873528974696</v>
      </c>
      <c r="U328" s="364">
        <f t="shared" ca="1" si="147"/>
        <v>0</v>
      </c>
      <c r="V328" s="359">
        <f t="shared" ca="1" si="148"/>
        <v>1.2095958042203696</v>
      </c>
      <c r="W328" s="357">
        <f t="shared" ca="1" si="149"/>
        <v>2.5722236288351876</v>
      </c>
      <c r="X328" s="343"/>
      <c r="Y328" s="367" t="str">
        <f t="shared" ca="1" si="167"/>
        <v/>
      </c>
      <c r="Z328" s="368" t="str">
        <f t="shared" ca="1" si="168"/>
        <v/>
      </c>
      <c r="AA328" s="369" t="str">
        <f t="shared" ca="1" si="169"/>
        <v/>
      </c>
      <c r="AB328" s="344"/>
      <c r="AC328" s="363" t="e">
        <f t="shared" ca="1" si="170"/>
        <v>#N/A</v>
      </c>
      <c r="AD328" s="376" t="e">
        <f t="shared" ca="1" si="171"/>
        <v>#N/A</v>
      </c>
      <c r="AE328" s="377" t="e">
        <f t="shared" ca="1" si="150"/>
        <v>#N/A</v>
      </c>
      <c r="AF328" s="344"/>
      <c r="AG328" s="359">
        <f t="shared" ca="1" si="172"/>
        <v>3.805170434357823</v>
      </c>
      <c r="AH328" s="357">
        <f t="shared" ca="1" si="173"/>
        <v>-5.9005521194523265</v>
      </c>
    </row>
    <row r="329" spans="1:34">
      <c r="A329" s="402">
        <f t="shared" ca="1" si="151"/>
        <v>0.1</v>
      </c>
      <c r="B329" s="357">
        <f t="shared" ca="1" si="152"/>
        <v>14.499999999999966</v>
      </c>
      <c r="C329" s="342"/>
      <c r="D329" s="359">
        <f t="shared" ca="1" si="153"/>
        <v>-0.85469419674537273</v>
      </c>
      <c r="E329" s="360">
        <f t="shared" ca="1" si="154"/>
        <v>-3.8752228325205813</v>
      </c>
      <c r="F329" s="357">
        <f t="shared" ca="1" si="155"/>
        <v>3.9683566084260944</v>
      </c>
      <c r="G329" s="359">
        <f t="shared" ca="1" si="156"/>
        <v>6.9157483153393686</v>
      </c>
      <c r="H329" s="360">
        <f t="shared" ca="1" si="157"/>
        <v>-49.002181557335227</v>
      </c>
      <c r="I329" s="357">
        <f t="shared" ca="1" si="158"/>
        <v>49.487790131901868</v>
      </c>
      <c r="J329" s="359">
        <f t="shared" ca="1" si="159"/>
        <v>170.00829125649628</v>
      </c>
      <c r="K329" s="360">
        <f t="shared" ca="1" si="160"/>
        <v>121.66333217352781</v>
      </c>
      <c r="L329" s="357">
        <f t="shared" ca="1" si="145"/>
        <v>209.05689534554901</v>
      </c>
      <c r="M329" s="359">
        <f t="shared" ca="1" si="161"/>
        <v>-1.4305908706853967</v>
      </c>
      <c r="N329" s="357">
        <f t="shared" ca="1" si="162"/>
        <v>-81.966819100218956</v>
      </c>
      <c r="O329" s="343"/>
      <c r="P329" s="363">
        <f t="shared" ca="1" si="163"/>
        <v>23</v>
      </c>
      <c r="Q329" s="357">
        <f t="shared" ca="1" si="164"/>
        <v>0</v>
      </c>
      <c r="R329" s="359">
        <f t="shared" ca="1" si="165"/>
        <v>0</v>
      </c>
      <c r="S329" s="360">
        <f t="shared" ca="1" si="166"/>
        <v>0.42898953648292248</v>
      </c>
      <c r="T329" s="357">
        <f t="shared" ca="1" si="146"/>
        <v>4.2083873528974696</v>
      </c>
      <c r="U329" s="364">
        <f t="shared" ca="1" si="147"/>
        <v>0</v>
      </c>
      <c r="V329" s="359">
        <f t="shared" ca="1" si="148"/>
        <v>1.2101863556752521</v>
      </c>
      <c r="W329" s="357">
        <f t="shared" ca="1" si="149"/>
        <v>2.6125650908651221</v>
      </c>
      <c r="X329" s="343"/>
      <c r="Y329" s="367" t="str">
        <f t="shared" ca="1" si="167"/>
        <v/>
      </c>
      <c r="Z329" s="368" t="str">
        <f t="shared" ca="1" si="168"/>
        <v/>
      </c>
      <c r="AA329" s="369" t="str">
        <f t="shared" ca="1" si="169"/>
        <v/>
      </c>
      <c r="AB329" s="344"/>
      <c r="AC329" s="363" t="e">
        <f t="shared" ca="1" si="170"/>
        <v>#N/A</v>
      </c>
      <c r="AD329" s="376" t="e">
        <f t="shared" ca="1" si="171"/>
        <v>#N/A</v>
      </c>
      <c r="AE329" s="377" t="e">
        <f t="shared" ca="1" si="150"/>
        <v>#N/A</v>
      </c>
      <c r="AF329" s="344"/>
      <c r="AG329" s="359">
        <f t="shared" ca="1" si="172"/>
        <v>3.713819432050288</v>
      </c>
      <c r="AH329" s="357">
        <f t="shared" ca="1" si="173"/>
        <v>-5.9960055201429938</v>
      </c>
    </row>
    <row r="330" spans="1:34">
      <c r="A330" s="402">
        <f t="shared" ca="1" si="151"/>
        <v>0.1</v>
      </c>
      <c r="B330" s="357">
        <f t="shared" ca="1" si="152"/>
        <v>14.599999999999966</v>
      </c>
      <c r="C330" s="342"/>
      <c r="D330" s="359">
        <f t="shared" ca="1" si="153"/>
        <v>-0.85106266462722402</v>
      </c>
      <c r="E330" s="360">
        <f t="shared" ca="1" si="154"/>
        <v>-3.7797158850862171</v>
      </c>
      <c r="F330" s="357">
        <f t="shared" ca="1" si="155"/>
        <v>3.8743463746928302</v>
      </c>
      <c r="G330" s="359">
        <f t="shared" ca="1" si="156"/>
        <v>6.8306420488766459</v>
      </c>
      <c r="H330" s="360">
        <f t="shared" ca="1" si="157"/>
        <v>-49.380153145843849</v>
      </c>
      <c r="I330" s="357">
        <f t="shared" ca="1" si="158"/>
        <v>49.850347997851266</v>
      </c>
      <c r="J330" s="359">
        <f t="shared" ca="1" si="159"/>
        <v>170.69561077470709</v>
      </c>
      <c r="K330" s="360">
        <f t="shared" ca="1" si="160"/>
        <v>116.74421543836885</v>
      </c>
      <c r="L330" s="357">
        <f t="shared" ca="1" si="145"/>
        <v>206.79991145082869</v>
      </c>
      <c r="M330" s="359">
        <f t="shared" ca="1" si="161"/>
        <v>-1.4333409326475517</v>
      </c>
      <c r="N330" s="357">
        <f t="shared" ca="1" si="162"/>
        <v>-82.124386044049899</v>
      </c>
      <c r="O330" s="343"/>
      <c r="P330" s="363">
        <f t="shared" ca="1" si="163"/>
        <v>23</v>
      </c>
      <c r="Q330" s="357">
        <f t="shared" ca="1" si="164"/>
        <v>0</v>
      </c>
      <c r="R330" s="359">
        <f t="shared" ca="1" si="165"/>
        <v>0</v>
      </c>
      <c r="S330" s="360">
        <f t="shared" ca="1" si="166"/>
        <v>0.42898953648292248</v>
      </c>
      <c r="T330" s="357">
        <f t="shared" ca="1" si="146"/>
        <v>4.2083873528974696</v>
      </c>
      <c r="U330" s="364">
        <f t="shared" ca="1" si="147"/>
        <v>0</v>
      </c>
      <c r="V330" s="359">
        <f t="shared" ca="1" si="148"/>
        <v>1.210781828075117</v>
      </c>
      <c r="W330" s="357">
        <f t="shared" ca="1" si="149"/>
        <v>2.6522901267572041</v>
      </c>
      <c r="X330" s="343"/>
      <c r="Y330" s="367" t="str">
        <f t="shared" ca="1" si="167"/>
        <v/>
      </c>
      <c r="Z330" s="368" t="str">
        <f t="shared" ca="1" si="168"/>
        <v/>
      </c>
      <c r="AA330" s="369" t="str">
        <f t="shared" ca="1" si="169"/>
        <v/>
      </c>
      <c r="AB330" s="344"/>
      <c r="AC330" s="363" t="e">
        <f t="shared" ca="1" si="170"/>
        <v>#N/A</v>
      </c>
      <c r="AD330" s="376" t="e">
        <f t="shared" ca="1" si="171"/>
        <v>#N/A</v>
      </c>
      <c r="AE330" s="377" t="e">
        <f t="shared" ca="1" si="150"/>
        <v>#N/A</v>
      </c>
      <c r="AF330" s="344"/>
      <c r="AG330" s="359">
        <f t="shared" ca="1" si="172"/>
        <v>3.6236936094544321</v>
      </c>
      <c r="AH330" s="357">
        <f t="shared" ca="1" si="173"/>
        <v>-6.0900438558112127</v>
      </c>
    </row>
    <row r="331" spans="1:34">
      <c r="A331" s="402">
        <f t="shared" ca="1" si="151"/>
        <v>0.1</v>
      </c>
      <c r="B331" s="357">
        <f t="shared" ca="1" si="152"/>
        <v>14.699999999999966</v>
      </c>
      <c r="C331" s="342"/>
      <c r="D331" s="359">
        <f t="shared" ca="1" si="153"/>
        <v>-0.84716433126564206</v>
      </c>
      <c r="E331" s="360">
        <f t="shared" ca="1" si="154"/>
        <v>-3.6856702344732586</v>
      </c>
      <c r="F331" s="357">
        <f t="shared" ca="1" si="155"/>
        <v>3.7817790101288211</v>
      </c>
      <c r="G331" s="359">
        <f t="shared" ca="1" si="156"/>
        <v>6.7459256157500818</v>
      </c>
      <c r="H331" s="360">
        <f t="shared" ca="1" si="157"/>
        <v>-49.748720169291175</v>
      </c>
      <c r="I331" s="357">
        <f t="shared" ca="1" si="158"/>
        <v>50.204010506090761</v>
      </c>
      <c r="J331" s="359">
        <f t="shared" ca="1" si="159"/>
        <v>171.37443915793844</v>
      </c>
      <c r="K331" s="360">
        <f t="shared" ca="1" si="160"/>
        <v>111.7877717726121</v>
      </c>
      <c r="L331" s="357">
        <f t="shared" ca="1" si="145"/>
        <v>204.61110506173304</v>
      </c>
      <c r="M331" s="359">
        <f t="shared" ca="1" si="161"/>
        <v>-1.4360184016237414</v>
      </c>
      <c r="N331" s="357">
        <f t="shared" ca="1" si="162"/>
        <v>-82.27779371616279</v>
      </c>
      <c r="O331" s="343"/>
      <c r="P331" s="363">
        <f t="shared" ca="1" si="163"/>
        <v>23</v>
      </c>
      <c r="Q331" s="357">
        <f t="shared" ca="1" si="164"/>
        <v>0</v>
      </c>
      <c r="R331" s="359">
        <f t="shared" ca="1" si="165"/>
        <v>0</v>
      </c>
      <c r="S331" s="360">
        <f t="shared" ca="1" si="166"/>
        <v>0.42898953648292248</v>
      </c>
      <c r="T331" s="357">
        <f t="shared" ca="1" si="146"/>
        <v>4.2083873528974696</v>
      </c>
      <c r="U331" s="364">
        <f t="shared" ca="1" si="147"/>
        <v>0</v>
      </c>
      <c r="V331" s="359">
        <f t="shared" ca="1" si="148"/>
        <v>1.2113821136166079</v>
      </c>
      <c r="W331" s="357">
        <f t="shared" ca="1" si="149"/>
        <v>2.6913905676248748</v>
      </c>
      <c r="X331" s="343"/>
      <c r="Y331" s="367" t="str">
        <f t="shared" ca="1" si="167"/>
        <v/>
      </c>
      <c r="Z331" s="368" t="str">
        <f t="shared" ca="1" si="168"/>
        <v/>
      </c>
      <c r="AA331" s="369" t="str">
        <f t="shared" ca="1" si="169"/>
        <v/>
      </c>
      <c r="AB331" s="344"/>
      <c r="AC331" s="363" t="e">
        <f t="shared" ca="1" si="170"/>
        <v>#N/A</v>
      </c>
      <c r="AD331" s="376" t="e">
        <f t="shared" ca="1" si="171"/>
        <v>#N/A</v>
      </c>
      <c r="AE331" s="377" t="e">
        <f t="shared" ca="1" si="150"/>
        <v>#N/A</v>
      </c>
      <c r="AF331" s="344"/>
      <c r="AG331" s="359">
        <f t="shared" ca="1" si="172"/>
        <v>3.5348255608468673</v>
      </c>
      <c r="AH331" s="357">
        <f t="shared" ca="1" si="173"/>
        <v>-6.1826452656678921</v>
      </c>
    </row>
    <row r="332" spans="1:34">
      <c r="A332" s="402">
        <f t="shared" ca="1" si="151"/>
        <v>0.1</v>
      </c>
      <c r="B332" s="357">
        <f t="shared" ca="1" si="152"/>
        <v>14.799999999999965</v>
      </c>
      <c r="C332" s="342"/>
      <c r="D332" s="359">
        <f t="shared" ca="1" si="153"/>
        <v>-0.84301084744644816</v>
      </c>
      <c r="E332" s="360">
        <f t="shared" ca="1" si="154"/>
        <v>-3.5931050713969146</v>
      </c>
      <c r="F332" s="357">
        <f t="shared" ca="1" si="155"/>
        <v>3.6906735622390943</v>
      </c>
      <c r="G332" s="359">
        <f t="shared" ca="1" si="156"/>
        <v>6.6616245310054367</v>
      </c>
      <c r="H332" s="360">
        <f t="shared" ca="1" si="157"/>
        <v>-50.108030676430865</v>
      </c>
      <c r="I332" s="357">
        <f t="shared" ca="1" si="158"/>
        <v>50.548906809764247</v>
      </c>
      <c r="J332" s="359">
        <f t="shared" ca="1" si="159"/>
        <v>172.04481666527622</v>
      </c>
      <c r="K332" s="360">
        <f t="shared" ca="1" si="160"/>
        <v>106.79493423032601</v>
      </c>
      <c r="L332" s="357">
        <f t="shared" ca="1" si="145"/>
        <v>202.49586889279536</v>
      </c>
      <c r="M332" s="359">
        <f t="shared" ca="1" si="161"/>
        <v>-1.4386261210849118</v>
      </c>
      <c r="N332" s="357">
        <f t="shared" ca="1" si="162"/>
        <v>-82.427205035441986</v>
      </c>
      <c r="O332" s="343"/>
      <c r="P332" s="363">
        <f t="shared" ca="1" si="163"/>
        <v>23</v>
      </c>
      <c r="Q332" s="357">
        <f t="shared" ca="1" si="164"/>
        <v>0</v>
      </c>
      <c r="R332" s="359">
        <f t="shared" ca="1" si="165"/>
        <v>0</v>
      </c>
      <c r="S332" s="360">
        <f t="shared" ca="1" si="166"/>
        <v>0.42898953648292248</v>
      </c>
      <c r="T332" s="357">
        <f t="shared" ca="1" si="146"/>
        <v>4.2083873528974696</v>
      </c>
      <c r="U332" s="364">
        <f t="shared" ca="1" si="147"/>
        <v>0</v>
      </c>
      <c r="V332" s="359">
        <f t="shared" ca="1" si="148"/>
        <v>1.2119871061141196</v>
      </c>
      <c r="W332" s="357">
        <f t="shared" ca="1" si="149"/>
        <v>2.7298594076578691</v>
      </c>
      <c r="X332" s="343"/>
      <c r="Y332" s="367" t="str">
        <f t="shared" ca="1" si="167"/>
        <v/>
      </c>
      <c r="Z332" s="368" t="str">
        <f t="shared" ca="1" si="168"/>
        <v/>
      </c>
      <c r="AA332" s="369" t="str">
        <f t="shared" ca="1" si="169"/>
        <v/>
      </c>
      <c r="AB332" s="344"/>
      <c r="AC332" s="363" t="e">
        <f t="shared" ca="1" si="170"/>
        <v>#N/A</v>
      </c>
      <c r="AD332" s="376" t="e">
        <f t="shared" ca="1" si="171"/>
        <v>#N/A</v>
      </c>
      <c r="AE332" s="377" t="e">
        <f t="shared" ca="1" si="150"/>
        <v>#N/A</v>
      </c>
      <c r="AF332" s="344"/>
      <c r="AG332" s="359">
        <f t="shared" ca="1" si="172"/>
        <v>3.447244324129155</v>
      </c>
      <c r="AH332" s="357">
        <f t="shared" ca="1" si="173"/>
        <v>-6.2737907075549746</v>
      </c>
    </row>
    <row r="333" spans="1:34">
      <c r="A333" s="402">
        <f t="shared" ca="1" si="151"/>
        <v>0.1</v>
      </c>
      <c r="B333" s="357">
        <f t="shared" ca="1" si="152"/>
        <v>14.899999999999965</v>
      </c>
      <c r="C333" s="342"/>
      <c r="D333" s="359">
        <f t="shared" ca="1" si="153"/>
        <v>-0.8386137221183676</v>
      </c>
      <c r="E333" s="360">
        <f t="shared" ca="1" si="154"/>
        <v>-3.502036842064288</v>
      </c>
      <c r="F333" s="357">
        <f t="shared" ca="1" si="155"/>
        <v>3.6010463782213127</v>
      </c>
      <c r="G333" s="359">
        <f t="shared" ca="1" si="156"/>
        <v>6.5777631587935996</v>
      </c>
      <c r="H333" s="360">
        <f t="shared" ca="1" si="157"/>
        <v>-50.458234360637292</v>
      </c>
      <c r="I333" s="357">
        <f t="shared" ca="1" si="158"/>
        <v>50.88516859524178</v>
      </c>
      <c r="J333" s="359">
        <f t="shared" ca="1" si="159"/>
        <v>172.70678604976618</v>
      </c>
      <c r="K333" s="360">
        <f t="shared" ca="1" si="160"/>
        <v>101.7666209784726</v>
      </c>
      <c r="L333" s="357">
        <f t="shared" ca="1" si="145"/>
        <v>200.45966949243385</v>
      </c>
      <c r="M333" s="359">
        <f t="shared" ca="1" si="161"/>
        <v>-1.441166781610232</v>
      </c>
      <c r="N333" s="357">
        <f t="shared" ca="1" si="162"/>
        <v>-82.572774160718325</v>
      </c>
      <c r="O333" s="343"/>
      <c r="P333" s="363">
        <f t="shared" ca="1" si="163"/>
        <v>23</v>
      </c>
      <c r="Q333" s="357">
        <f t="shared" ca="1" si="164"/>
        <v>0</v>
      </c>
      <c r="R333" s="359">
        <f t="shared" ca="1" si="165"/>
        <v>0</v>
      </c>
      <c r="S333" s="360">
        <f t="shared" ca="1" si="166"/>
        <v>0.42898953648292248</v>
      </c>
      <c r="T333" s="357">
        <f t="shared" ca="1" si="146"/>
        <v>4.2083873528974696</v>
      </c>
      <c r="U333" s="364">
        <f t="shared" ca="1" si="147"/>
        <v>0</v>
      </c>
      <c r="V333" s="359">
        <f t="shared" ca="1" si="148"/>
        <v>1.2125967010214389</v>
      </c>
      <c r="W333" s="357">
        <f t="shared" ca="1" si="149"/>
        <v>2.7676907576542917</v>
      </c>
      <c r="X333" s="343"/>
      <c r="Y333" s="367" t="str">
        <f t="shared" ca="1" si="167"/>
        <v/>
      </c>
      <c r="Z333" s="368" t="str">
        <f t="shared" ca="1" si="168"/>
        <v/>
      </c>
      <c r="AA333" s="369" t="str">
        <f t="shared" ca="1" si="169"/>
        <v/>
      </c>
      <c r="AB333" s="344"/>
      <c r="AC333" s="363" t="e">
        <f t="shared" ca="1" si="170"/>
        <v>#N/A</v>
      </c>
      <c r="AD333" s="376" t="e">
        <f t="shared" ca="1" si="171"/>
        <v>#N/A</v>
      </c>
      <c r="AE333" s="377" t="e">
        <f t="shared" ca="1" si="150"/>
        <v>#N/A</v>
      </c>
      <c r="AF333" s="344"/>
      <c r="AG333" s="359">
        <f t="shared" ca="1" si="172"/>
        <v>3.3609755480612993</v>
      </c>
      <c r="AH333" s="357">
        <f t="shared" ca="1" si="173"/>
        <v>-6.3634638505140817</v>
      </c>
    </row>
    <row r="334" spans="1:34">
      <c r="A334" s="402">
        <f t="shared" ca="1" si="151"/>
        <v>0.1</v>
      </c>
      <c r="B334" s="357">
        <f t="shared" ca="1" si="152"/>
        <v>14.999999999999964</v>
      </c>
      <c r="C334" s="342"/>
      <c r="D334" s="359">
        <f t="shared" ca="1" si="153"/>
        <v>-0.83398430647216648</v>
      </c>
      <c r="E334" s="360">
        <f t="shared" ca="1" si="154"/>
        <v>-3.4124793576203958</v>
      </c>
      <c r="F334" s="357">
        <f t="shared" ca="1" si="155"/>
        <v>3.5129112128869937</v>
      </c>
      <c r="G334" s="359">
        <f t="shared" ca="1" si="156"/>
        <v>6.4943647281463832</v>
      </c>
      <c r="H334" s="360">
        <f t="shared" ca="1" si="157"/>
        <v>-50.799482296399333</v>
      </c>
      <c r="I334" s="357">
        <f t="shared" ca="1" si="158"/>
        <v>51.212929761969107</v>
      </c>
      <c r="J334" s="359">
        <f t="shared" ca="1" si="159"/>
        <v>173.36039244411319</v>
      </c>
      <c r="K334" s="360">
        <f t="shared" ca="1" si="160"/>
        <v>96.703735145620769</v>
      </c>
      <c r="L334" s="357">
        <f t="shared" ca="1" si="145"/>
        <v>198.50803021412335</v>
      </c>
      <c r="M334" s="359">
        <f t="shared" ca="1" si="161"/>
        <v>-1.443642931007229</v>
      </c>
      <c r="N334" s="357">
        <f t="shared" ca="1" si="162"/>
        <v>-82.714647070610113</v>
      </c>
      <c r="O334" s="343"/>
      <c r="P334" s="363">
        <f t="shared" ca="1" si="163"/>
        <v>23</v>
      </c>
      <c r="Q334" s="357">
        <f t="shared" ca="1" si="164"/>
        <v>0</v>
      </c>
      <c r="R334" s="359">
        <f t="shared" ca="1" si="165"/>
        <v>0</v>
      </c>
      <c r="S334" s="360">
        <f t="shared" ca="1" si="166"/>
        <v>0.42898953648292248</v>
      </c>
      <c r="T334" s="357">
        <f t="shared" ca="1" si="146"/>
        <v>4.2083873528974696</v>
      </c>
      <c r="U334" s="364">
        <f t="shared" ca="1" si="147"/>
        <v>0</v>
      </c>
      <c r="V334" s="359">
        <f t="shared" ca="1" si="148"/>
        <v>1.2132107954503788</v>
      </c>
      <c r="W334" s="357">
        <f t="shared" ca="1" si="149"/>
        <v>2.8048797983606764</v>
      </c>
      <c r="X334" s="343"/>
      <c r="Y334" s="367" t="str">
        <f t="shared" ca="1" si="167"/>
        <v/>
      </c>
      <c r="Z334" s="368" t="str">
        <f t="shared" ca="1" si="168"/>
        <v/>
      </c>
      <c r="AA334" s="369" t="str">
        <f t="shared" ca="1" si="169"/>
        <v/>
      </c>
      <c r="AB334" s="344"/>
      <c r="AC334" s="363">
        <f t="shared" ca="1" si="170"/>
        <v>14.999999999999964</v>
      </c>
      <c r="AD334" s="376">
        <f t="shared" ca="1" si="171"/>
        <v>173.36039244411319</v>
      </c>
      <c r="AE334" s="377" t="e">
        <f t="shared" ca="1" si="150"/>
        <v>#N/A</v>
      </c>
      <c r="AF334" s="344"/>
      <c r="AG334" s="359">
        <f t="shared" ca="1" si="172"/>
        <v>3.2760416548390952</v>
      </c>
      <c r="AH334" s="357">
        <f t="shared" ca="1" si="173"/>
        <v>-6.4516509664670343</v>
      </c>
    </row>
    <row r="335" spans="1:34">
      <c r="A335" s="402">
        <f t="shared" ca="1" si="151"/>
        <v>0.1</v>
      </c>
      <c r="B335" s="357">
        <f t="shared" ca="1" si="152"/>
        <v>15.099999999999964</v>
      </c>
      <c r="C335" s="342"/>
      <c r="D335" s="359">
        <f t="shared" ca="1" si="153"/>
        <v>-0.82913377947280076</v>
      </c>
      <c r="E335" s="360">
        <f t="shared" ca="1" si="154"/>
        <v>-3.324443904092691</v>
      </c>
      <c r="F335" s="357">
        <f t="shared" ca="1" si="155"/>
        <v>3.4262793370829976</v>
      </c>
      <c r="G335" s="359">
        <f t="shared" ca="1" si="156"/>
        <v>6.4114513501991031</v>
      </c>
      <c r="H335" s="360">
        <f t="shared" ca="1" si="157"/>
        <v>-51.131926686808605</v>
      </c>
      <c r="I335" s="357">
        <f t="shared" ca="1" si="158"/>
        <v>51.532326117895551</v>
      </c>
      <c r="J335" s="359">
        <f t="shared" ca="1" si="159"/>
        <v>174.00568324803046</v>
      </c>
      <c r="K335" s="360">
        <f t="shared" ca="1" si="160"/>
        <v>91.607164696460373</v>
      </c>
      <c r="L335" s="357">
        <f t="shared" ca="1" si="145"/>
        <v>196.64651135054066</v>
      </c>
      <c r="M335" s="359">
        <f t="shared" ca="1" si="161"/>
        <v>-1.4460569836503694</v>
      </c>
      <c r="N335" s="357">
        <f t="shared" ca="1" si="162"/>
        <v>-82.852962098584456</v>
      </c>
      <c r="O335" s="343"/>
      <c r="P335" s="363">
        <f t="shared" ca="1" si="163"/>
        <v>23</v>
      </c>
      <c r="Q335" s="357">
        <f t="shared" ca="1" si="164"/>
        <v>0</v>
      </c>
      <c r="R335" s="359">
        <f t="shared" ca="1" si="165"/>
        <v>0</v>
      </c>
      <c r="S335" s="360">
        <f t="shared" ca="1" si="166"/>
        <v>0.42898953648292248</v>
      </c>
      <c r="T335" s="357">
        <f t="shared" ca="1" si="146"/>
        <v>4.2083873528974696</v>
      </c>
      <c r="U335" s="364">
        <f t="shared" ca="1" si="147"/>
        <v>0</v>
      </c>
      <c r="V335" s="359">
        <f t="shared" ca="1" si="148"/>
        <v>1.2138292881865276</v>
      </c>
      <c r="W335" s="357">
        <f t="shared" ca="1" si="149"/>
        <v>2.8414227337956737</v>
      </c>
      <c r="X335" s="343"/>
      <c r="Y335" s="367" t="str">
        <f t="shared" ca="1" si="167"/>
        <v/>
      </c>
      <c r="Z335" s="368" t="str">
        <f t="shared" ca="1" si="168"/>
        <v/>
      </c>
      <c r="AA335" s="369" t="str">
        <f t="shared" ca="1" si="169"/>
        <v/>
      </c>
      <c r="AB335" s="344"/>
      <c r="AC335" s="363" t="e">
        <f t="shared" ca="1" si="170"/>
        <v>#N/A</v>
      </c>
      <c r="AD335" s="376" t="e">
        <f t="shared" ca="1" si="171"/>
        <v>#N/A</v>
      </c>
      <c r="AE335" s="377" t="e">
        <f t="shared" ca="1" si="150"/>
        <v>#N/A</v>
      </c>
      <c r="AF335" s="344"/>
      <c r="AG335" s="359">
        <f t="shared" ca="1" si="172"/>
        <v>3.1924619981499021</v>
      </c>
      <c r="AH335" s="357">
        <f t="shared" ca="1" si="173"/>
        <v>-6.5383408214487648</v>
      </c>
    </row>
    <row r="336" spans="1:34">
      <c r="A336" s="402">
        <f t="shared" ca="1" si="151"/>
        <v>0.1</v>
      </c>
      <c r="B336" s="357">
        <f t="shared" ca="1" si="152"/>
        <v>15.199999999999964</v>
      </c>
      <c r="C336" s="342"/>
      <c r="D336" s="359">
        <f t="shared" ca="1" si="153"/>
        <v>-0.82407313478816357</v>
      </c>
      <c r="E336" s="360">
        <f t="shared" ca="1" si="154"/>
        <v>-3.2379393524138056</v>
      </c>
      <c r="F336" s="357">
        <f t="shared" ca="1" si="155"/>
        <v>3.3411596461991344</v>
      </c>
      <c r="G336" s="359">
        <f t="shared" ca="1" si="156"/>
        <v>6.3290440367202869</v>
      </c>
      <c r="H336" s="360">
        <f t="shared" ca="1" si="157"/>
        <v>-51.455720622049988</v>
      </c>
      <c r="I336" s="357">
        <f t="shared" ca="1" si="158"/>
        <v>51.843495090061253</v>
      </c>
      <c r="J336" s="359">
        <f t="shared" ca="1" si="159"/>
        <v>174.64270801737644</v>
      </c>
      <c r="K336" s="360">
        <f t="shared" ca="1" si="160"/>
        <v>86.477782331017437</v>
      </c>
      <c r="L336" s="357">
        <f t="shared" ca="1" si="145"/>
        <v>194.88068734621558</v>
      </c>
      <c r="M336" s="359">
        <f t="shared" ca="1" si="161"/>
        <v>-1.4484112291067672</v>
      </c>
      <c r="N336" s="357">
        <f t="shared" ca="1" si="162"/>
        <v>-82.987850427173896</v>
      </c>
      <c r="O336" s="343"/>
      <c r="P336" s="363">
        <f t="shared" ca="1" si="163"/>
        <v>23</v>
      </c>
      <c r="Q336" s="357">
        <f t="shared" ca="1" si="164"/>
        <v>0</v>
      </c>
      <c r="R336" s="359">
        <f t="shared" ca="1" si="165"/>
        <v>0</v>
      </c>
      <c r="S336" s="360">
        <f t="shared" ca="1" si="166"/>
        <v>0.42898953648292248</v>
      </c>
      <c r="T336" s="357">
        <f t="shared" ca="1" si="146"/>
        <v>4.2083873528974696</v>
      </c>
      <c r="U336" s="364">
        <f t="shared" ca="1" si="147"/>
        <v>0</v>
      </c>
      <c r="V336" s="359">
        <f t="shared" ca="1" si="148"/>
        <v>1.2144520797022282</v>
      </c>
      <c r="W336" s="357">
        <f t="shared" ca="1" si="149"/>
        <v>2.8773167447198191</v>
      </c>
      <c r="X336" s="343"/>
      <c r="Y336" s="367" t="str">
        <f t="shared" ca="1" si="167"/>
        <v/>
      </c>
      <c r="Z336" s="368" t="str">
        <f t="shared" ca="1" si="168"/>
        <v/>
      </c>
      <c r="AA336" s="369" t="str">
        <f t="shared" ca="1" si="169"/>
        <v/>
      </c>
      <c r="AB336" s="344"/>
      <c r="AC336" s="363" t="e">
        <f t="shared" ca="1" si="170"/>
        <v>#N/A</v>
      </c>
      <c r="AD336" s="376" t="e">
        <f t="shared" ca="1" si="171"/>
        <v>#N/A</v>
      </c>
      <c r="AE336" s="377" t="e">
        <f t="shared" ca="1" si="150"/>
        <v>#N/A</v>
      </c>
      <c r="AF336" s="344"/>
      <c r="AG336" s="359">
        <f t="shared" ca="1" si="172"/>
        <v>3.1102530168067677</v>
      </c>
      <c r="AH336" s="357">
        <f t="shared" ca="1" si="173"/>
        <v>-6.6235245668020788</v>
      </c>
    </row>
    <row r="337" spans="1:34">
      <c r="A337" s="402">
        <f t="shared" ca="1" si="151"/>
        <v>0.1</v>
      </c>
      <c r="B337" s="357">
        <f t="shared" ca="1" si="152"/>
        <v>15.299999999999963</v>
      </c>
      <c r="C337" s="342"/>
      <c r="D337" s="359">
        <f t="shared" ca="1" si="153"/>
        <v>-0.81881316905692036</v>
      </c>
      <c r="E337" s="360">
        <f t="shared" ca="1" si="154"/>
        <v>-3.1529722681339631</v>
      </c>
      <c r="F337" s="357">
        <f t="shared" ca="1" si="155"/>
        <v>3.2575587683789933</v>
      </c>
      <c r="G337" s="359">
        <f t="shared" ca="1" si="156"/>
        <v>6.2471627198145949</v>
      </c>
      <c r="H337" s="360">
        <f t="shared" ca="1" si="157"/>
        <v>-51.771017848863387</v>
      </c>
      <c r="I337" s="357">
        <f t="shared" ca="1" si="158"/>
        <v>52.146575449929337</v>
      </c>
      <c r="J337" s="359">
        <f t="shared" ca="1" si="159"/>
        <v>175.27151835520317</v>
      </c>
      <c r="K337" s="360">
        <f t="shared" ca="1" si="160"/>
        <v>81.316445407471775</v>
      </c>
      <c r="L337" s="357">
        <f t="shared" ca="1" si="145"/>
        <v>193.21612106717353</v>
      </c>
      <c r="M337" s="359">
        <f t="shared" ca="1" si="161"/>
        <v>-1.4507078401109488</v>
      </c>
      <c r="N337" s="357">
        <f t="shared" ca="1" si="162"/>
        <v>-83.1194365448968</v>
      </c>
      <c r="O337" s="343"/>
      <c r="P337" s="363">
        <f t="shared" ca="1" si="163"/>
        <v>23</v>
      </c>
      <c r="Q337" s="357">
        <f t="shared" ca="1" si="164"/>
        <v>0</v>
      </c>
      <c r="R337" s="359">
        <f t="shared" ca="1" si="165"/>
        <v>0</v>
      </c>
      <c r="S337" s="360">
        <f t="shared" ca="1" si="166"/>
        <v>0.42898953648292248</v>
      </c>
      <c r="T337" s="357">
        <f t="shared" ca="1" si="146"/>
        <v>4.2083873528974696</v>
      </c>
      <c r="U337" s="364">
        <f t="shared" ca="1" si="147"/>
        <v>0</v>
      </c>
      <c r="V337" s="359">
        <f t="shared" ca="1" si="148"/>
        <v>1.2150790721669114</v>
      </c>
      <c r="W337" s="357">
        <f t="shared" ca="1" si="149"/>
        <v>2.9125599424008324</v>
      </c>
      <c r="X337" s="343"/>
      <c r="Y337" s="367" t="str">
        <f t="shared" ca="1" si="167"/>
        <v/>
      </c>
      <c r="Z337" s="368" t="str">
        <f t="shared" ca="1" si="168"/>
        <v/>
      </c>
      <c r="AA337" s="369" t="str">
        <f t="shared" ca="1" si="169"/>
        <v/>
      </c>
      <c r="AB337" s="344"/>
      <c r="AC337" s="363" t="e">
        <f t="shared" ca="1" si="170"/>
        <v>#N/A</v>
      </c>
      <c r="AD337" s="376" t="e">
        <f t="shared" ca="1" si="171"/>
        <v>#N/A</v>
      </c>
      <c r="AE337" s="377" t="e">
        <f t="shared" ca="1" si="150"/>
        <v>#N/A</v>
      </c>
      <c r="AF337" s="344"/>
      <c r="AG337" s="359">
        <f t="shared" ca="1" si="172"/>
        <v>3.029428384034115</v>
      </c>
      <c r="AH337" s="357">
        <f t="shared" ca="1" si="173"/>
        <v>-6.7071956307129215</v>
      </c>
    </row>
    <row r="338" spans="1:34">
      <c r="A338" s="402">
        <f t="shared" ca="1" si="151"/>
        <v>0.1</v>
      </c>
      <c r="B338" s="357">
        <f t="shared" ca="1" si="152"/>
        <v>15.399999999999963</v>
      </c>
      <c r="C338" s="342"/>
      <c r="D338" s="359">
        <f t="shared" ca="1" si="153"/>
        <v>-0.81336447143725144</v>
      </c>
      <c r="E338" s="360">
        <f t="shared" ca="1" si="154"/>
        <v>-3.0695470204657971</v>
      </c>
      <c r="F338" s="357">
        <f t="shared" ca="1" si="155"/>
        <v>3.1754811720819336</v>
      </c>
      <c r="G338" s="359">
        <f t="shared" ca="1" si="156"/>
        <v>6.1658262726708699</v>
      </c>
      <c r="H338" s="360">
        <f t="shared" ca="1" si="157"/>
        <v>-52.077972550909969</v>
      </c>
      <c r="I338" s="357">
        <f t="shared" ca="1" si="158"/>
        <v>52.44170705305168</v>
      </c>
      <c r="J338" s="359">
        <f t="shared" ca="1" si="159"/>
        <v>175.89216780482744</v>
      </c>
      <c r="K338" s="360">
        <f t="shared" ca="1" si="160"/>
        <v>76.123995887483105</v>
      </c>
      <c r="L338" s="357">
        <f t="shared" ca="1" si="145"/>
        <v>191.65833518258242</v>
      </c>
      <c r="M338" s="359">
        <f t="shared" ca="1" si="161"/>
        <v>-1.4529488799446011</v>
      </c>
      <c r="N338" s="357">
        <f t="shared" ca="1" si="162"/>
        <v>-83.24783866908578</v>
      </c>
      <c r="O338" s="343"/>
      <c r="P338" s="363">
        <f t="shared" ca="1" si="163"/>
        <v>23</v>
      </c>
      <c r="Q338" s="357">
        <f t="shared" ca="1" si="164"/>
        <v>0</v>
      </c>
      <c r="R338" s="359">
        <f t="shared" ca="1" si="165"/>
        <v>0</v>
      </c>
      <c r="S338" s="360">
        <f t="shared" ca="1" si="166"/>
        <v>0.42898953648292248</v>
      </c>
      <c r="T338" s="357">
        <f t="shared" ca="1" si="146"/>
        <v>4.2083873528974696</v>
      </c>
      <c r="U338" s="364">
        <f t="shared" ca="1" si="147"/>
        <v>0</v>
      </c>
      <c r="V338" s="359">
        <f t="shared" ca="1" si="148"/>
        <v>1.215710169454894</v>
      </c>
      <c r="W338" s="357">
        <f t="shared" ca="1" si="149"/>
        <v>2.9471513228111856</v>
      </c>
      <c r="X338" s="343"/>
      <c r="Y338" s="367" t="str">
        <f t="shared" ca="1" si="167"/>
        <v/>
      </c>
      <c r="Z338" s="368" t="str">
        <f t="shared" ca="1" si="168"/>
        <v/>
      </c>
      <c r="AA338" s="369" t="str">
        <f t="shared" ca="1" si="169"/>
        <v/>
      </c>
      <c r="AB338" s="344"/>
      <c r="AC338" s="363" t="e">
        <f t="shared" ca="1" si="170"/>
        <v>#N/A</v>
      </c>
      <c r="AD338" s="376" t="e">
        <f t="shared" ca="1" si="171"/>
        <v>#N/A</v>
      </c>
      <c r="AE338" s="377" t="e">
        <f t="shared" ca="1" si="150"/>
        <v>#N/A</v>
      </c>
      <c r="AF338" s="344"/>
      <c r="AG338" s="359">
        <f t="shared" ca="1" si="172"/>
        <v>2.9499991524579423</v>
      </c>
      <c r="AH338" s="357">
        <f t="shared" ca="1" si="173"/>
        <v>-6.7893496104345603</v>
      </c>
    </row>
    <row r="339" spans="1:34">
      <c r="A339" s="402">
        <f t="shared" ca="1" si="151"/>
        <v>0.1</v>
      </c>
      <c r="B339" s="357">
        <f t="shared" ca="1" si="152"/>
        <v>15.499999999999963</v>
      </c>
      <c r="C339" s="342"/>
      <c r="D339" s="359">
        <f t="shared" ca="1" si="153"/>
        <v>-0.80773741437784508</v>
      </c>
      <c r="E339" s="360">
        <f t="shared" ca="1" si="154"/>
        <v>-2.9876658903347808</v>
      </c>
      <c r="F339" s="357">
        <f t="shared" ca="1" si="155"/>
        <v>3.0949292726742117</v>
      </c>
      <c r="G339" s="359">
        <f t="shared" ca="1" si="156"/>
        <v>6.0850525312330852</v>
      </c>
      <c r="H339" s="360">
        <f t="shared" ca="1" si="157"/>
        <v>-52.376739139943446</v>
      </c>
      <c r="I339" s="357">
        <f t="shared" ca="1" si="158"/>
        <v>52.729030592658823</v>
      </c>
      <c r="J339" s="359">
        <f t="shared" ca="1" si="159"/>
        <v>176.50471174502263</v>
      </c>
      <c r="K339" s="360">
        <f t="shared" ca="1" si="160"/>
        <v>70.901260302940429</v>
      </c>
      <c r="L339" s="357">
        <f t="shared" ca="1" si="145"/>
        <v>190.21278080281263</v>
      </c>
      <c r="M339" s="359">
        <f t="shared" ca="1" si="161"/>
        <v>-1.4551363092718499</v>
      </c>
      <c r="N339" s="357">
        <f t="shared" ca="1" si="162"/>
        <v>-83.373169137520279</v>
      </c>
      <c r="O339" s="343"/>
      <c r="P339" s="363">
        <f t="shared" ca="1" si="163"/>
        <v>23</v>
      </c>
      <c r="Q339" s="357">
        <f t="shared" ca="1" si="164"/>
        <v>0</v>
      </c>
      <c r="R339" s="359">
        <f t="shared" ca="1" si="165"/>
        <v>0</v>
      </c>
      <c r="S339" s="360">
        <f t="shared" ca="1" si="166"/>
        <v>0.42898953648292248</v>
      </c>
      <c r="T339" s="357">
        <f t="shared" ca="1" si="146"/>
        <v>4.2083873528974696</v>
      </c>
      <c r="U339" s="364">
        <f t="shared" ca="1" si="147"/>
        <v>0</v>
      </c>
      <c r="V339" s="359">
        <f t="shared" ca="1" si="148"/>
        <v>1.216345277150769</v>
      </c>
      <c r="W339" s="357">
        <f t="shared" ca="1" si="149"/>
        <v>2.9810907213823148</v>
      </c>
      <c r="X339" s="343"/>
      <c r="Y339" s="367" t="str">
        <f t="shared" ca="1" si="167"/>
        <v/>
      </c>
      <c r="Z339" s="368" t="str">
        <f t="shared" ca="1" si="168"/>
        <v/>
      </c>
      <c r="AA339" s="369" t="str">
        <f t="shared" ca="1" si="169"/>
        <v/>
      </c>
      <c r="AB339" s="344"/>
      <c r="AC339" s="363" t="e">
        <f t="shared" ca="1" si="170"/>
        <v>#N/A</v>
      </c>
      <c r="AD339" s="376" t="e">
        <f t="shared" ca="1" si="171"/>
        <v>#N/A</v>
      </c>
      <c r="AE339" s="377" t="e">
        <f t="shared" ca="1" si="150"/>
        <v>#N/A</v>
      </c>
      <c r="AF339" s="344"/>
      <c r="AG339" s="359">
        <f t="shared" ca="1" si="172"/>
        <v>2.8719738948389217</v>
      </c>
      <c r="AH339" s="357">
        <f t="shared" ca="1" si="173"/>
        <v>-6.8699841655194032</v>
      </c>
    </row>
    <row r="340" spans="1:34">
      <c r="A340" s="402">
        <f t="shared" ca="1" si="151"/>
        <v>0.1</v>
      </c>
      <c r="B340" s="357">
        <f t="shared" ca="1" si="152"/>
        <v>15.599999999999962</v>
      </c>
      <c r="C340" s="342"/>
      <c r="D340" s="359">
        <f t="shared" ca="1" si="153"/>
        <v>-0.80194214555239351</v>
      </c>
      <c r="E340" s="360">
        <f t="shared" ca="1" si="154"/>
        <v>-2.9073291771381475</v>
      </c>
      <c r="F340" s="357">
        <f t="shared" ca="1" si="155"/>
        <v>3.0159035377564636</v>
      </c>
      <c r="G340" s="359">
        <f t="shared" ca="1" si="156"/>
        <v>6.0048583166778462</v>
      </c>
      <c r="H340" s="360">
        <f t="shared" ca="1" si="157"/>
        <v>-52.667472057657264</v>
      </c>
      <c r="I340" s="357">
        <f t="shared" ca="1" si="158"/>
        <v>53.008687366765493</v>
      </c>
      <c r="J340" s="359">
        <f t="shared" ca="1" si="159"/>
        <v>177.10920728741817</v>
      </c>
      <c r="K340" s="360">
        <f t="shared" ca="1" si="160"/>
        <v>65.649049743060388</v>
      </c>
      <c r="L340" s="357">
        <f t="shared" ca="1" si="145"/>
        <v>188.88480361888426</v>
      </c>
      <c r="M340" s="359">
        <f t="shared" ca="1" si="161"/>
        <v>-1.4572719924758213</v>
      </c>
      <c r="N340" s="357">
        <f t="shared" ca="1" si="162"/>
        <v>-83.495534771484813</v>
      </c>
      <c r="O340" s="343"/>
      <c r="P340" s="363">
        <f t="shared" ca="1" si="163"/>
        <v>23</v>
      </c>
      <c r="Q340" s="357">
        <f t="shared" ca="1" si="164"/>
        <v>0</v>
      </c>
      <c r="R340" s="359">
        <f t="shared" ca="1" si="165"/>
        <v>0</v>
      </c>
      <c r="S340" s="360">
        <f t="shared" ca="1" si="166"/>
        <v>0.42898953648292248</v>
      </c>
      <c r="T340" s="357">
        <f t="shared" ca="1" si="146"/>
        <v>4.2083873528974696</v>
      </c>
      <c r="U340" s="364">
        <f t="shared" ca="1" si="147"/>
        <v>0</v>
      </c>
      <c r="V340" s="359">
        <f t="shared" ca="1" si="148"/>
        <v>1.216984302552498</v>
      </c>
      <c r="W340" s="357">
        <f t="shared" ca="1" si="149"/>
        <v>3.0143787684278363</v>
      </c>
      <c r="X340" s="343"/>
      <c r="Y340" s="367" t="str">
        <f t="shared" ca="1" si="167"/>
        <v/>
      </c>
      <c r="Z340" s="368" t="str">
        <f t="shared" ca="1" si="168"/>
        <v/>
      </c>
      <c r="AA340" s="369" t="str">
        <f t="shared" ca="1" si="169"/>
        <v/>
      </c>
      <c r="AB340" s="344"/>
      <c r="AC340" s="363" t="e">
        <f t="shared" ca="1" si="170"/>
        <v>#N/A</v>
      </c>
      <c r="AD340" s="376" t="e">
        <f t="shared" ca="1" si="171"/>
        <v>#N/A</v>
      </c>
      <c r="AE340" s="377" t="e">
        <f t="shared" ca="1" si="150"/>
        <v>#N/A</v>
      </c>
      <c r="AF340" s="344"/>
      <c r="AG340" s="359">
        <f t="shared" ca="1" si="172"/>
        <v>2.7953588405764522</v>
      </c>
      <c r="AH340" s="357">
        <f t="shared" ca="1" si="173"/>
        <v>-6.9490989123483855</v>
      </c>
    </row>
    <row r="341" spans="1:34">
      <c r="A341" s="402">
        <f t="shared" ca="1" si="151"/>
        <v>0.1</v>
      </c>
      <c r="B341" s="357">
        <f t="shared" ca="1" si="152"/>
        <v>15.699999999999962</v>
      </c>
      <c r="C341" s="342"/>
      <c r="D341" s="359">
        <f t="shared" ca="1" si="153"/>
        <v>-0.79598858089887026</v>
      </c>
      <c r="E341" s="360">
        <f t="shared" ca="1" si="154"/>
        <v>-2.8285353039438634</v>
      </c>
      <c r="F341" s="357">
        <f t="shared" ca="1" si="155"/>
        <v>2.938402590963022</v>
      </c>
      <c r="G341" s="359">
        <f t="shared" ca="1" si="156"/>
        <v>5.9252594585879592</v>
      </c>
      <c r="H341" s="360">
        <f t="shared" ca="1" si="157"/>
        <v>-52.950325588051648</v>
      </c>
      <c r="I341" s="357">
        <f t="shared" ca="1" si="158"/>
        <v>53.280819058384068</v>
      </c>
      <c r="J341" s="359">
        <f t="shared" ca="1" si="159"/>
        <v>177.70571317618146</v>
      </c>
      <c r="K341" s="360">
        <f t="shared" ca="1" si="160"/>
        <v>60.368159860774938</v>
      </c>
      <c r="L341" s="357">
        <f t="shared" ca="1" si="145"/>
        <v>187.679607897159</v>
      </c>
      <c r="M341" s="359">
        <f t="shared" ca="1" si="161"/>
        <v>-1.459357703537931</v>
      </c>
      <c r="N341" s="357">
        <f t="shared" ca="1" si="162"/>
        <v>-83.615037212627456</v>
      </c>
      <c r="O341" s="343"/>
      <c r="P341" s="363">
        <f t="shared" ca="1" si="163"/>
        <v>23</v>
      </c>
      <c r="Q341" s="357">
        <f t="shared" ca="1" si="164"/>
        <v>0</v>
      </c>
      <c r="R341" s="359">
        <f t="shared" ca="1" si="165"/>
        <v>0</v>
      </c>
      <c r="S341" s="360">
        <f t="shared" ca="1" si="166"/>
        <v>0.42898953648292248</v>
      </c>
      <c r="T341" s="357">
        <f t="shared" ca="1" si="146"/>
        <v>4.2083873528974696</v>
      </c>
      <c r="U341" s="364">
        <f t="shared" ca="1" si="147"/>
        <v>0</v>
      </c>
      <c r="V341" s="359">
        <f t="shared" ca="1" si="148"/>
        <v>1.2176271546723236</v>
      </c>
      <c r="W341" s="357">
        <f t="shared" ca="1" si="149"/>
        <v>3.0470168453366058</v>
      </c>
      <c r="X341" s="343"/>
      <c r="Y341" s="367" t="str">
        <f t="shared" ca="1" si="167"/>
        <v/>
      </c>
      <c r="Z341" s="368" t="str">
        <f t="shared" ca="1" si="168"/>
        <v/>
      </c>
      <c r="AA341" s="369" t="str">
        <f t="shared" ca="1" si="169"/>
        <v/>
      </c>
      <c r="AB341" s="344"/>
      <c r="AC341" s="363" t="e">
        <f t="shared" ca="1" si="170"/>
        <v>#N/A</v>
      </c>
      <c r="AD341" s="376" t="e">
        <f t="shared" ca="1" si="171"/>
        <v>#N/A</v>
      </c>
      <c r="AE341" s="377" t="e">
        <f t="shared" ca="1" si="150"/>
        <v>#N/A</v>
      </c>
      <c r="AF341" s="344"/>
      <c r="AG341" s="359">
        <f t="shared" ca="1" si="172"/>
        <v>2.7201580080055399</v>
      </c>
      <c r="AH341" s="357">
        <f t="shared" ca="1" si="173"/>
        <v>-7.0266953202198552</v>
      </c>
    </row>
    <row r="342" spans="1:34">
      <c r="A342" s="402">
        <f t="shared" ca="1" si="151"/>
        <v>0.1</v>
      </c>
      <c r="B342" s="357">
        <f t="shared" ca="1" si="152"/>
        <v>15.799999999999962</v>
      </c>
      <c r="C342" s="342"/>
      <c r="D342" s="359">
        <f t="shared" ca="1" si="153"/>
        <v>-0.7898863987052881</v>
      </c>
      <c r="E342" s="360">
        <f t="shared" ca="1" si="154"/>
        <v>-2.7512809208888527</v>
      </c>
      <c r="F342" s="357">
        <f t="shared" ca="1" si="155"/>
        <v>2.8624233139957869</v>
      </c>
      <c r="G342" s="359">
        <f t="shared" ca="1" si="156"/>
        <v>5.8462708187174304</v>
      </c>
      <c r="H342" s="360">
        <f t="shared" ca="1" si="157"/>
        <v>-53.225453680140532</v>
      </c>
      <c r="I342" s="357">
        <f t="shared" ca="1" si="158"/>
        <v>53.545567528438546</v>
      </c>
      <c r="J342" s="359">
        <f t="shared" ca="1" si="159"/>
        <v>178.29428969004672</v>
      </c>
      <c r="K342" s="360">
        <f t="shared" ca="1" si="160"/>
        <v>55.059370897365326</v>
      </c>
      <c r="L342" s="357">
        <f t="shared" ca="1" si="145"/>
        <v>186.60221879627247</v>
      </c>
      <c r="M342" s="359">
        <f t="shared" ca="1" si="161"/>
        <v>-1.4613951314974933</v>
      </c>
      <c r="N342" s="357">
        <f t="shared" ca="1" si="162"/>
        <v>-83.731773235772323</v>
      </c>
      <c r="O342" s="343"/>
      <c r="P342" s="363">
        <f t="shared" ca="1" si="163"/>
        <v>23</v>
      </c>
      <c r="Q342" s="357">
        <f t="shared" ca="1" si="164"/>
        <v>0</v>
      </c>
      <c r="R342" s="359">
        <f t="shared" ca="1" si="165"/>
        <v>0</v>
      </c>
      <c r="S342" s="360">
        <f t="shared" ca="1" si="166"/>
        <v>0.42898953648292248</v>
      </c>
      <c r="T342" s="357">
        <f t="shared" ca="1" si="146"/>
        <v>4.2083873528974696</v>
      </c>
      <c r="U342" s="364">
        <f t="shared" ca="1" si="147"/>
        <v>0</v>
      </c>
      <c r="V342" s="359">
        <f t="shared" ca="1" si="148"/>
        <v>1.2182737442356169</v>
      </c>
      <c r="W342" s="357">
        <f t="shared" ca="1" si="149"/>
        <v>3.0790070416253186</v>
      </c>
      <c r="X342" s="343"/>
      <c r="Y342" s="367" t="str">
        <f t="shared" ca="1" si="167"/>
        <v/>
      </c>
      <c r="Z342" s="368" t="str">
        <f t="shared" ca="1" si="168"/>
        <v/>
      </c>
      <c r="AA342" s="369" t="str">
        <f t="shared" ca="1" si="169"/>
        <v/>
      </c>
      <c r="AB342" s="344"/>
      <c r="AC342" s="363" t="e">
        <f t="shared" ca="1" si="170"/>
        <v>#N/A</v>
      </c>
      <c r="AD342" s="376" t="e">
        <f t="shared" ca="1" si="171"/>
        <v>#N/A</v>
      </c>
      <c r="AE342" s="377" t="e">
        <f t="shared" ca="1" si="150"/>
        <v>#N/A</v>
      </c>
      <c r="AF342" s="344"/>
      <c r="AG342" s="359">
        <f t="shared" ca="1" si="172"/>
        <v>2.646373332504794</v>
      </c>
      <c r="AH342" s="357">
        <f t="shared" ca="1" si="173"/>
        <v>-7.1027766092329934</v>
      </c>
    </row>
    <row r="343" spans="1:34">
      <c r="A343" s="402">
        <f t="shared" ca="1" si="151"/>
        <v>0.1</v>
      </c>
      <c r="B343" s="357">
        <f t="shared" ca="1" si="152"/>
        <v>15.899999999999961</v>
      </c>
      <c r="C343" s="342"/>
      <c r="D343" s="359">
        <f t="shared" ca="1" si="153"/>
        <v>-0.78364503468418512</v>
      </c>
      <c r="E343" s="360">
        <f t="shared" ca="1" si="154"/>
        <v>-2.6755610065621962</v>
      </c>
      <c r="F343" s="357">
        <f t="shared" ca="1" si="155"/>
        <v>2.7879609466815154</v>
      </c>
      <c r="G343" s="359">
        <f t="shared" ca="1" si="156"/>
        <v>5.7679063152490118</v>
      </c>
      <c r="H343" s="360">
        <f t="shared" ca="1" si="157"/>
        <v>-53.493009780796754</v>
      </c>
      <c r="I343" s="357">
        <f t="shared" ca="1" si="158"/>
        <v>53.803074620972232</v>
      </c>
      <c r="J343" s="359">
        <f t="shared" ca="1" si="159"/>
        <v>178.87499854674505</v>
      </c>
      <c r="K343" s="360">
        <f t="shared" ca="1" si="160"/>
        <v>49.723447724318461</v>
      </c>
      <c r="L343" s="357">
        <f t="shared" ca="1" si="145"/>
        <v>185.65744358546758</v>
      </c>
      <c r="M343" s="359">
        <f t="shared" ca="1" si="161"/>
        <v>-1.4633858855257864</v>
      </c>
      <c r="N343" s="357">
        <f t="shared" ca="1" si="162"/>
        <v>-83.845835039642182</v>
      </c>
      <c r="O343" s="343"/>
      <c r="P343" s="363">
        <f t="shared" ca="1" si="163"/>
        <v>23</v>
      </c>
      <c r="Q343" s="357">
        <f t="shared" ca="1" si="164"/>
        <v>0</v>
      </c>
      <c r="R343" s="359">
        <f t="shared" ca="1" si="165"/>
        <v>0</v>
      </c>
      <c r="S343" s="360">
        <f t="shared" ca="1" si="166"/>
        <v>0.42898953648292248</v>
      </c>
      <c r="T343" s="357">
        <f t="shared" ca="1" si="146"/>
        <v>4.2083873528974696</v>
      </c>
      <c r="U343" s="364">
        <f t="shared" ca="1" si="147"/>
        <v>0</v>
      </c>
      <c r="V343" s="359">
        <f t="shared" ca="1" si="148"/>
        <v>1.2189239836777697</v>
      </c>
      <c r="W343" s="357">
        <f t="shared" ca="1" si="149"/>
        <v>3.110352112929776</v>
      </c>
      <c r="X343" s="343"/>
      <c r="Y343" s="367" t="str">
        <f t="shared" ca="1" si="167"/>
        <v/>
      </c>
      <c r="Z343" s="368" t="str">
        <f t="shared" ca="1" si="168"/>
        <v/>
      </c>
      <c r="AA343" s="369" t="str">
        <f t="shared" ca="1" si="169"/>
        <v/>
      </c>
      <c r="AB343" s="344"/>
      <c r="AC343" s="363" t="e">
        <f t="shared" ca="1" si="170"/>
        <v>#N/A</v>
      </c>
      <c r="AD343" s="376" t="e">
        <f t="shared" ca="1" si="171"/>
        <v>#N/A</v>
      </c>
      <c r="AE343" s="377" t="e">
        <f t="shared" ca="1" si="150"/>
        <v>#N/A</v>
      </c>
      <c r="AF343" s="344"/>
      <c r="AG343" s="359">
        <f t="shared" ca="1" si="172"/>
        <v>2.5740047904330918</v>
      </c>
      <c r="AH343" s="357">
        <f t="shared" ca="1" si="173"/>
        <v>-7.1773476501748892</v>
      </c>
    </row>
    <row r="344" spans="1:34">
      <c r="A344" s="402">
        <f t="shared" ca="1" si="151"/>
        <v>0.1</v>
      </c>
      <c r="B344" s="357">
        <f t="shared" ca="1" si="152"/>
        <v>15.999999999999961</v>
      </c>
      <c r="C344" s="342"/>
      <c r="D344" s="359">
        <f t="shared" ca="1" si="153"/>
        <v>-0.77727367797883162</v>
      </c>
      <c r="E344" s="360">
        <f t="shared" ca="1" si="154"/>
        <v>-2.6013689671843325</v>
      </c>
      <c r="F344" s="357">
        <f t="shared" ca="1" si="155"/>
        <v>2.7150091848663096</v>
      </c>
      <c r="G344" s="359">
        <f t="shared" ca="1" si="156"/>
        <v>5.6901789474511286</v>
      </c>
      <c r="H344" s="360">
        <f t="shared" ca="1" si="157"/>
        <v>-53.75314667751519</v>
      </c>
      <c r="I344" s="357">
        <f t="shared" ca="1" si="158"/>
        <v>54.05348198024322</v>
      </c>
      <c r="J344" s="359">
        <f t="shared" ca="1" si="159"/>
        <v>179.44790280988005</v>
      </c>
      <c r="K344" s="360">
        <f t="shared" ca="1" si="160"/>
        <v>44.361139901402865</v>
      </c>
      <c r="L344" s="357">
        <f t="shared" ca="1" si="145"/>
        <v>184.84983244843906</v>
      </c>
      <c r="M344" s="359">
        <f t="shared" ca="1" si="161"/>
        <v>-1.4653314996455897</v>
      </c>
      <c r="N344" s="357">
        <f t="shared" ca="1" si="162"/>
        <v>-83.95731051726797</v>
      </c>
      <c r="O344" s="343"/>
      <c r="P344" s="363">
        <f t="shared" ca="1" si="163"/>
        <v>23</v>
      </c>
      <c r="Q344" s="357">
        <f t="shared" ca="1" si="164"/>
        <v>0</v>
      </c>
      <c r="R344" s="359">
        <f t="shared" ca="1" si="165"/>
        <v>0</v>
      </c>
      <c r="S344" s="360">
        <f t="shared" ca="1" si="166"/>
        <v>0.42898953648292248</v>
      </c>
      <c r="T344" s="357">
        <f t="shared" ca="1" si="146"/>
        <v>4.2083873528974696</v>
      </c>
      <c r="U344" s="364">
        <f t="shared" ca="1" si="147"/>
        <v>0</v>
      </c>
      <c r="V344" s="359">
        <f t="shared" ca="1" si="148"/>
        <v>1.2195777871392426</v>
      </c>
      <c r="W344" s="357">
        <f t="shared" ca="1" si="149"/>
        <v>3.1410554400038251</v>
      </c>
      <c r="X344" s="343"/>
      <c r="Y344" s="367" t="str">
        <f t="shared" ca="1" si="167"/>
        <v/>
      </c>
      <c r="Z344" s="368" t="str">
        <f t="shared" ca="1" si="168"/>
        <v/>
      </c>
      <c r="AA344" s="369" t="str">
        <f t="shared" ca="1" si="169"/>
        <v/>
      </c>
      <c r="AB344" s="344"/>
      <c r="AC344" s="363">
        <f t="shared" ca="1" si="170"/>
        <v>15.999999999999961</v>
      </c>
      <c r="AD344" s="376">
        <f t="shared" ca="1" si="171"/>
        <v>179.44790280988005</v>
      </c>
      <c r="AE344" s="377" t="e">
        <f t="shared" ca="1" si="150"/>
        <v>#N/A</v>
      </c>
      <c r="AF344" s="344"/>
      <c r="AG344" s="359">
        <f t="shared" ca="1" si="172"/>
        <v>2.5030505189134145</v>
      </c>
      <c r="AH344" s="357">
        <f t="shared" ca="1" si="173"/>
        <v>-7.2504148665956913</v>
      </c>
    </row>
    <row r="345" spans="1:34">
      <c r="A345" s="402">
        <f t="shared" ca="1" si="151"/>
        <v>0.1</v>
      </c>
      <c r="B345" s="357">
        <f t="shared" ca="1" si="152"/>
        <v>16.099999999999962</v>
      </c>
      <c r="C345" s="342"/>
      <c r="D345" s="359">
        <f t="shared" ca="1" si="153"/>
        <v>-0.77078126804521307</v>
      </c>
      <c r="E345" s="360">
        <f t="shared" ca="1" si="154"/>
        <v>-2.5286967334173891</v>
      </c>
      <c r="F345" s="357">
        <f t="shared" ca="1" si="155"/>
        <v>2.6435602759848624</v>
      </c>
      <c r="G345" s="359">
        <f t="shared" ca="1" si="156"/>
        <v>5.6131008206466078</v>
      </c>
      <c r="H345" s="360">
        <f t="shared" ca="1" si="157"/>
        <v>-54.006016350856932</v>
      </c>
      <c r="I345" s="357">
        <f t="shared" ca="1" si="158"/>
        <v>54.296930879302657</v>
      </c>
      <c r="J345" s="359">
        <f t="shared" ca="1" si="159"/>
        <v>180.01306679828494</v>
      </c>
      <c r="K345" s="360">
        <f t="shared" ca="1" si="160"/>
        <v>38.973181749984256</v>
      </c>
      <c r="L345" s="357">
        <f t="shared" ca="1" si="145"/>
        <v>184.18363964761122</v>
      </c>
      <c r="M345" s="359">
        <f t="shared" ca="1" si="161"/>
        <v>-1.467233437124426</v>
      </c>
      <c r="N345" s="357">
        <f t="shared" ca="1" si="162"/>
        <v>-84.066283507703048</v>
      </c>
      <c r="O345" s="343"/>
      <c r="P345" s="363">
        <f t="shared" ca="1" si="163"/>
        <v>23</v>
      </c>
      <c r="Q345" s="357">
        <f t="shared" ca="1" si="164"/>
        <v>0</v>
      </c>
      <c r="R345" s="359">
        <f t="shared" ca="1" si="165"/>
        <v>0</v>
      </c>
      <c r="S345" s="360">
        <f t="shared" ca="1" si="166"/>
        <v>0.42898953648292248</v>
      </c>
      <c r="T345" s="357">
        <f t="shared" ca="1" si="146"/>
        <v>4.2083873528974696</v>
      </c>
      <c r="U345" s="364">
        <f t="shared" ca="1" si="147"/>
        <v>0</v>
      </c>
      <c r="V345" s="359">
        <f t="shared" ca="1" si="148"/>
        <v>1.2202350704588785</v>
      </c>
      <c r="W345" s="357">
        <f t="shared" ca="1" si="149"/>
        <v>3.1711209887854128</v>
      </c>
      <c r="X345" s="343"/>
      <c r="Y345" s="367" t="str">
        <f t="shared" ca="1" si="167"/>
        <v/>
      </c>
      <c r="Z345" s="368" t="str">
        <f t="shared" ca="1" si="168"/>
        <v/>
      </c>
      <c r="AA345" s="369" t="str">
        <f t="shared" ca="1" si="169"/>
        <v/>
      </c>
      <c r="AB345" s="344"/>
      <c r="AC345" s="363" t="e">
        <f t="shared" ca="1" si="170"/>
        <v>#N/A</v>
      </c>
      <c r="AD345" s="376" t="e">
        <f t="shared" ca="1" si="171"/>
        <v>#N/A</v>
      </c>
      <c r="AE345" s="377" t="e">
        <f t="shared" ca="1" si="150"/>
        <v>#N/A</v>
      </c>
      <c r="AF345" s="344"/>
      <c r="AG345" s="359">
        <f t="shared" ca="1" si="172"/>
        <v>2.4335069314849358</v>
      </c>
      <c r="AH345" s="357">
        <f t="shared" ca="1" si="173"/>
        <v>-7.3219861392327141</v>
      </c>
    </row>
    <row r="346" spans="1:34">
      <c r="A346" s="402">
        <f t="shared" ca="1" si="151"/>
        <v>0.1</v>
      </c>
      <c r="B346" s="357">
        <f t="shared" ca="1" si="152"/>
        <v>16.199999999999964</v>
      </c>
      <c r="C346" s="342"/>
      <c r="D346" s="359">
        <f t="shared" ca="1" si="153"/>
        <v>-0.76417649235487251</v>
      </c>
      <c r="E346" s="360">
        <f t="shared" ca="1" si="154"/>
        <v>-2.4575348546645959</v>
      </c>
      <c r="F346" s="357">
        <f t="shared" ca="1" si="155"/>
        <v>2.5736051121644778</v>
      </c>
      <c r="G346" s="359">
        <f t="shared" ca="1" si="156"/>
        <v>5.5366831714111209</v>
      </c>
      <c r="H346" s="360">
        <f t="shared" ca="1" si="157"/>
        <v>-54.25176983632339</v>
      </c>
      <c r="I346" s="357">
        <f t="shared" ca="1" si="158"/>
        <v>54.533562059652731</v>
      </c>
      <c r="J346" s="359">
        <f t="shared" ca="1" si="159"/>
        <v>180.57055599788782</v>
      </c>
      <c r="K346" s="360">
        <f t="shared" ca="1" si="160"/>
        <v>33.56029244062524</v>
      </c>
      <c r="L346" s="357">
        <f t="shared" ca="1" si="145"/>
        <v>183.66278589329585</v>
      </c>
      <c r="M346" s="359">
        <f t="shared" ca="1" si="161"/>
        <v>-1.4690930945672127</v>
      </c>
      <c r="N346" s="357">
        <f t="shared" ca="1" si="162"/>
        <v>-84.172834030514821</v>
      </c>
      <c r="O346" s="343"/>
      <c r="P346" s="363">
        <f t="shared" ca="1" si="163"/>
        <v>23</v>
      </c>
      <c r="Q346" s="357">
        <f t="shared" ca="1" si="164"/>
        <v>0</v>
      </c>
      <c r="R346" s="359">
        <f t="shared" ca="1" si="165"/>
        <v>0</v>
      </c>
      <c r="S346" s="360">
        <f t="shared" ca="1" si="166"/>
        <v>0.42898953648292248</v>
      </c>
      <c r="T346" s="357">
        <f t="shared" ca="1" si="146"/>
        <v>4.2083873528974696</v>
      </c>
      <c r="U346" s="364">
        <f t="shared" ca="1" si="147"/>
        <v>0</v>
      </c>
      <c r="V346" s="359">
        <f t="shared" ca="1" si="148"/>
        <v>1.2208957511655798</v>
      </c>
      <c r="W346" s="357">
        <f t="shared" ca="1" si="149"/>
        <v>3.2005532715801599</v>
      </c>
      <c r="X346" s="343"/>
      <c r="Y346" s="367" t="str">
        <f t="shared" ca="1" si="167"/>
        <v/>
      </c>
      <c r="Z346" s="368" t="str">
        <f t="shared" ca="1" si="168"/>
        <v/>
      </c>
      <c r="AA346" s="369" t="str">
        <f t="shared" ca="1" si="169"/>
        <v/>
      </c>
      <c r="AB346" s="344"/>
      <c r="AC346" s="363" t="e">
        <f t="shared" ca="1" si="170"/>
        <v>#N/A</v>
      </c>
      <c r="AD346" s="376" t="e">
        <f t="shared" ca="1" si="171"/>
        <v>#N/A</v>
      </c>
      <c r="AE346" s="377" t="e">
        <f t="shared" ca="1" si="150"/>
        <v>#N/A</v>
      </c>
      <c r="AF346" s="344"/>
      <c r="AG346" s="359">
        <f t="shared" ca="1" si="172"/>
        <v>2.3653688296481201</v>
      </c>
      <c r="AH346" s="357">
        <f t="shared" ca="1" si="173"/>
        <v>-7.3920707129220409</v>
      </c>
    </row>
    <row r="347" spans="1:34">
      <c r="A347" s="402">
        <f t="shared" ca="1" si="151"/>
        <v>0.1</v>
      </c>
      <c r="B347" s="357">
        <f t="shared" ca="1" si="152"/>
        <v>16.299999999999965</v>
      </c>
      <c r="C347" s="342"/>
      <c r="D347" s="359">
        <f t="shared" ca="1" si="153"/>
        <v>-0.75746778486505772</v>
      </c>
      <c r="E347" s="360">
        <f t="shared" ca="1" si="154"/>
        <v>-2.3878725907382412</v>
      </c>
      <c r="F347" s="357">
        <f t="shared" ca="1" si="155"/>
        <v>2.505133320745093</v>
      </c>
      <c r="G347" s="359">
        <f t="shared" ca="1" si="156"/>
        <v>5.4609363929246149</v>
      </c>
      <c r="H347" s="360">
        <f t="shared" ca="1" si="157"/>
        <v>-54.490557095397214</v>
      </c>
      <c r="I347" s="357">
        <f t="shared" ca="1" si="158"/>
        <v>54.763515581583256</v>
      </c>
      <c r="J347" s="359">
        <f t="shared" ca="1" si="159"/>
        <v>181.1204369761046</v>
      </c>
      <c r="K347" s="360">
        <f t="shared" ca="1" si="160"/>
        <v>28.123176094039209</v>
      </c>
      <c r="L347" s="357">
        <f t="shared" ca="1" si="145"/>
        <v>183.29082280362925</v>
      </c>
      <c r="M347" s="359">
        <f t="shared" ca="1" si="161"/>
        <v>-1.4709118057317603</v>
      </c>
      <c r="N347" s="357">
        <f t="shared" ca="1" si="162"/>
        <v>-84.277038504396714</v>
      </c>
      <c r="O347" s="343"/>
      <c r="P347" s="363">
        <f t="shared" ca="1" si="163"/>
        <v>23</v>
      </c>
      <c r="Q347" s="357">
        <f t="shared" ca="1" si="164"/>
        <v>0</v>
      </c>
      <c r="R347" s="359">
        <f t="shared" ca="1" si="165"/>
        <v>0</v>
      </c>
      <c r="S347" s="360">
        <f t="shared" ca="1" si="166"/>
        <v>0.42898953648292248</v>
      </c>
      <c r="T347" s="357">
        <f t="shared" ca="1" si="146"/>
        <v>4.2083873528974696</v>
      </c>
      <c r="U347" s="364">
        <f t="shared" ca="1" si="147"/>
        <v>0</v>
      </c>
      <c r="V347" s="359">
        <f t="shared" ca="1" si="148"/>
        <v>1.2215597484684617</v>
      </c>
      <c r="W347" s="357">
        <f t="shared" ca="1" si="149"/>
        <v>3.2293573094043793</v>
      </c>
      <c r="X347" s="343"/>
      <c r="Y347" s="367" t="str">
        <f t="shared" ca="1" si="167"/>
        <v/>
      </c>
      <c r="Z347" s="368" t="str">
        <f t="shared" ca="1" si="168"/>
        <v/>
      </c>
      <c r="AA347" s="369" t="str">
        <f t="shared" ca="1" si="169"/>
        <v/>
      </c>
      <c r="AB347" s="344"/>
      <c r="AC347" s="363" t="e">
        <f t="shared" ca="1" si="170"/>
        <v>#N/A</v>
      </c>
      <c r="AD347" s="376" t="e">
        <f t="shared" ca="1" si="171"/>
        <v>#N/A</v>
      </c>
      <c r="AE347" s="377" t="e">
        <f t="shared" ca="1" si="150"/>
        <v>#N/A</v>
      </c>
      <c r="AF347" s="344"/>
      <c r="AG347" s="359">
        <f t="shared" ca="1" si="172"/>
        <v>2.2986295103321579</v>
      </c>
      <c r="AH347" s="357">
        <f t="shared" ca="1" si="173"/>
        <v>-7.4606791061151432</v>
      </c>
    </row>
    <row r="348" spans="1:34">
      <c r="A348" s="402">
        <f t="shared" ca="1" si="151"/>
        <v>0.1</v>
      </c>
      <c r="B348" s="357">
        <f t="shared" ca="1" si="152"/>
        <v>16.399999999999967</v>
      </c>
      <c r="C348" s="342"/>
      <c r="D348" s="359">
        <f t="shared" ca="1" si="153"/>
        <v>-0.75066332520400925</v>
      </c>
      <c r="E348" s="360">
        <f t="shared" ca="1" si="154"/>
        <v>-2.3196980007958743</v>
      </c>
      <c r="F348" s="357">
        <f t="shared" ca="1" si="155"/>
        <v>2.4381333521164743</v>
      </c>
      <c r="G348" s="359">
        <f t="shared" ca="1" si="156"/>
        <v>5.3858700604042138</v>
      </c>
      <c r="H348" s="360">
        <f t="shared" ca="1" si="157"/>
        <v>-54.722526895476804</v>
      </c>
      <c r="I348" s="357">
        <f t="shared" ca="1" si="158"/>
        <v>54.986930684788547</v>
      </c>
      <c r="J348" s="359">
        <f t="shared" ca="1" si="159"/>
        <v>181.66277729877103</v>
      </c>
      <c r="K348" s="360">
        <f t="shared" ca="1" si="160"/>
        <v>22.662521894495509</v>
      </c>
      <c r="L348" s="357">
        <f t="shared" ca="1" si="145"/>
        <v>183.07090034880304</v>
      </c>
      <c r="M348" s="359">
        <f t="shared" ca="1" si="161"/>
        <v>-1.472690845088505</v>
      </c>
      <c r="N348" s="357">
        <f t="shared" ca="1" si="162"/>
        <v>-84.378969951125853</v>
      </c>
      <c r="O348" s="343"/>
      <c r="P348" s="363">
        <f t="shared" ca="1" si="163"/>
        <v>23</v>
      </c>
      <c r="Q348" s="357">
        <f t="shared" ca="1" si="164"/>
        <v>0</v>
      </c>
      <c r="R348" s="359">
        <f t="shared" ca="1" si="165"/>
        <v>0</v>
      </c>
      <c r="S348" s="360">
        <f t="shared" ca="1" si="166"/>
        <v>0.42898953648292248</v>
      </c>
      <c r="T348" s="357">
        <f t="shared" ca="1" si="146"/>
        <v>4.2083873528974696</v>
      </c>
      <c r="U348" s="364">
        <f t="shared" ca="1" si="147"/>
        <v>0</v>
      </c>
      <c r="V348" s="359">
        <f t="shared" ca="1" si="148"/>
        <v>1.2222269832455703</v>
      </c>
      <c r="W348" s="357">
        <f t="shared" ca="1" si="149"/>
        <v>3.2575385955214409</v>
      </c>
      <c r="X348" s="343"/>
      <c r="Y348" s="367" t="str">
        <f t="shared" ca="1" si="167"/>
        <v/>
      </c>
      <c r="Z348" s="368" t="str">
        <f t="shared" ca="1" si="168"/>
        <v/>
      </c>
      <c r="AA348" s="369" t="str">
        <f t="shared" ca="1" si="169"/>
        <v/>
      </c>
      <c r="AB348" s="344"/>
      <c r="AC348" s="363" t="e">
        <f t="shared" ca="1" si="170"/>
        <v>#N/A</v>
      </c>
      <c r="AD348" s="376" t="e">
        <f t="shared" ca="1" si="171"/>
        <v>#N/A</v>
      </c>
      <c r="AE348" s="377" t="e">
        <f t="shared" ca="1" si="150"/>
        <v>#N/A</v>
      </c>
      <c r="AF348" s="344"/>
      <c r="AG348" s="359">
        <f t="shared" ca="1" si="172"/>
        <v>2.2332808693190564</v>
      </c>
      <c r="AH348" s="357">
        <f t="shared" ca="1" si="173"/>
        <v>-7.5278230230982235</v>
      </c>
    </row>
    <row r="349" spans="1:34">
      <c r="A349" s="402">
        <f t="shared" ca="1" si="151"/>
        <v>0.1</v>
      </c>
      <c r="B349" s="357">
        <f t="shared" ca="1" si="152"/>
        <v>16.499999999999968</v>
      </c>
      <c r="C349" s="342"/>
      <c r="D349" s="359">
        <f t="shared" ca="1" si="153"/>
        <v>-0.74377103852074478</v>
      </c>
      <c r="E349" s="360">
        <f t="shared" ca="1" si="154"/>
        <v>-2.2529980294635008</v>
      </c>
      <c r="F349" s="357">
        <f t="shared" ca="1" si="155"/>
        <v>2.3725925647924981</v>
      </c>
      <c r="G349" s="359">
        <f t="shared" ca="1" si="156"/>
        <v>5.3114929565521392</v>
      </c>
      <c r="H349" s="360">
        <f t="shared" ca="1" si="157"/>
        <v>-54.947826698423157</v>
      </c>
      <c r="I349" s="357">
        <f t="shared" ca="1" si="158"/>
        <v>55.203945658869777</v>
      </c>
      <c r="J349" s="359">
        <f t="shared" ca="1" si="159"/>
        <v>182.19764544961885</v>
      </c>
      <c r="K349" s="360">
        <f t="shared" ca="1" si="160"/>
        <v>17.179004214800511</v>
      </c>
      <c r="L349" s="357">
        <f t="shared" ca="1" si="145"/>
        <v>183.00573814281657</v>
      </c>
      <c r="M349" s="359">
        <f t="shared" ca="1" si="161"/>
        <v>-1.4744314311440165</v>
      </c>
      <c r="N349" s="357">
        <f t="shared" ca="1" si="162"/>
        <v>-84.478698185985991</v>
      </c>
      <c r="O349" s="343"/>
      <c r="P349" s="363">
        <f t="shared" ca="1" si="163"/>
        <v>23</v>
      </c>
      <c r="Q349" s="357">
        <f t="shared" ca="1" si="164"/>
        <v>0</v>
      </c>
      <c r="R349" s="359">
        <f t="shared" ca="1" si="165"/>
        <v>0</v>
      </c>
      <c r="S349" s="360">
        <f t="shared" ca="1" si="166"/>
        <v>0.42898953648292248</v>
      </c>
      <c r="T349" s="357">
        <f t="shared" ca="1" si="146"/>
        <v>4.2083873528974696</v>
      </c>
      <c r="U349" s="364">
        <f t="shared" ca="1" si="147"/>
        <v>0</v>
      </c>
      <c r="V349" s="359">
        <f t="shared" ca="1" si="148"/>
        <v>1.22289737803127</v>
      </c>
      <c r="W349" s="357">
        <f t="shared" ca="1" si="149"/>
        <v>3.2851030601980504</v>
      </c>
      <c r="X349" s="343"/>
      <c r="Y349" s="367" t="str">
        <f t="shared" ca="1" si="167"/>
        <v/>
      </c>
      <c r="Z349" s="368" t="str">
        <f t="shared" ca="1" si="168"/>
        <v/>
      </c>
      <c r="AA349" s="369" t="str">
        <f t="shared" ca="1" si="169"/>
        <v/>
      </c>
      <c r="AB349" s="344"/>
      <c r="AC349" s="363" t="e">
        <f t="shared" ca="1" si="170"/>
        <v>#N/A</v>
      </c>
      <c r="AD349" s="376" t="e">
        <f t="shared" ca="1" si="171"/>
        <v>#N/A</v>
      </c>
      <c r="AE349" s="377" t="e">
        <f t="shared" ca="1" si="150"/>
        <v>#N/A</v>
      </c>
      <c r="AF349" s="344"/>
      <c r="AG349" s="359">
        <f t="shared" ca="1" si="172"/>
        <v>2.1693135006643756</v>
      </c>
      <c r="AH349" s="357">
        <f t="shared" ca="1" si="173"/>
        <v>-7.5935152689933245</v>
      </c>
    </row>
    <row r="350" spans="1:34">
      <c r="A350" s="402">
        <f t="shared" ca="1" si="151"/>
        <v>0.1</v>
      </c>
      <c r="B350" s="357">
        <f t="shared" ca="1" si="152"/>
        <v>16.599999999999969</v>
      </c>
      <c r="C350" s="342"/>
      <c r="D350" s="359">
        <f t="shared" ca="1" si="153"/>
        <v>-0.73679859595031283</v>
      </c>
      <c r="E350" s="360">
        <f t="shared" ca="1" si="154"/>
        <v>-2.1877585900820353</v>
      </c>
      <c r="F350" s="357">
        <f t="shared" ca="1" si="155"/>
        <v>2.3084973076597008</v>
      </c>
      <c r="G350" s="359">
        <f t="shared" ca="1" si="156"/>
        <v>5.2378130969571082</v>
      </c>
      <c r="H350" s="360">
        <f t="shared" ca="1" si="157"/>
        <v>-55.166602557431361</v>
      </c>
      <c r="I350" s="357">
        <f t="shared" ca="1" si="158"/>
        <v>55.414697723331919</v>
      </c>
      <c r="J350" s="359">
        <f t="shared" ca="1" si="159"/>
        <v>182.72511075229431</v>
      </c>
      <c r="K350" s="360">
        <f t="shared" ca="1" si="160"/>
        <v>11.673282752007784</v>
      </c>
      <c r="L350" s="357">
        <f t="shared" ca="1" si="145"/>
        <v>183.09760137600531</v>
      </c>
      <c r="M350" s="359">
        <f t="shared" ca="1" si="161"/>
        <v>-1.4761347295461389</v>
      </c>
      <c r="N350" s="357">
        <f t="shared" ca="1" si="162"/>
        <v>-84.576289995678977</v>
      </c>
      <c r="O350" s="343"/>
      <c r="P350" s="363">
        <f t="shared" ca="1" si="163"/>
        <v>23</v>
      </c>
      <c r="Q350" s="357">
        <f t="shared" ca="1" si="164"/>
        <v>0</v>
      </c>
      <c r="R350" s="359">
        <f t="shared" ca="1" si="165"/>
        <v>0</v>
      </c>
      <c r="S350" s="360">
        <f t="shared" ca="1" si="166"/>
        <v>0.42898953648292248</v>
      </c>
      <c r="T350" s="357">
        <f t="shared" ca="1" si="146"/>
        <v>4.2083873528974696</v>
      </c>
      <c r="U350" s="364">
        <f t="shared" ca="1" si="147"/>
        <v>0</v>
      </c>
      <c r="V350" s="359">
        <f t="shared" ca="1" si="148"/>
        <v>1.2235708570023944</v>
      </c>
      <c r="W350" s="357">
        <f t="shared" ca="1" si="149"/>
        <v>3.3120570367000588</v>
      </c>
      <c r="X350" s="343"/>
      <c r="Y350" s="367" t="str">
        <f t="shared" ca="1" si="167"/>
        <v/>
      </c>
      <c r="Z350" s="368" t="str">
        <f t="shared" ca="1" si="168"/>
        <v/>
      </c>
      <c r="AA350" s="369" t="str">
        <f t="shared" ca="1" si="169"/>
        <v/>
      </c>
      <c r="AB350" s="344"/>
      <c r="AC350" s="363" t="e">
        <f t="shared" ca="1" si="170"/>
        <v>#N/A</v>
      </c>
      <c r="AD350" s="376" t="e">
        <f t="shared" ca="1" si="171"/>
        <v>#N/A</v>
      </c>
      <c r="AE350" s="377" t="e">
        <f t="shared" ca="1" si="150"/>
        <v>#N/A</v>
      </c>
      <c r="AF350" s="344"/>
      <c r="AG350" s="359">
        <f t="shared" ca="1" si="172"/>
        <v>2.106716792159955</v>
      </c>
      <c r="AH350" s="357">
        <f t="shared" ca="1" si="173"/>
        <v>-7.657769667603131</v>
      </c>
    </row>
    <row r="351" spans="1:34">
      <c r="A351" s="402">
        <f t="shared" ca="1" si="151"/>
        <v>0.1</v>
      </c>
      <c r="B351" s="357">
        <f t="shared" ca="1" si="152"/>
        <v>16.699999999999971</v>
      </c>
      <c r="C351" s="342"/>
      <c r="D351" s="359">
        <f t="shared" ca="1" si="153"/>
        <v>-0.72975341564722418</v>
      </c>
      <c r="E351" s="360">
        <f t="shared" ca="1" si="154"/>
        <v>-2.1239646450297673</v>
      </c>
      <c r="F351" s="357">
        <f t="shared" ca="1" si="155"/>
        <v>2.2458329993535173</v>
      </c>
      <c r="G351" s="359">
        <f t="shared" ca="1" si="156"/>
        <v>5.1648377553923854</v>
      </c>
      <c r="H351" s="360">
        <f t="shared" ca="1" si="157"/>
        <v>-55.378999021934341</v>
      </c>
      <c r="I351" s="357">
        <f t="shared" ca="1" si="158"/>
        <v>55.619322916689043</v>
      </c>
      <c r="J351" s="359">
        <f t="shared" ca="1" si="159"/>
        <v>183.24524329491177</v>
      </c>
      <c r="K351" s="360">
        <f t="shared" ca="1" si="160"/>
        <v>6.146002673039499</v>
      </c>
      <c r="L351" s="357">
        <f t="shared" ca="1" si="145"/>
        <v>183.3482820728583</v>
      </c>
      <c r="M351" s="359">
        <f t="shared" ca="1" si="161"/>
        <v>-1.477801855987116</v>
      </c>
      <c r="N351" s="357">
        <f t="shared" ca="1" si="162"/>
        <v>-84.671809304661636</v>
      </c>
      <c r="O351" s="343"/>
      <c r="P351" s="363">
        <f t="shared" ca="1" si="163"/>
        <v>23</v>
      </c>
      <c r="Q351" s="357">
        <f t="shared" ca="1" si="164"/>
        <v>0</v>
      </c>
      <c r="R351" s="359">
        <f t="shared" ca="1" si="165"/>
        <v>0</v>
      </c>
      <c r="S351" s="360">
        <f t="shared" ca="1" si="166"/>
        <v>0.42898953648292248</v>
      </c>
      <c r="T351" s="357">
        <f t="shared" ca="1" si="146"/>
        <v>4.2083873528974696</v>
      </c>
      <c r="U351" s="364">
        <f t="shared" ca="1" si="147"/>
        <v>0</v>
      </c>
      <c r="V351" s="359">
        <f t="shared" ca="1" si="148"/>
        <v>1.224247345963239</v>
      </c>
      <c r="W351" s="357">
        <f t="shared" ca="1" si="149"/>
        <v>3.3384072285410036</v>
      </c>
      <c r="X351" s="343"/>
      <c r="Y351" s="367" t="str">
        <f t="shared" ca="1" si="167"/>
        <v/>
      </c>
      <c r="Z351" s="368" t="str">
        <f t="shared" ca="1" si="168"/>
        <v/>
      </c>
      <c r="AA351" s="369" t="str">
        <f t="shared" ca="1" si="169"/>
        <v/>
      </c>
      <c r="AB351" s="344"/>
      <c r="AC351" s="363" t="e">
        <f t="shared" ca="1" si="170"/>
        <v>#N/A</v>
      </c>
      <c r="AD351" s="376" t="e">
        <f t="shared" ca="1" si="171"/>
        <v>#N/A</v>
      </c>
      <c r="AE351" s="377" t="e">
        <f t="shared" ca="1" si="150"/>
        <v>#N/A</v>
      </c>
      <c r="AF351" s="344"/>
      <c r="AG351" s="359">
        <f t="shared" ca="1" si="172"/>
        <v>2.0454790168898045</v>
      </c>
      <c r="AH351" s="357">
        <f t="shared" ca="1" si="173"/>
        <v>-7.7206009821451849</v>
      </c>
    </row>
    <row r="352" spans="1:34">
      <c r="A352" s="402">
        <f t="shared" ca="1" si="151"/>
        <v>0.1</v>
      </c>
      <c r="B352" s="357">
        <f t="shared" ca="1" si="152"/>
        <v>16.799999999999972</v>
      </c>
      <c r="C352" s="342"/>
      <c r="D352" s="359">
        <f t="shared" ca="1" si="153"/>
        <v>-0.72264266434146662</v>
      </c>
      <c r="E352" s="360">
        <f t="shared" ca="1" si="154"/>
        <v>-2.0616002830888949</v>
      </c>
      <c r="F352" s="357">
        <f t="shared" ca="1" si="155"/>
        <v>2.1845842047306725</v>
      </c>
      <c r="G352" s="359">
        <f t="shared" ca="1" si="156"/>
        <v>5.092573488958239</v>
      </c>
      <c r="H352" s="360">
        <f t="shared" ca="1" si="157"/>
        <v>-55.585159050243227</v>
      </c>
      <c r="I352" s="357">
        <f t="shared" ca="1" si="158"/>
        <v>55.817955994297002</v>
      </c>
      <c r="J352" s="359">
        <f t="shared" ca="1" si="159"/>
        <v>183.7581138571293</v>
      </c>
      <c r="K352" s="360">
        <f t="shared" ca="1" si="160"/>
        <v>0.59779476943062004</v>
      </c>
      <c r="L352" s="357">
        <f t="shared" ca="1" si="145"/>
        <v>183.75908621593669</v>
      </c>
      <c r="M352" s="359">
        <f t="shared" ca="1" si="161"/>
        <v>-1.4794338789196744</v>
      </c>
      <c r="N352" s="357">
        <f t="shared" ca="1" si="162"/>
        <v>-84.765317330765797</v>
      </c>
      <c r="O352" s="343"/>
      <c r="P352" s="363">
        <f t="shared" ca="1" si="163"/>
        <v>23</v>
      </c>
      <c r="Q352" s="357">
        <f t="shared" ca="1" si="164"/>
        <v>0</v>
      </c>
      <c r="R352" s="359">
        <f t="shared" ca="1" si="165"/>
        <v>0</v>
      </c>
      <c r="S352" s="360">
        <f t="shared" ca="1" si="166"/>
        <v>0.42898953648292248</v>
      </c>
      <c r="T352" s="357">
        <f t="shared" ca="1" si="146"/>
        <v>4.2083873528974696</v>
      </c>
      <c r="U352" s="364">
        <f t="shared" ca="1" si="147"/>
        <v>0</v>
      </c>
      <c r="V352" s="359">
        <f t="shared" ca="1" si="148"/>
        <v>1.2249267723295008</v>
      </c>
      <c r="W352" s="357">
        <f t="shared" ca="1" si="149"/>
        <v>3.3641606779908209</v>
      </c>
      <c r="X352" s="343"/>
      <c r="Y352" s="367" t="str">
        <f t="shared" ca="1" si="167"/>
        <v/>
      </c>
      <c r="Z352" s="368" t="str">
        <f t="shared" ca="1" si="168"/>
        <v/>
      </c>
      <c r="AA352" s="369" t="str">
        <f t="shared" ca="1" si="169"/>
        <v/>
      </c>
      <c r="AB352" s="344"/>
      <c r="AC352" s="363" t="e">
        <f t="shared" ca="1" si="170"/>
        <v>#N/A</v>
      </c>
      <c r="AD352" s="376" t="e">
        <f t="shared" ca="1" si="171"/>
        <v>#N/A</v>
      </c>
      <c r="AE352" s="377" t="e">
        <f t="shared" ca="1" si="150"/>
        <v>#N/A</v>
      </c>
      <c r="AF352" s="344"/>
      <c r="AG352" s="359">
        <f t="shared" ca="1" si="172"/>
        <v>1.9855874209359303</v>
      </c>
      <c r="AH352" s="357">
        <f t="shared" ca="1" si="173"/>
        <v>-7.7820248389063007</v>
      </c>
    </row>
    <row r="353" spans="1:34">
      <c r="A353" s="402">
        <f t="shared" ca="1" si="151"/>
        <v>0.1</v>
      </c>
      <c r="B353" s="357">
        <f t="shared" ca="1" si="152"/>
        <v>16.899999999999974</v>
      </c>
      <c r="C353" s="342"/>
      <c r="D353" s="359">
        <f t="shared" ca="1" si="153"/>
        <v>-0.71547325937338091</v>
      </c>
      <c r="E353" s="360">
        <f t="shared" ca="1" si="154"/>
        <v>-2.0006487938378621</v>
      </c>
      <c r="F353" s="357">
        <f t="shared" ca="1" si="155"/>
        <v>2.1247347084196795</v>
      </c>
      <c r="G353" s="359">
        <f t="shared" ca="1" si="156"/>
        <v>5.0210261630209008</v>
      </c>
      <c r="H353" s="360">
        <f t="shared" ca="1" si="157"/>
        <v>-55.785223929627016</v>
      </c>
      <c r="I353" s="357">
        <f t="shared" ca="1" si="158"/>
        <v>56.010730334538316</v>
      </c>
      <c r="J353" s="359">
        <f t="shared" ca="1" si="159"/>
        <v>184.26379383972827</v>
      </c>
      <c r="K353" s="360">
        <f t="shared" ca="1" si="160"/>
        <v>-4.9707243795628928</v>
      </c>
      <c r="L353" s="357">
        <f t="shared" ca="1" si="145"/>
        <v>184.33082710460414</v>
      </c>
      <c r="M353" s="359">
        <f t="shared" ca="1" si="161"/>
        <v>-1.4810318220997924</v>
      </c>
      <c r="N353" s="357">
        <f t="shared" ca="1" si="162"/>
        <v>-84.85687273088827</v>
      </c>
      <c r="O353" s="343"/>
      <c r="P353" s="363">
        <f t="shared" ca="1" si="163"/>
        <v>23</v>
      </c>
      <c r="Q353" s="357">
        <f t="shared" ca="1" si="164"/>
        <v>0</v>
      </c>
      <c r="R353" s="359">
        <f t="shared" ca="1" si="165"/>
        <v>0</v>
      </c>
      <c r="S353" s="360">
        <f t="shared" ca="1" si="166"/>
        <v>0.42898953648292248</v>
      </c>
      <c r="T353" s="357">
        <f t="shared" ca="1" si="146"/>
        <v>4.2083873528974696</v>
      </c>
      <c r="U353" s="364">
        <f t="shared" ca="1" si="147"/>
        <v>0</v>
      </c>
      <c r="V353" s="359">
        <f t="shared" ca="1" si="148"/>
        <v>1.2256090651112366</v>
      </c>
      <c r="W353" s="357">
        <f t="shared" ca="1" si="149"/>
        <v>3.3893247358466518</v>
      </c>
      <c r="X353" s="343"/>
      <c r="Y353" s="367" t="str">
        <f t="shared" ca="1" si="167"/>
        <v>Impact balistique</v>
      </c>
      <c r="Z353" s="368" t="str">
        <f t="shared" ca="1" si="168"/>
        <v/>
      </c>
      <c r="AA353" s="369" t="str">
        <f t="shared" ca="1" si="169"/>
        <v/>
      </c>
      <c r="AB353" s="344"/>
      <c r="AC353" s="363" t="e">
        <f t="shared" ca="1" si="170"/>
        <v>#N/A</v>
      </c>
      <c r="AD353" s="376" t="e">
        <f t="shared" ca="1" si="171"/>
        <v>#N/A</v>
      </c>
      <c r="AE353" s="377" t="e">
        <f t="shared" ca="1" si="150"/>
        <v>#N/A</v>
      </c>
      <c r="AF353" s="344"/>
      <c r="AG353" s="359">
        <f t="shared" ca="1" si="172"/>
        <v>1.9270283072959744</v>
      </c>
      <c r="AH353" s="357">
        <f t="shared" ca="1" si="173"/>
        <v>-7.8420576538345097</v>
      </c>
    </row>
    <row r="354" spans="1:34">
      <c r="A354" s="402">
        <f t="shared" ca="1" si="151"/>
        <v>1E-4</v>
      </c>
      <c r="B354" s="357">
        <f t="shared" ca="1" si="152"/>
        <v>16.900099999999973</v>
      </c>
      <c r="C354" s="342"/>
      <c r="D354" s="359">
        <f t="shared" ca="1" si="153"/>
        <v>-0.70825187116546717</v>
      </c>
      <c r="E354" s="360">
        <f t="shared" ca="1" si="154"/>
        <v>-1.9410927390643709</v>
      </c>
      <c r="F354" s="357">
        <f t="shared" ca="1" si="155"/>
        <v>2.0662675854442973</v>
      </c>
      <c r="G354" s="359">
        <f t="shared" ca="1" si="156"/>
        <v>5.0209553378337839</v>
      </c>
      <c r="H354" s="360">
        <f t="shared" ca="1" si="157"/>
        <v>-55.785418038900922</v>
      </c>
      <c r="I354" s="357">
        <f t="shared" ca="1" si="158"/>
        <v>56.010917313318963</v>
      </c>
      <c r="J354" s="359">
        <f t="shared" ca="1" si="159"/>
        <v>184.26379383972827</v>
      </c>
      <c r="K354" s="360">
        <f t="shared" ca="1" si="160"/>
        <v>-4.9763029116613193</v>
      </c>
      <c r="L354" s="357">
        <f t="shared" ca="1" si="145"/>
        <v>184.33097762144726</v>
      </c>
      <c r="M354" s="359">
        <f t="shared" ca="1" si="161"/>
        <v>-1.48103339216457</v>
      </c>
      <c r="N354" s="357">
        <f t="shared" ca="1" si="162"/>
        <v>-84.856962688973582</v>
      </c>
      <c r="O354" s="343"/>
      <c r="P354" s="363">
        <f t="shared" ca="1" si="163"/>
        <v>23</v>
      </c>
      <c r="Q354" s="357">
        <f t="shared" ca="1" si="164"/>
        <v>0</v>
      </c>
      <c r="R354" s="359">
        <f t="shared" ca="1" si="165"/>
        <v>0</v>
      </c>
      <c r="S354" s="360">
        <f t="shared" ca="1" si="166"/>
        <v>0.42898953648292248</v>
      </c>
      <c r="T354" s="357">
        <f t="shared" ca="1" si="146"/>
        <v>4.2083873528974696</v>
      </c>
      <c r="U354" s="364">
        <f t="shared" ca="1" si="147"/>
        <v>0</v>
      </c>
      <c r="V354" s="359">
        <f t="shared" ca="1" si="148"/>
        <v>1.2256097488214206</v>
      </c>
      <c r="W354" s="357">
        <f t="shared" ca="1" si="149"/>
        <v>3.3893492555861693</v>
      </c>
      <c r="X354" s="343"/>
      <c r="Y354" s="367" t="str">
        <f t="shared" ca="1" si="167"/>
        <v/>
      </c>
      <c r="Z354" s="368" t="str">
        <f t="shared" ca="1" si="168"/>
        <v/>
      </c>
      <c r="AA354" s="369" t="str">
        <f t="shared" ca="1" si="169"/>
        <v/>
      </c>
      <c r="AB354" s="344"/>
      <c r="AC354" s="363" t="e">
        <f t="shared" ca="1" si="170"/>
        <v>#N/A</v>
      </c>
      <c r="AD354" s="376" t="e">
        <f t="shared" ca="1" si="171"/>
        <v>#N/A</v>
      </c>
      <c r="AE354" s="377" t="e">
        <f t="shared" ca="1" si="150"/>
        <v>#N/A</v>
      </c>
      <c r="AF354" s="344"/>
      <c r="AG354" s="359">
        <f t="shared" ca="1" si="172"/>
        <v>1.8697871160799577</v>
      </c>
      <c r="AH354" s="357">
        <f t="shared" ca="1" si="173"/>
        <v>-7.9007165620730158</v>
      </c>
    </row>
    <row r="355" spans="1:34">
      <c r="A355" s="402">
        <f t="shared" ca="1" si="151"/>
        <v>1E-4</v>
      </c>
      <c r="B355" s="357">
        <f t="shared" ca="1" si="152"/>
        <v>16.900199999999973</v>
      </c>
      <c r="C355" s="342"/>
      <c r="D355" s="359">
        <f t="shared" ca="1" si="153"/>
        <v>-0.70824464016023125</v>
      </c>
      <c r="E355" s="360">
        <f t="shared" ca="1" si="154"/>
        <v>-1.9410347002219419</v>
      </c>
      <c r="F355" s="357">
        <f t="shared" ca="1" si="155"/>
        <v>2.0662105840841538</v>
      </c>
      <c r="G355" s="359">
        <f t="shared" ca="1" si="156"/>
        <v>5.0208845133697677</v>
      </c>
      <c r="H355" s="360">
        <f t="shared" ca="1" si="157"/>
        <v>-55.785612142370944</v>
      </c>
      <c r="I355" s="357">
        <f t="shared" ca="1" si="158"/>
        <v>56.011104286521977</v>
      </c>
      <c r="J355" s="359">
        <f t="shared" ca="1" si="159"/>
        <v>184.26379383972827</v>
      </c>
      <c r="K355" s="360">
        <f t="shared" ca="1" si="160"/>
        <v>-4.9818814631703825</v>
      </c>
      <c r="L355" s="357">
        <f t="shared" ca="1" si="145"/>
        <v>184.33112830751881</v>
      </c>
      <c r="M355" s="359">
        <f t="shared" ca="1" si="161"/>
        <v>-1.4810349621967183</v>
      </c>
      <c r="N355" s="357">
        <f t="shared" ca="1" si="162"/>
        <v>-84.857052645189384</v>
      </c>
      <c r="O355" s="343"/>
      <c r="P355" s="363">
        <f t="shared" ca="1" si="163"/>
        <v>23</v>
      </c>
      <c r="Q355" s="357">
        <f t="shared" ca="1" si="164"/>
        <v>0</v>
      </c>
      <c r="R355" s="359">
        <f t="shared" ca="1" si="165"/>
        <v>0</v>
      </c>
      <c r="S355" s="360">
        <f t="shared" ca="1" si="166"/>
        <v>0.42898953648292248</v>
      </c>
      <c r="T355" s="357">
        <f t="shared" ca="1" si="146"/>
        <v>4.2083873528974696</v>
      </c>
      <c r="U355" s="364">
        <f t="shared" ca="1" si="147"/>
        <v>0</v>
      </c>
      <c r="V355" s="359">
        <f t="shared" ca="1" si="148"/>
        <v>1.2256104325343646</v>
      </c>
      <c r="W355" s="357">
        <f t="shared" ca="1" si="149"/>
        <v>3.3893737747590742</v>
      </c>
      <c r="X355" s="343"/>
      <c r="Y355" s="367" t="str">
        <f t="shared" ca="1" si="167"/>
        <v/>
      </c>
      <c r="Z355" s="368" t="str">
        <f t="shared" ca="1" si="168"/>
        <v/>
      </c>
      <c r="AA355" s="369" t="str">
        <f t="shared" ca="1" si="169"/>
        <v/>
      </c>
      <c r="AB355" s="344"/>
      <c r="AC355" s="363" t="e">
        <f t="shared" ca="1" si="170"/>
        <v>#N/A</v>
      </c>
      <c r="AD355" s="376" t="e">
        <f t="shared" ca="1" si="171"/>
        <v>#N/A</v>
      </c>
      <c r="AE355" s="377" t="e">
        <f t="shared" ca="1" si="150"/>
        <v>#N/A</v>
      </c>
      <c r="AF355" s="344"/>
      <c r="AG355" s="359">
        <f t="shared" ca="1" si="172"/>
        <v>1.8697313398308886</v>
      </c>
      <c r="AH355" s="357">
        <f t="shared" ca="1" si="173"/>
        <v>-7.9007737190370726</v>
      </c>
    </row>
    <row r="356" spans="1:34">
      <c r="A356" s="402">
        <f t="shared" ca="1" si="151"/>
        <v>1E-4</v>
      </c>
      <c r="B356" s="357">
        <f t="shared" ca="1" si="152"/>
        <v>16.900299999999973</v>
      </c>
      <c r="C356" s="342"/>
      <c r="D356" s="359">
        <f t="shared" ca="1" si="153"/>
        <v>-0.70823740911285382</v>
      </c>
      <c r="E356" s="360">
        <f t="shared" ca="1" si="154"/>
        <v>-1.9409766627214191</v>
      </c>
      <c r="F356" s="357">
        <f t="shared" ca="1" si="155"/>
        <v>2.0661535840532439</v>
      </c>
      <c r="G356" s="359">
        <f t="shared" ca="1" si="156"/>
        <v>5.0208136896288567</v>
      </c>
      <c r="H356" s="360">
        <f t="shared" ca="1" si="157"/>
        <v>-55.785806240037218</v>
      </c>
      <c r="I356" s="357">
        <f t="shared" ca="1" si="158"/>
        <v>56.011291254147501</v>
      </c>
      <c r="J356" s="359">
        <f t="shared" ca="1" si="159"/>
        <v>184.26379383972827</v>
      </c>
      <c r="K356" s="360">
        <f t="shared" ca="1" si="160"/>
        <v>-4.9874600340895032</v>
      </c>
      <c r="L356" s="357">
        <f t="shared" ca="1" si="145"/>
        <v>184.33127916282012</v>
      </c>
      <c r="M356" s="359">
        <f t="shared" ca="1" si="161"/>
        <v>-1.4810365321962387</v>
      </c>
      <c r="N356" s="357">
        <f t="shared" ca="1" si="162"/>
        <v>-84.857142599535734</v>
      </c>
      <c r="O356" s="343"/>
      <c r="P356" s="363">
        <f t="shared" ca="1" si="163"/>
        <v>23</v>
      </c>
      <c r="Q356" s="357">
        <f t="shared" ca="1" si="164"/>
        <v>0</v>
      </c>
      <c r="R356" s="359">
        <f t="shared" ca="1" si="165"/>
        <v>0</v>
      </c>
      <c r="S356" s="360">
        <f t="shared" ca="1" si="166"/>
        <v>0.42898953648292248</v>
      </c>
      <c r="T356" s="357">
        <f t="shared" ca="1" si="146"/>
        <v>4.2083873528974696</v>
      </c>
      <c r="U356" s="364">
        <f t="shared" ca="1" si="147"/>
        <v>0</v>
      </c>
      <c r="V356" s="359">
        <f t="shared" ca="1" si="148"/>
        <v>1.2256111162500696</v>
      </c>
      <c r="W356" s="357">
        <f t="shared" ca="1" si="149"/>
        <v>3.3893982933653799</v>
      </c>
      <c r="X356" s="343"/>
      <c r="Y356" s="367" t="str">
        <f t="shared" ca="1" si="167"/>
        <v/>
      </c>
      <c r="Z356" s="368" t="str">
        <f t="shared" ca="1" si="168"/>
        <v/>
      </c>
      <c r="AA356" s="369" t="str">
        <f t="shared" ca="1" si="169"/>
        <v/>
      </c>
      <c r="AB356" s="344"/>
      <c r="AC356" s="363" t="e">
        <f t="shared" ca="1" si="170"/>
        <v>#N/A</v>
      </c>
      <c r="AD356" s="376" t="e">
        <f t="shared" ca="1" si="171"/>
        <v>#N/A</v>
      </c>
      <c r="AE356" s="377" t="e">
        <f t="shared" ca="1" si="150"/>
        <v>#N/A</v>
      </c>
      <c r="AF356" s="344"/>
      <c r="AG356" s="359">
        <f t="shared" ca="1" si="172"/>
        <v>1.8696755648498495</v>
      </c>
      <c r="AH356" s="357">
        <f t="shared" ca="1" si="173"/>
        <v>-7.900830874680322</v>
      </c>
    </row>
    <row r="357" spans="1:34">
      <c r="A357" s="402">
        <f t="shared" ca="1" si="151"/>
        <v>1E-4</v>
      </c>
      <c r="B357" s="357">
        <f t="shared" ca="1" si="152"/>
        <v>16.900399999999973</v>
      </c>
      <c r="C357" s="342"/>
      <c r="D357" s="359">
        <f t="shared" ca="1" si="153"/>
        <v>-0.70823017802333876</v>
      </c>
      <c r="E357" s="360">
        <f t="shared" ca="1" si="154"/>
        <v>-1.9409186265627749</v>
      </c>
      <c r="F357" s="357">
        <f t="shared" ca="1" si="155"/>
        <v>2.0660965853515414</v>
      </c>
      <c r="G357" s="359">
        <f t="shared" ca="1" si="156"/>
        <v>5.0207428666110543</v>
      </c>
      <c r="H357" s="360">
        <f t="shared" ca="1" si="157"/>
        <v>-55.786000331899871</v>
      </c>
      <c r="I357" s="357">
        <f t="shared" ca="1" si="158"/>
        <v>56.011478216195634</v>
      </c>
      <c r="J357" s="359">
        <f t="shared" ca="1" si="159"/>
        <v>184.26379383972827</v>
      </c>
      <c r="K357" s="360">
        <f t="shared" ca="1" si="160"/>
        <v>-4.9930386244180998</v>
      </c>
      <c r="L357" s="357">
        <f t="shared" ca="1" si="145"/>
        <v>184.33143018735251</v>
      </c>
      <c r="M357" s="359">
        <f t="shared" ca="1" si="161"/>
        <v>-1.4810381021631316</v>
      </c>
      <c r="N357" s="357">
        <f t="shared" ca="1" si="162"/>
        <v>-84.857232552012675</v>
      </c>
      <c r="O357" s="343"/>
      <c r="P357" s="363">
        <f t="shared" ca="1" si="163"/>
        <v>23</v>
      </c>
      <c r="Q357" s="357">
        <f t="shared" ca="1" si="164"/>
        <v>0</v>
      </c>
      <c r="R357" s="359">
        <f t="shared" ca="1" si="165"/>
        <v>0</v>
      </c>
      <c r="S357" s="360">
        <f t="shared" ca="1" si="166"/>
        <v>0.42898953648292248</v>
      </c>
      <c r="T357" s="357">
        <f t="shared" ca="1" si="146"/>
        <v>4.2083873528974696</v>
      </c>
      <c r="U357" s="364">
        <f t="shared" ca="1" si="147"/>
        <v>0</v>
      </c>
      <c r="V357" s="359">
        <f t="shared" ca="1" si="148"/>
        <v>1.2256117999685352</v>
      </c>
      <c r="W357" s="357">
        <f t="shared" ca="1" si="149"/>
        <v>3.3894228114050891</v>
      </c>
      <c r="X357" s="343"/>
      <c r="Y357" s="367" t="str">
        <f t="shared" ca="1" si="167"/>
        <v/>
      </c>
      <c r="Z357" s="368" t="str">
        <f t="shared" ca="1" si="168"/>
        <v/>
      </c>
      <c r="AA357" s="369" t="str">
        <f t="shared" ca="1" si="169"/>
        <v/>
      </c>
      <c r="AB357" s="344"/>
      <c r="AC357" s="363" t="e">
        <f t="shared" ca="1" si="170"/>
        <v>#N/A</v>
      </c>
      <c r="AD357" s="376" t="e">
        <f t="shared" ca="1" si="171"/>
        <v>#N/A</v>
      </c>
      <c r="AE357" s="377" t="e">
        <f t="shared" ca="1" si="150"/>
        <v>#N/A</v>
      </c>
      <c r="AF357" s="344"/>
      <c r="AG357" s="359">
        <f t="shared" ca="1" si="172"/>
        <v>1.8696197911368078</v>
      </c>
      <c r="AH357" s="357">
        <f t="shared" ca="1" si="173"/>
        <v>-7.900888029002795</v>
      </c>
    </row>
    <row r="358" spans="1:34">
      <c r="A358" s="402">
        <f t="shared" ca="1" si="151"/>
        <v>1E-4</v>
      </c>
      <c r="B358" s="357">
        <f t="shared" ca="1" si="152"/>
        <v>16.900499999999973</v>
      </c>
      <c r="C358" s="342"/>
      <c r="D358" s="359">
        <f t="shared" ca="1" si="153"/>
        <v>-0.70822294689169496</v>
      </c>
      <c r="E358" s="360">
        <f t="shared" ca="1" si="154"/>
        <v>-1.9408605917459996</v>
      </c>
      <c r="F358" s="357">
        <f t="shared" ca="1" si="155"/>
        <v>2.066039587979037</v>
      </c>
      <c r="G358" s="359">
        <f t="shared" ca="1" si="156"/>
        <v>5.020672044316365</v>
      </c>
      <c r="H358" s="360">
        <f t="shared" ca="1" si="157"/>
        <v>-55.786194417959045</v>
      </c>
      <c r="I358" s="357">
        <f t="shared" ca="1" si="158"/>
        <v>56.011665172666532</v>
      </c>
      <c r="J358" s="359">
        <f t="shared" ca="1" si="159"/>
        <v>184.26379383972827</v>
      </c>
      <c r="K358" s="360">
        <f t="shared" ca="1" si="160"/>
        <v>-4.998617234155593</v>
      </c>
      <c r="L358" s="357">
        <f t="shared" ca="1" si="145"/>
        <v>184.33158138111733</v>
      </c>
      <c r="M358" s="359">
        <f t="shared" ca="1" si="161"/>
        <v>-1.4810396720973982</v>
      </c>
      <c r="N358" s="357">
        <f t="shared" ca="1" si="162"/>
        <v>-84.857322502620264</v>
      </c>
      <c r="O358" s="343"/>
      <c r="P358" s="363">
        <f t="shared" ca="1" si="163"/>
        <v>23</v>
      </c>
      <c r="Q358" s="357">
        <f t="shared" ca="1" si="164"/>
        <v>0</v>
      </c>
      <c r="R358" s="359">
        <f t="shared" ca="1" si="165"/>
        <v>0</v>
      </c>
      <c r="S358" s="360">
        <f t="shared" ca="1" si="166"/>
        <v>0.42898953648292248</v>
      </c>
      <c r="T358" s="357">
        <f t="shared" ca="1" si="146"/>
        <v>4.2083873528974696</v>
      </c>
      <c r="U358" s="364">
        <f t="shared" ca="1" si="147"/>
        <v>0</v>
      </c>
      <c r="V358" s="359">
        <f t="shared" ca="1" si="148"/>
        <v>1.2256124836897606</v>
      </c>
      <c r="W358" s="357">
        <f t="shared" ca="1" si="149"/>
        <v>3.3894473288782119</v>
      </c>
      <c r="X358" s="343"/>
      <c r="Y358" s="367" t="str">
        <f t="shared" ca="1" si="167"/>
        <v/>
      </c>
      <c r="Z358" s="368" t="str">
        <f t="shared" ca="1" si="168"/>
        <v/>
      </c>
      <c r="AA358" s="369" t="str">
        <f t="shared" ca="1" si="169"/>
        <v/>
      </c>
      <c r="AB358" s="344"/>
      <c r="AC358" s="363" t="e">
        <f t="shared" ca="1" si="170"/>
        <v>#N/A</v>
      </c>
      <c r="AD358" s="376" t="e">
        <f t="shared" ca="1" si="171"/>
        <v>#N/A</v>
      </c>
      <c r="AE358" s="377" t="e">
        <f t="shared" ca="1" si="150"/>
        <v>#N/A</v>
      </c>
      <c r="AF358" s="344"/>
      <c r="AG358" s="359">
        <f t="shared" ca="1" si="172"/>
        <v>1.8695640186917641</v>
      </c>
      <c r="AH358" s="357">
        <f t="shared" ca="1" si="173"/>
        <v>-7.9009451820044978</v>
      </c>
    </row>
    <row r="359" spans="1:34">
      <c r="A359" s="402">
        <f t="shared" ca="1" si="151"/>
        <v>1E-4</v>
      </c>
      <c r="B359" s="357">
        <f t="shared" ca="1" si="152"/>
        <v>16.900599999999972</v>
      </c>
      <c r="C359" s="342"/>
      <c r="D359" s="359">
        <f t="shared" ca="1" si="153"/>
        <v>-0.70821571571792796</v>
      </c>
      <c r="E359" s="360">
        <f t="shared" ca="1" si="154"/>
        <v>-1.94080255827107</v>
      </c>
      <c r="F359" s="357">
        <f t="shared" ca="1" si="155"/>
        <v>2.0659825919357084</v>
      </c>
      <c r="G359" s="359">
        <f t="shared" ca="1" si="156"/>
        <v>5.0206012227447934</v>
      </c>
      <c r="H359" s="360">
        <f t="shared" ca="1" si="157"/>
        <v>-55.786388498214869</v>
      </c>
      <c r="I359" s="357">
        <f t="shared" ca="1" si="158"/>
        <v>56.011852123560303</v>
      </c>
      <c r="J359" s="359">
        <f t="shared" ca="1" si="159"/>
        <v>184.26379383972827</v>
      </c>
      <c r="K359" s="360">
        <f t="shared" ca="1" si="160"/>
        <v>-5.0041958633014021</v>
      </c>
      <c r="L359" s="357">
        <f t="shared" ca="1" si="145"/>
        <v>184.3317327441159</v>
      </c>
      <c r="M359" s="359">
        <f t="shared" ca="1" si="161"/>
        <v>-1.4810412419990395</v>
      </c>
      <c r="N359" s="357">
        <f t="shared" ca="1" si="162"/>
        <v>-84.85741245135857</v>
      </c>
      <c r="O359" s="343"/>
      <c r="P359" s="363">
        <f t="shared" ca="1" si="163"/>
        <v>23</v>
      </c>
      <c r="Q359" s="357">
        <f t="shared" ca="1" si="164"/>
        <v>0</v>
      </c>
      <c r="R359" s="359">
        <f t="shared" ca="1" si="165"/>
        <v>0</v>
      </c>
      <c r="S359" s="360">
        <f t="shared" ca="1" si="166"/>
        <v>0.42898953648292248</v>
      </c>
      <c r="T359" s="357">
        <f t="shared" ca="1" si="146"/>
        <v>4.2083873528974696</v>
      </c>
      <c r="U359" s="364">
        <f t="shared" ca="1" si="147"/>
        <v>0</v>
      </c>
      <c r="V359" s="359">
        <f t="shared" ca="1" si="148"/>
        <v>1.2256131674137463</v>
      </c>
      <c r="W359" s="357">
        <f t="shared" ca="1" si="149"/>
        <v>3.3894718457847532</v>
      </c>
      <c r="X359" s="343"/>
      <c r="Y359" s="367" t="str">
        <f t="shared" ca="1" si="167"/>
        <v/>
      </c>
      <c r="Z359" s="368" t="str">
        <f t="shared" ca="1" si="168"/>
        <v/>
      </c>
      <c r="AA359" s="369" t="str">
        <f t="shared" ca="1" si="169"/>
        <v/>
      </c>
      <c r="AB359" s="344"/>
      <c r="AC359" s="363" t="e">
        <f t="shared" ca="1" si="170"/>
        <v>#N/A</v>
      </c>
      <c r="AD359" s="376" t="e">
        <f t="shared" ca="1" si="171"/>
        <v>#N/A</v>
      </c>
      <c r="AE359" s="377" t="e">
        <f t="shared" ca="1" si="150"/>
        <v>#N/A</v>
      </c>
      <c r="AF359" s="344"/>
      <c r="AG359" s="359">
        <f t="shared" ca="1" si="172"/>
        <v>1.8695082475146947</v>
      </c>
      <c r="AH359" s="357">
        <f t="shared" ca="1" si="173"/>
        <v>-7.9010023336854545</v>
      </c>
    </row>
    <row r="360" spans="1:34">
      <c r="A360" s="402">
        <f t="shared" ca="1" si="151"/>
        <v>1E-4</v>
      </c>
      <c r="B360" s="357">
        <f t="shared" ca="1" si="152"/>
        <v>16.900699999999972</v>
      </c>
      <c r="C360" s="342"/>
      <c r="D360" s="359">
        <f t="shared" ca="1" si="153"/>
        <v>-0.70820848450204177</v>
      </c>
      <c r="E360" s="360">
        <f t="shared" ca="1" si="154"/>
        <v>-1.9407445261379754</v>
      </c>
      <c r="F360" s="357">
        <f t="shared" ca="1" si="155"/>
        <v>2.0659255972215442</v>
      </c>
      <c r="G360" s="359">
        <f t="shared" ca="1" si="156"/>
        <v>5.0205304018963428</v>
      </c>
      <c r="H360" s="360">
        <f t="shared" ca="1" si="157"/>
        <v>-55.786582572667484</v>
      </c>
      <c r="I360" s="357">
        <f t="shared" ca="1" si="158"/>
        <v>56.012039068877087</v>
      </c>
      <c r="J360" s="359">
        <f t="shared" ca="1" si="159"/>
        <v>184.26379383972827</v>
      </c>
      <c r="K360" s="360">
        <f t="shared" ca="1" si="160"/>
        <v>-5.0097745118549462</v>
      </c>
      <c r="L360" s="357">
        <f t="shared" ca="1" si="145"/>
        <v>184.33188427634954</v>
      </c>
      <c r="M360" s="359">
        <f t="shared" ca="1" si="161"/>
        <v>-1.4810428118680565</v>
      </c>
      <c r="N360" s="357">
        <f t="shared" ca="1" si="162"/>
        <v>-84.857502398227624</v>
      </c>
      <c r="O360" s="343"/>
      <c r="P360" s="363">
        <f t="shared" ca="1" si="163"/>
        <v>23</v>
      </c>
      <c r="Q360" s="357">
        <f t="shared" ca="1" si="164"/>
        <v>0</v>
      </c>
      <c r="R360" s="359">
        <f t="shared" ca="1" si="165"/>
        <v>0</v>
      </c>
      <c r="S360" s="360">
        <f t="shared" ca="1" si="166"/>
        <v>0.42898953648292248</v>
      </c>
      <c r="T360" s="357">
        <f t="shared" ca="1" si="146"/>
        <v>4.2083873528974696</v>
      </c>
      <c r="U360" s="364">
        <f t="shared" ca="1" si="147"/>
        <v>0</v>
      </c>
      <c r="V360" s="359">
        <f t="shared" ca="1" si="148"/>
        <v>1.2256138511404921</v>
      </c>
      <c r="W360" s="357">
        <f t="shared" ca="1" si="149"/>
        <v>3.3894963621247247</v>
      </c>
      <c r="X360" s="343"/>
      <c r="Y360" s="367" t="str">
        <f t="shared" ca="1" si="167"/>
        <v/>
      </c>
      <c r="Z360" s="368" t="str">
        <f t="shared" ca="1" si="168"/>
        <v/>
      </c>
      <c r="AA360" s="369" t="str">
        <f t="shared" ca="1" si="169"/>
        <v/>
      </c>
      <c r="AB360" s="344"/>
      <c r="AC360" s="363" t="e">
        <f t="shared" ca="1" si="170"/>
        <v>#N/A</v>
      </c>
      <c r="AD360" s="376" t="e">
        <f t="shared" ca="1" si="171"/>
        <v>#N/A</v>
      </c>
      <c r="AE360" s="377" t="e">
        <f t="shared" ca="1" si="150"/>
        <v>#N/A</v>
      </c>
      <c r="AF360" s="344"/>
      <c r="AG360" s="359">
        <f t="shared" ca="1" si="172"/>
        <v>1.8694524776055896</v>
      </c>
      <c r="AH360" s="357">
        <f t="shared" ca="1" si="173"/>
        <v>-7.9010594840456765</v>
      </c>
    </row>
    <row r="361" spans="1:34">
      <c r="A361" s="402">
        <f t="shared" ca="1" si="151"/>
        <v>1E-4</v>
      </c>
      <c r="B361" s="357">
        <f t="shared" ca="1" si="152"/>
        <v>16.900799999999972</v>
      </c>
      <c r="C361" s="342"/>
      <c r="D361" s="359">
        <f t="shared" ca="1" si="153"/>
        <v>-0.70820125324404359</v>
      </c>
      <c r="E361" s="360">
        <f t="shared" ca="1" si="154"/>
        <v>-1.9406864953466876</v>
      </c>
      <c r="F361" s="357">
        <f t="shared" ca="1" si="155"/>
        <v>2.0658686038365177</v>
      </c>
      <c r="G361" s="359">
        <f t="shared" ca="1" si="156"/>
        <v>5.0204595817710187</v>
      </c>
      <c r="H361" s="360">
        <f t="shared" ca="1" si="157"/>
        <v>-55.786776641317019</v>
      </c>
      <c r="I361" s="357">
        <f t="shared" ca="1" si="158"/>
        <v>56.012226008616999</v>
      </c>
      <c r="J361" s="359">
        <f t="shared" ca="1" si="159"/>
        <v>184.26379383972827</v>
      </c>
      <c r="K361" s="360">
        <f t="shared" ca="1" si="160"/>
        <v>-5.0153531798156452</v>
      </c>
      <c r="L361" s="357">
        <f t="shared" ca="1" si="145"/>
        <v>184.33203597781957</v>
      </c>
      <c r="M361" s="359">
        <f t="shared" ca="1" si="161"/>
        <v>-1.4810443817044501</v>
      </c>
      <c r="N361" s="357">
        <f t="shared" ca="1" si="162"/>
        <v>-84.857592343227509</v>
      </c>
      <c r="O361" s="343"/>
      <c r="P361" s="363">
        <f t="shared" ca="1" si="163"/>
        <v>23</v>
      </c>
      <c r="Q361" s="357">
        <f t="shared" ca="1" si="164"/>
        <v>0</v>
      </c>
      <c r="R361" s="359">
        <f t="shared" ca="1" si="165"/>
        <v>0</v>
      </c>
      <c r="S361" s="360">
        <f t="shared" ca="1" si="166"/>
        <v>0.42898953648292248</v>
      </c>
      <c r="T361" s="357">
        <f t="shared" ca="1" si="146"/>
        <v>4.2083873528974696</v>
      </c>
      <c r="U361" s="364">
        <f t="shared" ca="1" si="147"/>
        <v>0</v>
      </c>
      <c r="V361" s="359">
        <f t="shared" ca="1" si="148"/>
        <v>1.2256145348699983</v>
      </c>
      <c r="W361" s="357">
        <f t="shared" ca="1" si="149"/>
        <v>3.3895208778981307</v>
      </c>
      <c r="X361" s="343"/>
      <c r="Y361" s="367" t="str">
        <f t="shared" ca="1" si="167"/>
        <v/>
      </c>
      <c r="Z361" s="368" t="str">
        <f t="shared" ca="1" si="168"/>
        <v/>
      </c>
      <c r="AA361" s="369" t="str">
        <f t="shared" ca="1" si="169"/>
        <v/>
      </c>
      <c r="AB361" s="344"/>
      <c r="AC361" s="363" t="e">
        <f t="shared" ca="1" si="170"/>
        <v>#N/A</v>
      </c>
      <c r="AD361" s="376" t="e">
        <f t="shared" ca="1" si="171"/>
        <v>#N/A</v>
      </c>
      <c r="AE361" s="377" t="e">
        <f t="shared" ca="1" si="150"/>
        <v>#N/A</v>
      </c>
      <c r="AF361" s="344"/>
      <c r="AG361" s="359">
        <f t="shared" ca="1" si="172"/>
        <v>1.8693967089644286</v>
      </c>
      <c r="AH361" s="357">
        <f t="shared" ca="1" si="173"/>
        <v>-7.9011166330851896</v>
      </c>
    </row>
    <row r="362" spans="1:34">
      <c r="A362" s="402">
        <f t="shared" ca="1" si="151"/>
        <v>1E-4</v>
      </c>
      <c r="B362" s="357">
        <f t="shared" ca="1" si="152"/>
        <v>16.900899999999972</v>
      </c>
      <c r="C362" s="342"/>
      <c r="D362" s="359">
        <f t="shared" ca="1" si="153"/>
        <v>-0.70819402194393943</v>
      </c>
      <c r="E362" s="360">
        <f t="shared" ca="1" si="154"/>
        <v>-1.9406284658971948</v>
      </c>
      <c r="F362" s="357">
        <f t="shared" ca="1" si="155"/>
        <v>2.0658116117806178</v>
      </c>
      <c r="G362" s="359">
        <f t="shared" ca="1" si="156"/>
        <v>5.0203887623688246</v>
      </c>
      <c r="H362" s="360">
        <f t="shared" ca="1" si="157"/>
        <v>-55.786970704163608</v>
      </c>
      <c r="I362" s="357">
        <f t="shared" ca="1" si="158"/>
        <v>56.012412942780173</v>
      </c>
      <c r="J362" s="359">
        <f t="shared" ca="1" si="159"/>
        <v>184.26379383972827</v>
      </c>
      <c r="K362" s="360">
        <f t="shared" ca="1" si="160"/>
        <v>-5.0209318671829193</v>
      </c>
      <c r="L362" s="357">
        <f t="shared" ca="1" si="145"/>
        <v>184.33218784852735</v>
      </c>
      <c r="M362" s="359">
        <f t="shared" ca="1" si="161"/>
        <v>-1.481045951508221</v>
      </c>
      <c r="N362" s="357">
        <f t="shared" ca="1" si="162"/>
        <v>-84.857682286358241</v>
      </c>
      <c r="O362" s="343"/>
      <c r="P362" s="363">
        <f t="shared" ca="1" si="163"/>
        <v>23</v>
      </c>
      <c r="Q362" s="357">
        <f t="shared" ca="1" si="164"/>
        <v>0</v>
      </c>
      <c r="R362" s="359">
        <f t="shared" ca="1" si="165"/>
        <v>0</v>
      </c>
      <c r="S362" s="360">
        <f t="shared" ca="1" si="166"/>
        <v>0.42898953648292248</v>
      </c>
      <c r="T362" s="357">
        <f t="shared" ca="1" si="146"/>
        <v>4.2083873528974696</v>
      </c>
      <c r="U362" s="364">
        <f t="shared" ca="1" si="147"/>
        <v>0</v>
      </c>
      <c r="V362" s="359">
        <f t="shared" ca="1" si="148"/>
        <v>1.2256152186022644</v>
      </c>
      <c r="W362" s="357">
        <f t="shared" ca="1" si="149"/>
        <v>3.3895453931049802</v>
      </c>
      <c r="X362" s="343"/>
      <c r="Y362" s="367" t="str">
        <f t="shared" ca="1" si="167"/>
        <v/>
      </c>
      <c r="Z362" s="368" t="str">
        <f t="shared" ca="1" si="168"/>
        <v/>
      </c>
      <c r="AA362" s="369" t="str">
        <f t="shared" ca="1" si="169"/>
        <v/>
      </c>
      <c r="AB362" s="344"/>
      <c r="AC362" s="363" t="e">
        <f t="shared" ca="1" si="170"/>
        <v>#N/A</v>
      </c>
      <c r="AD362" s="376" t="e">
        <f t="shared" ca="1" si="171"/>
        <v>#N/A</v>
      </c>
      <c r="AE362" s="377" t="e">
        <f t="shared" ca="1" si="150"/>
        <v>#N/A</v>
      </c>
      <c r="AF362" s="344"/>
      <c r="AG362" s="359">
        <f t="shared" ca="1" si="172"/>
        <v>1.8693409415911972</v>
      </c>
      <c r="AH362" s="357">
        <f t="shared" ca="1" si="173"/>
        <v>-7.9011737808040063</v>
      </c>
    </row>
    <row r="363" spans="1:34">
      <c r="A363" s="402">
        <f t="shared" ca="1" si="151"/>
        <v>1E-4</v>
      </c>
      <c r="B363" s="357">
        <f t="shared" ca="1" si="152"/>
        <v>16.900999999999971</v>
      </c>
      <c r="C363" s="342"/>
      <c r="D363" s="359">
        <f t="shared" ca="1" si="153"/>
        <v>-0.70818679060173573</v>
      </c>
      <c r="E363" s="360">
        <f t="shared" ca="1" si="154"/>
        <v>-1.9405704377894786</v>
      </c>
      <c r="F363" s="357">
        <f t="shared" ca="1" si="155"/>
        <v>2.0657546210538258</v>
      </c>
      <c r="G363" s="359">
        <f t="shared" ca="1" si="156"/>
        <v>5.020317943689764</v>
      </c>
      <c r="H363" s="360">
        <f t="shared" ca="1" si="157"/>
        <v>-55.787164761207386</v>
      </c>
      <c r="I363" s="357">
        <f t="shared" ca="1" si="158"/>
        <v>56.012599871366731</v>
      </c>
      <c r="J363" s="359">
        <f t="shared" ca="1" si="159"/>
        <v>184.26379383972827</v>
      </c>
      <c r="K363" s="360">
        <f t="shared" ca="1" si="160"/>
        <v>-5.0265105739561875</v>
      </c>
      <c r="L363" s="357">
        <f t="shared" ca="1" si="145"/>
        <v>184.33233988847419</v>
      </c>
      <c r="M363" s="359">
        <f t="shared" ca="1" si="161"/>
        <v>-1.4810475212793703</v>
      </c>
      <c r="N363" s="357">
        <f t="shared" ca="1" si="162"/>
        <v>-84.857772227619904</v>
      </c>
      <c r="O363" s="343"/>
      <c r="P363" s="363">
        <f t="shared" ca="1" si="163"/>
        <v>23</v>
      </c>
      <c r="Q363" s="357">
        <f t="shared" ca="1" si="164"/>
        <v>0</v>
      </c>
      <c r="R363" s="359">
        <f t="shared" ca="1" si="165"/>
        <v>0</v>
      </c>
      <c r="S363" s="360">
        <f t="shared" ca="1" si="166"/>
        <v>0.42898953648292248</v>
      </c>
      <c r="T363" s="357">
        <f t="shared" ca="1" si="146"/>
        <v>4.2083873528974696</v>
      </c>
      <c r="U363" s="364">
        <f t="shared" ca="1" si="147"/>
        <v>0</v>
      </c>
      <c r="V363" s="359">
        <f t="shared" ca="1" si="148"/>
        <v>1.2256159023372903</v>
      </c>
      <c r="W363" s="357">
        <f t="shared" ca="1" si="149"/>
        <v>3.3895699077452792</v>
      </c>
      <c r="X363" s="343"/>
      <c r="Y363" s="367" t="str">
        <f t="shared" ca="1" si="167"/>
        <v/>
      </c>
      <c r="Z363" s="368" t="str">
        <f t="shared" ca="1" si="168"/>
        <v/>
      </c>
      <c r="AA363" s="369" t="str">
        <f t="shared" ca="1" si="169"/>
        <v/>
      </c>
      <c r="AB363" s="344"/>
      <c r="AC363" s="363" t="e">
        <f t="shared" ca="1" si="170"/>
        <v>#N/A</v>
      </c>
      <c r="AD363" s="376" t="e">
        <f t="shared" ca="1" si="171"/>
        <v>#N/A</v>
      </c>
      <c r="AE363" s="377" t="e">
        <f t="shared" ca="1" si="150"/>
        <v>#N/A</v>
      </c>
      <c r="AF363" s="344"/>
      <c r="AG363" s="359">
        <f t="shared" ca="1" si="172"/>
        <v>1.8692851754858824</v>
      </c>
      <c r="AH363" s="357">
        <f t="shared" ca="1" si="173"/>
        <v>-7.9012309272021453</v>
      </c>
    </row>
    <row r="364" spans="1:34">
      <c r="A364" s="402">
        <f t="shared" ca="1" si="151"/>
        <v>1E-4</v>
      </c>
      <c r="B364" s="357">
        <f t="shared" ca="1" si="152"/>
        <v>16.901099999999971</v>
      </c>
      <c r="C364" s="342"/>
      <c r="D364" s="359">
        <f t="shared" ca="1" si="153"/>
        <v>-0.70817955921743891</v>
      </c>
      <c r="E364" s="360">
        <f t="shared" ca="1" si="154"/>
        <v>-1.9405124110235219</v>
      </c>
      <c r="F364" s="357">
        <f t="shared" ca="1" si="155"/>
        <v>2.0656976316561262</v>
      </c>
      <c r="G364" s="359">
        <f t="shared" ca="1" si="156"/>
        <v>5.0202471257338424</v>
      </c>
      <c r="H364" s="360">
        <f t="shared" ca="1" si="157"/>
        <v>-55.787358812448488</v>
      </c>
      <c r="I364" s="357">
        <f t="shared" ca="1" si="158"/>
        <v>56.012786794376808</v>
      </c>
      <c r="J364" s="359">
        <f t="shared" ca="1" si="159"/>
        <v>184.26379383972827</v>
      </c>
      <c r="K364" s="360">
        <f t="shared" ca="1" si="160"/>
        <v>-5.0320893001348699</v>
      </c>
      <c r="L364" s="357">
        <f t="shared" ca="1" si="145"/>
        <v>184.33249209766143</v>
      </c>
      <c r="M364" s="359">
        <f t="shared" ca="1" si="161"/>
        <v>-1.4810490910178991</v>
      </c>
      <c r="N364" s="357">
        <f t="shared" ca="1" si="162"/>
        <v>-84.857862167012541</v>
      </c>
      <c r="O364" s="343"/>
      <c r="P364" s="363">
        <f t="shared" ca="1" si="163"/>
        <v>23</v>
      </c>
      <c r="Q364" s="357">
        <f t="shared" ca="1" si="164"/>
        <v>0</v>
      </c>
      <c r="R364" s="359">
        <f t="shared" ca="1" si="165"/>
        <v>0</v>
      </c>
      <c r="S364" s="360">
        <f t="shared" ca="1" si="166"/>
        <v>0.42898953648292248</v>
      </c>
      <c r="T364" s="357">
        <f t="shared" ca="1" si="146"/>
        <v>4.2083873528974696</v>
      </c>
      <c r="U364" s="364">
        <f t="shared" ca="1" si="147"/>
        <v>0</v>
      </c>
      <c r="V364" s="359">
        <f t="shared" ca="1" si="148"/>
        <v>1.2256165860750761</v>
      </c>
      <c r="W364" s="357">
        <f t="shared" ca="1" si="149"/>
        <v>3.3895944218190364</v>
      </c>
      <c r="X364" s="343"/>
      <c r="Y364" s="367" t="str">
        <f t="shared" ca="1" si="167"/>
        <v/>
      </c>
      <c r="Z364" s="368" t="str">
        <f t="shared" ca="1" si="168"/>
        <v/>
      </c>
      <c r="AA364" s="369" t="str">
        <f t="shared" ca="1" si="169"/>
        <v/>
      </c>
      <c r="AB364" s="344"/>
      <c r="AC364" s="363" t="e">
        <f t="shared" ca="1" si="170"/>
        <v>#N/A</v>
      </c>
      <c r="AD364" s="376" t="e">
        <f t="shared" ca="1" si="171"/>
        <v>#N/A</v>
      </c>
      <c r="AE364" s="377" t="e">
        <f t="shared" ca="1" si="150"/>
        <v>#N/A</v>
      </c>
      <c r="AF364" s="344"/>
      <c r="AG364" s="359">
        <f t="shared" ca="1" si="172"/>
        <v>1.8692294106484697</v>
      </c>
      <c r="AH364" s="357">
        <f t="shared" ca="1" si="173"/>
        <v>-7.9012880722796224</v>
      </c>
    </row>
    <row r="365" spans="1:34">
      <c r="A365" s="402">
        <f t="shared" ca="1" si="151"/>
        <v>1E-4</v>
      </c>
      <c r="B365" s="357">
        <f t="shared" ca="1" si="152"/>
        <v>16.901199999999971</v>
      </c>
      <c r="C365" s="342"/>
      <c r="D365" s="359">
        <f t="shared" ca="1" si="153"/>
        <v>-0.70817232779105377</v>
      </c>
      <c r="E365" s="360">
        <f t="shared" ca="1" si="154"/>
        <v>-1.9404543855993062</v>
      </c>
      <c r="F365" s="357">
        <f t="shared" ca="1" si="155"/>
        <v>2.0656406435874999</v>
      </c>
      <c r="G365" s="359">
        <f t="shared" ca="1" si="156"/>
        <v>5.0201763085010631</v>
      </c>
      <c r="H365" s="360">
        <f t="shared" ca="1" si="157"/>
        <v>-55.78755285788705</v>
      </c>
      <c r="I365" s="357">
        <f t="shared" ca="1" si="158"/>
        <v>56.012973711810524</v>
      </c>
      <c r="J365" s="359">
        <f t="shared" ca="1" si="159"/>
        <v>184.26379383972827</v>
      </c>
      <c r="K365" s="360">
        <f t="shared" ca="1" si="160"/>
        <v>-5.0376680457183864</v>
      </c>
      <c r="L365" s="357">
        <f t="shared" ca="1" si="145"/>
        <v>184.33264447609037</v>
      </c>
      <c r="M365" s="359">
        <f t="shared" ca="1" si="161"/>
        <v>-1.4810506607238079</v>
      </c>
      <c r="N365" s="357">
        <f t="shared" ca="1" si="162"/>
        <v>-84.857952104536196</v>
      </c>
      <c r="O365" s="343"/>
      <c r="P365" s="363">
        <f t="shared" ca="1" si="163"/>
        <v>23</v>
      </c>
      <c r="Q365" s="357">
        <f t="shared" ca="1" si="164"/>
        <v>0</v>
      </c>
      <c r="R365" s="359">
        <f t="shared" ca="1" si="165"/>
        <v>0</v>
      </c>
      <c r="S365" s="360">
        <f t="shared" ca="1" si="166"/>
        <v>0.42898953648292248</v>
      </c>
      <c r="T365" s="357">
        <f t="shared" ca="1" si="146"/>
        <v>4.2083873528974696</v>
      </c>
      <c r="U365" s="364">
        <f t="shared" ca="1" si="147"/>
        <v>0</v>
      </c>
      <c r="V365" s="359">
        <f t="shared" ca="1" si="148"/>
        <v>1.225617269815622</v>
      </c>
      <c r="W365" s="357">
        <f t="shared" ca="1" si="149"/>
        <v>3.3896189353262609</v>
      </c>
      <c r="X365" s="343"/>
      <c r="Y365" s="367" t="str">
        <f t="shared" ca="1" si="167"/>
        <v/>
      </c>
      <c r="Z365" s="368" t="str">
        <f t="shared" ca="1" si="168"/>
        <v/>
      </c>
      <c r="AA365" s="369" t="str">
        <f t="shared" ca="1" si="169"/>
        <v/>
      </c>
      <c r="AB365" s="344"/>
      <c r="AC365" s="363" t="e">
        <f t="shared" ca="1" si="170"/>
        <v>#N/A</v>
      </c>
      <c r="AD365" s="376" t="e">
        <f t="shared" ca="1" si="171"/>
        <v>#N/A</v>
      </c>
      <c r="AE365" s="377" t="e">
        <f t="shared" ca="1" si="150"/>
        <v>#N/A</v>
      </c>
      <c r="AF365" s="344"/>
      <c r="AG365" s="359">
        <f t="shared" ca="1" si="172"/>
        <v>1.8691736470789424</v>
      </c>
      <c r="AH365" s="357">
        <f t="shared" ca="1" si="173"/>
        <v>-7.9013452160364563</v>
      </c>
    </row>
    <row r="366" spans="1:34">
      <c r="A366" s="402">
        <f t="shared" ca="1" si="151"/>
        <v>1E-4</v>
      </c>
      <c r="B366" s="357">
        <f t="shared" ca="1" si="152"/>
        <v>16.901299999999971</v>
      </c>
      <c r="C366" s="342"/>
      <c r="D366" s="359">
        <f t="shared" ca="1" si="153"/>
        <v>-0.70816509632258895</v>
      </c>
      <c r="E366" s="360">
        <f t="shared" ca="1" si="154"/>
        <v>-1.9403963615168101</v>
      </c>
      <c r="F366" s="357">
        <f t="shared" ca="1" si="155"/>
        <v>2.0655836568479273</v>
      </c>
      <c r="G366" s="359">
        <f t="shared" ca="1" si="156"/>
        <v>5.0201054919914307</v>
      </c>
      <c r="H366" s="360">
        <f t="shared" ca="1" si="157"/>
        <v>-55.787746897523199</v>
      </c>
      <c r="I366" s="357">
        <f t="shared" ca="1" si="158"/>
        <v>56.013160623668007</v>
      </c>
      <c r="J366" s="359">
        <f t="shared" ca="1" si="159"/>
        <v>184.26379383972827</v>
      </c>
      <c r="K366" s="360">
        <f t="shared" ca="1" si="160"/>
        <v>-5.0432468107061572</v>
      </c>
      <c r="L366" s="357">
        <f t="shared" ca="1" si="145"/>
        <v>184.3327970237624</v>
      </c>
      <c r="M366" s="359">
        <f t="shared" ca="1" si="161"/>
        <v>-1.4810522303970981</v>
      </c>
      <c r="N366" s="357">
        <f t="shared" ca="1" si="162"/>
        <v>-84.858042040190938</v>
      </c>
      <c r="O366" s="343"/>
      <c r="P366" s="363">
        <f t="shared" ca="1" si="163"/>
        <v>23</v>
      </c>
      <c r="Q366" s="357">
        <f t="shared" ca="1" si="164"/>
        <v>0</v>
      </c>
      <c r="R366" s="359">
        <f t="shared" ca="1" si="165"/>
        <v>0</v>
      </c>
      <c r="S366" s="360">
        <f t="shared" ca="1" si="166"/>
        <v>0.42898953648292248</v>
      </c>
      <c r="T366" s="357">
        <f t="shared" ca="1" si="146"/>
        <v>4.2083873528974696</v>
      </c>
      <c r="U366" s="364">
        <f t="shared" ca="1" si="147"/>
        <v>0</v>
      </c>
      <c r="V366" s="359">
        <f t="shared" ca="1" si="148"/>
        <v>1.2256179535589276</v>
      </c>
      <c r="W366" s="357">
        <f t="shared" ca="1" si="149"/>
        <v>3.3896434482669577</v>
      </c>
      <c r="X366" s="343"/>
      <c r="Y366" s="367" t="str">
        <f t="shared" ca="1" si="167"/>
        <v/>
      </c>
      <c r="Z366" s="368" t="str">
        <f t="shared" ca="1" si="168"/>
        <v/>
      </c>
      <c r="AA366" s="369" t="str">
        <f t="shared" ca="1" si="169"/>
        <v/>
      </c>
      <c r="AB366" s="344"/>
      <c r="AC366" s="363" t="e">
        <f t="shared" ca="1" si="170"/>
        <v>#N/A</v>
      </c>
      <c r="AD366" s="376" t="e">
        <f t="shared" ca="1" si="171"/>
        <v>#N/A</v>
      </c>
      <c r="AE366" s="377" t="e">
        <f t="shared" ca="1" si="150"/>
        <v>#N/A</v>
      </c>
      <c r="AF366" s="344"/>
      <c r="AG366" s="359">
        <f t="shared" ca="1" si="172"/>
        <v>1.8691178847772782</v>
      </c>
      <c r="AH366" s="357">
        <f t="shared" ca="1" si="173"/>
        <v>-7.9014023584726694</v>
      </c>
    </row>
    <row r="367" spans="1:34">
      <c r="A367" s="402">
        <f t="shared" ca="1" si="151"/>
        <v>1E-4</v>
      </c>
      <c r="B367" s="357">
        <f t="shared" ca="1" si="152"/>
        <v>16.90139999999997</v>
      </c>
      <c r="C367" s="342"/>
      <c r="D367" s="359">
        <f t="shared" ca="1" si="153"/>
        <v>-0.70815786481204679</v>
      </c>
      <c r="E367" s="360">
        <f t="shared" ca="1" si="154"/>
        <v>-1.9403383387760185</v>
      </c>
      <c r="F367" s="357">
        <f t="shared" ca="1" si="155"/>
        <v>2.065526671437393</v>
      </c>
      <c r="G367" s="359">
        <f t="shared" ca="1" si="156"/>
        <v>5.0200346762049497</v>
      </c>
      <c r="H367" s="360">
        <f t="shared" ca="1" si="157"/>
        <v>-55.787940931357078</v>
      </c>
      <c r="I367" s="357">
        <f t="shared" ca="1" si="158"/>
        <v>56.013347529949378</v>
      </c>
      <c r="J367" s="359">
        <f t="shared" ca="1" si="159"/>
        <v>184.26379383972827</v>
      </c>
      <c r="K367" s="360">
        <f t="shared" ca="1" si="160"/>
        <v>-5.0488255950976013</v>
      </c>
      <c r="L367" s="357">
        <f t="shared" ca="1" si="145"/>
        <v>184.33294974067874</v>
      </c>
      <c r="M367" s="359">
        <f t="shared" ca="1" si="161"/>
        <v>-1.4810538000377704</v>
      </c>
      <c r="N367" s="357">
        <f t="shared" ca="1" si="162"/>
        <v>-84.858131973976811</v>
      </c>
      <c r="O367" s="343"/>
      <c r="P367" s="363">
        <f t="shared" ca="1" si="163"/>
        <v>23</v>
      </c>
      <c r="Q367" s="357">
        <f t="shared" ca="1" si="164"/>
        <v>0</v>
      </c>
      <c r="R367" s="359">
        <f t="shared" ca="1" si="165"/>
        <v>0</v>
      </c>
      <c r="S367" s="360">
        <f t="shared" ca="1" si="166"/>
        <v>0.42898953648292248</v>
      </c>
      <c r="T367" s="357">
        <f t="shared" ca="1" si="146"/>
        <v>4.2083873528974696</v>
      </c>
      <c r="U367" s="364">
        <f t="shared" ca="1" si="147"/>
        <v>0</v>
      </c>
      <c r="V367" s="359">
        <f t="shared" ca="1" si="148"/>
        <v>1.2256186373049927</v>
      </c>
      <c r="W367" s="357">
        <f t="shared" ca="1" si="149"/>
        <v>3.389667960641134</v>
      </c>
      <c r="X367" s="343"/>
      <c r="Y367" s="367" t="str">
        <f t="shared" ca="1" si="167"/>
        <v/>
      </c>
      <c r="Z367" s="368" t="str">
        <f t="shared" ca="1" si="168"/>
        <v/>
      </c>
      <c r="AA367" s="369" t="str">
        <f t="shared" ca="1" si="169"/>
        <v/>
      </c>
      <c r="AB367" s="344"/>
      <c r="AC367" s="363" t="e">
        <f t="shared" ca="1" si="170"/>
        <v>#N/A</v>
      </c>
      <c r="AD367" s="376" t="e">
        <f t="shared" ca="1" si="171"/>
        <v>#N/A</v>
      </c>
      <c r="AE367" s="377" t="e">
        <f t="shared" ca="1" si="150"/>
        <v>#N/A</v>
      </c>
      <c r="AF367" s="344"/>
      <c r="AG367" s="359">
        <f t="shared" ca="1" si="172"/>
        <v>1.8690621237434746</v>
      </c>
      <c r="AH367" s="357">
        <f t="shared" ca="1" si="173"/>
        <v>-7.901459499588273</v>
      </c>
    </row>
    <row r="368" spans="1:34">
      <c r="A368" s="402">
        <f t="shared" ca="1" si="151"/>
        <v>1E-4</v>
      </c>
      <c r="B368" s="357">
        <f t="shared" ca="1" si="152"/>
        <v>16.90149999999997</v>
      </c>
      <c r="C368" s="342"/>
      <c r="D368" s="359">
        <f t="shared" ca="1" si="153"/>
        <v>-0.70815063325943539</v>
      </c>
      <c r="E368" s="360">
        <f t="shared" ca="1" si="154"/>
        <v>-1.9402803173769181</v>
      </c>
      <c r="F368" s="357">
        <f t="shared" ca="1" si="155"/>
        <v>2.065469687355884</v>
      </c>
      <c r="G368" s="359">
        <f t="shared" ca="1" si="156"/>
        <v>5.0199638611416235</v>
      </c>
      <c r="H368" s="360">
        <f t="shared" ca="1" si="157"/>
        <v>-55.788134959388813</v>
      </c>
      <c r="I368" s="357">
        <f t="shared" ca="1" si="158"/>
        <v>56.013534430654779</v>
      </c>
      <c r="J368" s="359">
        <f t="shared" ca="1" si="159"/>
        <v>184.26379383972827</v>
      </c>
      <c r="K368" s="360">
        <f t="shared" ca="1" si="160"/>
        <v>-5.0544043988921388</v>
      </c>
      <c r="L368" s="357">
        <f t="shared" ca="1" si="145"/>
        <v>184.3331026268408</v>
      </c>
      <c r="M368" s="359">
        <f t="shared" ca="1" si="161"/>
        <v>-1.481055369645826</v>
      </c>
      <c r="N368" s="357">
        <f t="shared" ca="1" si="162"/>
        <v>-84.858221905893885</v>
      </c>
      <c r="O368" s="343"/>
      <c r="P368" s="363">
        <f t="shared" ca="1" si="163"/>
        <v>23</v>
      </c>
      <c r="Q368" s="357">
        <f t="shared" ca="1" si="164"/>
        <v>0</v>
      </c>
      <c r="R368" s="359">
        <f t="shared" ca="1" si="165"/>
        <v>0</v>
      </c>
      <c r="S368" s="360">
        <f t="shared" ca="1" si="166"/>
        <v>0.42898953648292248</v>
      </c>
      <c r="T368" s="357">
        <f t="shared" ca="1" si="146"/>
        <v>4.2083873528974696</v>
      </c>
      <c r="U368" s="364">
        <f t="shared" ca="1" si="147"/>
        <v>0</v>
      </c>
      <c r="V368" s="359">
        <f t="shared" ca="1" si="148"/>
        <v>1.2256193210538173</v>
      </c>
      <c r="W368" s="357">
        <f t="shared" ca="1" si="149"/>
        <v>3.3896924724487998</v>
      </c>
      <c r="X368" s="343"/>
      <c r="Y368" s="367" t="str">
        <f t="shared" ca="1" si="167"/>
        <v/>
      </c>
      <c r="Z368" s="368" t="str">
        <f t="shared" ca="1" si="168"/>
        <v/>
      </c>
      <c r="AA368" s="369" t="str">
        <f t="shared" ca="1" si="169"/>
        <v/>
      </c>
      <c r="AB368" s="344"/>
      <c r="AC368" s="363" t="e">
        <f t="shared" ca="1" si="170"/>
        <v>#N/A</v>
      </c>
      <c r="AD368" s="376" t="e">
        <f t="shared" ca="1" si="171"/>
        <v>#N/A</v>
      </c>
      <c r="AE368" s="377" t="e">
        <f t="shared" ca="1" si="150"/>
        <v>#N/A</v>
      </c>
      <c r="AF368" s="344"/>
      <c r="AG368" s="359">
        <f t="shared" ca="1" si="172"/>
        <v>1.8690063639775083</v>
      </c>
      <c r="AH368" s="357">
        <f t="shared" ca="1" si="173"/>
        <v>-7.9015166393832832</v>
      </c>
    </row>
    <row r="369" spans="1:34">
      <c r="A369" s="402">
        <f t="shared" ca="1" si="151"/>
        <v>1E-4</v>
      </c>
      <c r="B369" s="357">
        <f t="shared" ca="1" si="152"/>
        <v>16.90159999999997</v>
      </c>
      <c r="C369" s="342"/>
      <c r="D369" s="359">
        <f t="shared" ca="1" si="153"/>
        <v>-0.70814340166475997</v>
      </c>
      <c r="E369" s="360">
        <f t="shared" ca="1" si="154"/>
        <v>-1.9402222973194823</v>
      </c>
      <c r="F369" s="357">
        <f t="shared" ca="1" si="155"/>
        <v>2.0654127046033746</v>
      </c>
      <c r="G369" s="359">
        <f t="shared" ca="1" si="156"/>
        <v>5.0198930468014566</v>
      </c>
      <c r="H369" s="360">
        <f t="shared" ca="1" si="157"/>
        <v>-55.788328981618548</v>
      </c>
      <c r="I369" s="357">
        <f t="shared" ca="1" si="158"/>
        <v>56.013721325784324</v>
      </c>
      <c r="J369" s="359">
        <f t="shared" ca="1" si="159"/>
        <v>184.26379383972827</v>
      </c>
      <c r="K369" s="360">
        <f t="shared" ca="1" si="160"/>
        <v>-5.0599832220891887</v>
      </c>
      <c r="L369" s="357">
        <f t="shared" ca="1" si="145"/>
        <v>184.33325568224987</v>
      </c>
      <c r="M369" s="359">
        <f t="shared" ca="1" si="161"/>
        <v>-1.4810569392212654</v>
      </c>
      <c r="N369" s="357">
        <f t="shared" ca="1" si="162"/>
        <v>-84.858311835942189</v>
      </c>
      <c r="O369" s="343"/>
      <c r="P369" s="363">
        <f t="shared" ca="1" si="163"/>
        <v>23</v>
      </c>
      <c r="Q369" s="357">
        <f t="shared" ca="1" si="164"/>
        <v>0</v>
      </c>
      <c r="R369" s="359">
        <f t="shared" ca="1" si="165"/>
        <v>0</v>
      </c>
      <c r="S369" s="360">
        <f t="shared" ca="1" si="166"/>
        <v>0.42898953648292248</v>
      </c>
      <c r="T369" s="357">
        <f t="shared" ca="1" si="146"/>
        <v>4.2083873528974696</v>
      </c>
      <c r="U369" s="364">
        <f t="shared" ca="1" si="147"/>
        <v>0</v>
      </c>
      <c r="V369" s="359">
        <f t="shared" ca="1" si="148"/>
        <v>1.2256200048054018</v>
      </c>
      <c r="W369" s="357">
        <f t="shared" ca="1" si="149"/>
        <v>3.3897169836899619</v>
      </c>
      <c r="X369" s="343"/>
      <c r="Y369" s="367" t="str">
        <f t="shared" ca="1" si="167"/>
        <v/>
      </c>
      <c r="Z369" s="368" t="str">
        <f t="shared" ca="1" si="168"/>
        <v/>
      </c>
      <c r="AA369" s="369" t="str">
        <f t="shared" ca="1" si="169"/>
        <v/>
      </c>
      <c r="AB369" s="344"/>
      <c r="AC369" s="363" t="e">
        <f t="shared" ca="1" si="170"/>
        <v>#N/A</v>
      </c>
      <c r="AD369" s="376" t="e">
        <f t="shared" ca="1" si="171"/>
        <v>#N/A</v>
      </c>
      <c r="AE369" s="377" t="e">
        <f t="shared" ca="1" si="150"/>
        <v>#N/A</v>
      </c>
      <c r="AF369" s="344"/>
      <c r="AG369" s="359">
        <f t="shared" ca="1" si="172"/>
        <v>1.8689506054793679</v>
      </c>
      <c r="AH369" s="357">
        <f t="shared" ca="1" si="173"/>
        <v>-7.901573777857724</v>
      </c>
    </row>
    <row r="370" spans="1:34">
      <c r="A370" s="402">
        <f t="shared" ca="1" si="151"/>
        <v>1E-4</v>
      </c>
      <c r="B370" s="357">
        <f t="shared" ca="1" si="152"/>
        <v>16.90169999999997</v>
      </c>
      <c r="C370" s="342"/>
      <c r="D370" s="359">
        <f t="shared" ca="1" si="153"/>
        <v>-0.70813617002802876</v>
      </c>
      <c r="E370" s="360">
        <f t="shared" ca="1" si="154"/>
        <v>-1.9401642786036968</v>
      </c>
      <c r="F370" s="357">
        <f t="shared" ca="1" si="155"/>
        <v>2.0653557231798518</v>
      </c>
      <c r="G370" s="359">
        <f t="shared" ca="1" si="156"/>
        <v>5.0198222331844535</v>
      </c>
      <c r="H370" s="360">
        <f t="shared" ca="1" si="157"/>
        <v>-55.78852299804641</v>
      </c>
      <c r="I370" s="357">
        <f t="shared" ca="1" si="158"/>
        <v>56.013908215338148</v>
      </c>
      <c r="J370" s="359">
        <f t="shared" ca="1" si="159"/>
        <v>184.26379383972827</v>
      </c>
      <c r="K370" s="360">
        <f t="shared" ca="1" si="160"/>
        <v>-5.0655620646881721</v>
      </c>
      <c r="L370" s="357">
        <f t="shared" ca="1" si="145"/>
        <v>184.33340890690729</v>
      </c>
      <c r="M370" s="359">
        <f t="shared" ca="1" si="161"/>
        <v>-1.4810585087640897</v>
      </c>
      <c r="N370" s="357">
        <f t="shared" ca="1" si="162"/>
        <v>-84.858401764121794</v>
      </c>
      <c r="O370" s="343"/>
      <c r="P370" s="363">
        <f t="shared" ca="1" si="163"/>
        <v>23</v>
      </c>
      <c r="Q370" s="357">
        <f t="shared" ca="1" si="164"/>
        <v>0</v>
      </c>
      <c r="R370" s="359">
        <f t="shared" ca="1" si="165"/>
        <v>0</v>
      </c>
      <c r="S370" s="360">
        <f t="shared" ca="1" si="166"/>
        <v>0.42898953648292248</v>
      </c>
      <c r="T370" s="357">
        <f t="shared" ca="1" si="146"/>
        <v>4.2083873528974696</v>
      </c>
      <c r="U370" s="364">
        <f t="shared" ca="1" si="147"/>
        <v>0</v>
      </c>
      <c r="V370" s="359">
        <f t="shared" ca="1" si="148"/>
        <v>1.2256206885597454</v>
      </c>
      <c r="W370" s="357">
        <f t="shared" ca="1" si="149"/>
        <v>3.3897414943646269</v>
      </c>
      <c r="X370" s="343"/>
      <c r="Y370" s="367" t="str">
        <f t="shared" ca="1" si="167"/>
        <v/>
      </c>
      <c r="Z370" s="368" t="str">
        <f t="shared" ca="1" si="168"/>
        <v/>
      </c>
      <c r="AA370" s="369" t="str">
        <f t="shared" ca="1" si="169"/>
        <v/>
      </c>
      <c r="AB370" s="344"/>
      <c r="AC370" s="363" t="e">
        <f t="shared" ca="1" si="170"/>
        <v>#N/A</v>
      </c>
      <c r="AD370" s="376" t="e">
        <f t="shared" ca="1" si="171"/>
        <v>#N/A</v>
      </c>
      <c r="AE370" s="377" t="e">
        <f t="shared" ca="1" si="150"/>
        <v>#N/A</v>
      </c>
      <c r="AF370" s="344"/>
      <c r="AG370" s="359">
        <f t="shared" ca="1" si="172"/>
        <v>1.8688948482490355</v>
      </c>
      <c r="AH370" s="357">
        <f t="shared" ca="1" si="173"/>
        <v>-7.9016309150116113</v>
      </c>
    </row>
    <row r="371" spans="1:34">
      <c r="A371" s="402">
        <f t="shared" ca="1" si="151"/>
        <v>1E-4</v>
      </c>
      <c r="B371" s="357">
        <f t="shared" ca="1" si="152"/>
        <v>16.90179999999997</v>
      </c>
      <c r="C371" s="342"/>
      <c r="D371" s="359">
        <f t="shared" ca="1" si="153"/>
        <v>-0.70812893834924595</v>
      </c>
      <c r="E371" s="360">
        <f t="shared" ca="1" si="154"/>
        <v>-1.9401062612295465</v>
      </c>
      <c r="F371" s="357">
        <f t="shared" ca="1" si="155"/>
        <v>2.0652987430852998</v>
      </c>
      <c r="G371" s="359">
        <f t="shared" ca="1" si="156"/>
        <v>5.0197514202906186</v>
      </c>
      <c r="H371" s="360">
        <f t="shared" ca="1" si="157"/>
        <v>-55.788717008672535</v>
      </c>
      <c r="I371" s="357">
        <f t="shared" ca="1" si="158"/>
        <v>56.014095099316371</v>
      </c>
      <c r="J371" s="359">
        <f t="shared" ca="1" si="159"/>
        <v>184.26379383972827</v>
      </c>
      <c r="K371" s="360">
        <f t="shared" ca="1" si="160"/>
        <v>-5.0711409266885079</v>
      </c>
      <c r="L371" s="357">
        <f t="shared" ca="1" si="145"/>
        <v>184.33356230081438</v>
      </c>
      <c r="M371" s="359">
        <f t="shared" ca="1" si="161"/>
        <v>-1.4810600782743002</v>
      </c>
      <c r="N371" s="357">
        <f t="shared" ca="1" si="162"/>
        <v>-84.858491690432757</v>
      </c>
      <c r="O371" s="343"/>
      <c r="P371" s="363">
        <f t="shared" ca="1" si="163"/>
        <v>23</v>
      </c>
      <c r="Q371" s="357">
        <f t="shared" ca="1" si="164"/>
        <v>0</v>
      </c>
      <c r="R371" s="359">
        <f t="shared" ca="1" si="165"/>
        <v>0</v>
      </c>
      <c r="S371" s="360">
        <f t="shared" ca="1" si="166"/>
        <v>0.42898953648292248</v>
      </c>
      <c r="T371" s="357">
        <f t="shared" ca="1" si="146"/>
        <v>4.2083873528974696</v>
      </c>
      <c r="U371" s="364">
        <f t="shared" ca="1" si="147"/>
        <v>0</v>
      </c>
      <c r="V371" s="359">
        <f t="shared" ca="1" si="148"/>
        <v>1.2256213723168485</v>
      </c>
      <c r="W371" s="357">
        <f t="shared" ca="1" si="149"/>
        <v>3.3897660044728024</v>
      </c>
      <c r="X371" s="343"/>
      <c r="Y371" s="367" t="str">
        <f t="shared" ca="1" si="167"/>
        <v/>
      </c>
      <c r="Z371" s="368" t="str">
        <f t="shared" ca="1" si="168"/>
        <v/>
      </c>
      <c r="AA371" s="369" t="str">
        <f t="shared" ca="1" si="169"/>
        <v/>
      </c>
      <c r="AB371" s="344"/>
      <c r="AC371" s="363" t="e">
        <f t="shared" ca="1" si="170"/>
        <v>#N/A</v>
      </c>
      <c r="AD371" s="376" t="e">
        <f t="shared" ca="1" si="171"/>
        <v>#N/A</v>
      </c>
      <c r="AE371" s="377" t="e">
        <f t="shared" ca="1" si="150"/>
        <v>#N/A</v>
      </c>
      <c r="AF371" s="344"/>
      <c r="AG371" s="359">
        <f t="shared" ca="1" si="172"/>
        <v>1.8688390922864944</v>
      </c>
      <c r="AH371" s="357">
        <f t="shared" ca="1" si="173"/>
        <v>-7.9016880508449603</v>
      </c>
    </row>
    <row r="372" spans="1:34">
      <c r="A372" s="402">
        <f t="shared" ca="1" si="151"/>
        <v>1E-4</v>
      </c>
      <c r="B372" s="357">
        <f t="shared" ca="1" si="152"/>
        <v>16.901899999999969</v>
      </c>
      <c r="C372" s="342"/>
      <c r="D372" s="359">
        <f t="shared" ca="1" si="153"/>
        <v>-0.70812170662841656</v>
      </c>
      <c r="E372" s="360">
        <f t="shared" ca="1" si="154"/>
        <v>-1.9400482451970102</v>
      </c>
      <c r="F372" s="357">
        <f t="shared" ca="1" si="155"/>
        <v>2.0652417643196981</v>
      </c>
      <c r="G372" s="359">
        <f t="shared" ca="1" si="156"/>
        <v>5.0196806081199554</v>
      </c>
      <c r="H372" s="360">
        <f t="shared" ca="1" si="157"/>
        <v>-55.788911013497057</v>
      </c>
      <c r="I372" s="357">
        <f t="shared" ca="1" si="158"/>
        <v>56.014281977719115</v>
      </c>
      <c r="J372" s="359">
        <f t="shared" ca="1" si="159"/>
        <v>184.26379383972827</v>
      </c>
      <c r="K372" s="360">
        <f t="shared" ca="1" si="160"/>
        <v>-5.0767198080896163</v>
      </c>
      <c r="L372" s="357">
        <f t="shared" ca="1" si="145"/>
        <v>184.33371586397246</v>
      </c>
      <c r="M372" s="359">
        <f t="shared" ca="1" si="161"/>
        <v>-1.4810616477518974</v>
      </c>
      <c r="N372" s="357">
        <f t="shared" ca="1" si="162"/>
        <v>-84.858581614875106</v>
      </c>
      <c r="O372" s="343"/>
      <c r="P372" s="363">
        <f t="shared" ca="1" si="163"/>
        <v>23</v>
      </c>
      <c r="Q372" s="357">
        <f t="shared" ca="1" si="164"/>
        <v>0</v>
      </c>
      <c r="R372" s="359">
        <f t="shared" ca="1" si="165"/>
        <v>0</v>
      </c>
      <c r="S372" s="360">
        <f t="shared" ca="1" si="166"/>
        <v>0.42898953648292248</v>
      </c>
      <c r="T372" s="357">
        <f t="shared" ca="1" si="146"/>
        <v>4.2083873528974696</v>
      </c>
      <c r="U372" s="364">
        <f t="shared" ca="1" si="147"/>
        <v>0</v>
      </c>
      <c r="V372" s="359">
        <f t="shared" ca="1" si="148"/>
        <v>1.2256220560767115</v>
      </c>
      <c r="W372" s="357">
        <f t="shared" ca="1" si="149"/>
        <v>3.3897905140144977</v>
      </c>
      <c r="X372" s="343"/>
      <c r="Y372" s="367" t="str">
        <f t="shared" ca="1" si="167"/>
        <v/>
      </c>
      <c r="Z372" s="368" t="str">
        <f t="shared" ca="1" si="168"/>
        <v/>
      </c>
      <c r="AA372" s="369" t="str">
        <f t="shared" ca="1" si="169"/>
        <v/>
      </c>
      <c r="AB372" s="344"/>
      <c r="AC372" s="363" t="e">
        <f t="shared" ca="1" si="170"/>
        <v>#N/A</v>
      </c>
      <c r="AD372" s="376" t="e">
        <f t="shared" ca="1" si="171"/>
        <v>#N/A</v>
      </c>
      <c r="AE372" s="377" t="e">
        <f t="shared" ca="1" si="150"/>
        <v>#N/A</v>
      </c>
      <c r="AF372" s="344"/>
      <c r="AG372" s="359">
        <f t="shared" ca="1" si="172"/>
        <v>1.8687833375917311</v>
      </c>
      <c r="AH372" s="357">
        <f t="shared" ca="1" si="173"/>
        <v>-7.9017451853577896</v>
      </c>
    </row>
    <row r="373" spans="1:34">
      <c r="A373" s="402">
        <f t="shared" ca="1" si="151"/>
        <v>1E-4</v>
      </c>
      <c r="B373" s="357">
        <f t="shared" ca="1" si="152"/>
        <v>16.901999999999969</v>
      </c>
      <c r="C373" s="342"/>
      <c r="D373" s="359">
        <f t="shared" ca="1" si="153"/>
        <v>-0.70811447486554879</v>
      </c>
      <c r="E373" s="360">
        <f t="shared" ca="1" si="154"/>
        <v>-1.9399902305060692</v>
      </c>
      <c r="F373" s="357">
        <f t="shared" ca="1" si="155"/>
        <v>2.0651847868830293</v>
      </c>
      <c r="G373" s="359">
        <f t="shared" ca="1" si="156"/>
        <v>5.0196097966724684</v>
      </c>
      <c r="H373" s="360">
        <f t="shared" ca="1" si="157"/>
        <v>-55.78910501252011</v>
      </c>
      <c r="I373" s="357">
        <f t="shared" ca="1" si="158"/>
        <v>56.014468850546521</v>
      </c>
      <c r="J373" s="359">
        <f t="shared" ca="1" si="159"/>
        <v>184.26379383972827</v>
      </c>
      <c r="K373" s="360">
        <f t="shared" ca="1" si="160"/>
        <v>-5.0822987088909173</v>
      </c>
      <c r="L373" s="357">
        <f t="shared" ca="1" si="145"/>
        <v>184.33386959638284</v>
      </c>
      <c r="M373" s="359">
        <f t="shared" ca="1" si="161"/>
        <v>-1.4810632171968825</v>
      </c>
      <c r="N373" s="357">
        <f t="shared" ca="1" si="162"/>
        <v>-84.858671537448942</v>
      </c>
      <c r="O373" s="343"/>
      <c r="P373" s="363">
        <f t="shared" ca="1" si="163"/>
        <v>23</v>
      </c>
      <c r="Q373" s="357">
        <f t="shared" ca="1" si="164"/>
        <v>0</v>
      </c>
      <c r="R373" s="359">
        <f t="shared" ca="1" si="165"/>
        <v>0</v>
      </c>
      <c r="S373" s="360">
        <f t="shared" ca="1" si="166"/>
        <v>0.42898953648292248</v>
      </c>
      <c r="T373" s="357">
        <f t="shared" ca="1" si="146"/>
        <v>4.2083873528974696</v>
      </c>
      <c r="U373" s="364">
        <f t="shared" ca="1" si="147"/>
        <v>0</v>
      </c>
      <c r="V373" s="359">
        <f t="shared" ca="1" si="148"/>
        <v>1.2256227398393331</v>
      </c>
      <c r="W373" s="357">
        <f t="shared" ca="1" si="149"/>
        <v>3.3898150229897177</v>
      </c>
      <c r="X373" s="343"/>
      <c r="Y373" s="367" t="str">
        <f t="shared" ca="1" si="167"/>
        <v/>
      </c>
      <c r="Z373" s="368" t="str">
        <f t="shared" ca="1" si="168"/>
        <v/>
      </c>
      <c r="AA373" s="369" t="str">
        <f t="shared" ca="1" si="169"/>
        <v/>
      </c>
      <c r="AB373" s="344"/>
      <c r="AC373" s="363" t="e">
        <f t="shared" ca="1" si="170"/>
        <v>#N/A</v>
      </c>
      <c r="AD373" s="376" t="e">
        <f t="shared" ca="1" si="171"/>
        <v>#N/A</v>
      </c>
      <c r="AE373" s="377" t="e">
        <f t="shared" ca="1" si="150"/>
        <v>#N/A</v>
      </c>
      <c r="AF373" s="344"/>
      <c r="AG373" s="359">
        <f t="shared" ca="1" si="172"/>
        <v>1.8687275841647315</v>
      </c>
      <c r="AH373" s="357">
        <f t="shared" ca="1" si="173"/>
        <v>-7.9018023185501187</v>
      </c>
    </row>
    <row r="374" spans="1:34">
      <c r="A374" s="402">
        <f t="shared" ca="1" si="151"/>
        <v>1E-4</v>
      </c>
      <c r="B374" s="357">
        <f t="shared" ca="1" si="152"/>
        <v>16.902099999999969</v>
      </c>
      <c r="C374" s="342"/>
      <c r="D374" s="359">
        <f t="shared" ca="1" si="153"/>
        <v>-0.70810724306064721</v>
      </c>
      <c r="E374" s="360">
        <f t="shared" ca="1" si="154"/>
        <v>-1.9399322171567102</v>
      </c>
      <c r="F374" s="357">
        <f t="shared" ca="1" si="155"/>
        <v>2.0651278107752797</v>
      </c>
      <c r="G374" s="359">
        <f t="shared" ca="1" si="156"/>
        <v>5.0195389859481621</v>
      </c>
      <c r="H374" s="360">
        <f t="shared" ca="1" si="157"/>
        <v>-55.789299005741825</v>
      </c>
      <c r="I374" s="357">
        <f t="shared" ca="1" si="158"/>
        <v>56.014655717798711</v>
      </c>
      <c r="J374" s="359">
        <f t="shared" ca="1" si="159"/>
        <v>184.26379383972827</v>
      </c>
      <c r="K374" s="360">
        <f t="shared" ca="1" si="160"/>
        <v>-5.0878776290918299</v>
      </c>
      <c r="L374" s="357">
        <f t="shared" ca="1" si="145"/>
        <v>184.33402349804686</v>
      </c>
      <c r="M374" s="359">
        <f t="shared" ca="1" si="161"/>
        <v>-1.4810647866092563</v>
      </c>
      <c r="N374" s="357">
        <f t="shared" ca="1" si="162"/>
        <v>-84.858761458154277</v>
      </c>
      <c r="O374" s="343"/>
      <c r="P374" s="363">
        <f t="shared" ca="1" si="163"/>
        <v>23</v>
      </c>
      <c r="Q374" s="357">
        <f t="shared" ca="1" si="164"/>
        <v>0</v>
      </c>
      <c r="R374" s="359">
        <f t="shared" ca="1" si="165"/>
        <v>0</v>
      </c>
      <c r="S374" s="360">
        <f t="shared" ca="1" si="166"/>
        <v>0.42898953648292248</v>
      </c>
      <c r="T374" s="357">
        <f t="shared" ca="1" si="146"/>
        <v>4.2083873528974696</v>
      </c>
      <c r="U374" s="364">
        <f t="shared" ca="1" si="147"/>
        <v>0</v>
      </c>
      <c r="V374" s="359">
        <f t="shared" ca="1" si="148"/>
        <v>1.2256234236047145</v>
      </c>
      <c r="W374" s="357">
        <f t="shared" ca="1" si="149"/>
        <v>3.389839531398473</v>
      </c>
      <c r="X374" s="343"/>
      <c r="Y374" s="367" t="str">
        <f t="shared" ca="1" si="167"/>
        <v/>
      </c>
      <c r="Z374" s="368" t="str">
        <f t="shared" ca="1" si="168"/>
        <v/>
      </c>
      <c r="AA374" s="369" t="str">
        <f t="shared" ca="1" si="169"/>
        <v/>
      </c>
      <c r="AB374" s="344"/>
      <c r="AC374" s="363" t="e">
        <f t="shared" ca="1" si="170"/>
        <v>#N/A</v>
      </c>
      <c r="AD374" s="376" t="e">
        <f t="shared" ca="1" si="171"/>
        <v>#N/A</v>
      </c>
      <c r="AE374" s="377" t="e">
        <f t="shared" ca="1" si="150"/>
        <v>#N/A</v>
      </c>
      <c r="AF374" s="344"/>
      <c r="AG374" s="359">
        <f t="shared" ca="1" si="172"/>
        <v>1.8686718320054787</v>
      </c>
      <c r="AH374" s="357">
        <f t="shared" ca="1" si="173"/>
        <v>-7.901859450421961</v>
      </c>
    </row>
    <row r="375" spans="1:34">
      <c r="A375" s="402">
        <f t="shared" ca="1" si="151"/>
        <v>1E-4</v>
      </c>
      <c r="B375" s="357">
        <f t="shared" ca="1" si="152"/>
        <v>16.902199999999969</v>
      </c>
      <c r="C375" s="342"/>
      <c r="D375" s="359">
        <f t="shared" ca="1" si="153"/>
        <v>-0.70810001121371857</v>
      </c>
      <c r="E375" s="360">
        <f t="shared" ca="1" si="154"/>
        <v>-1.9398742051489082</v>
      </c>
      <c r="F375" s="357">
        <f t="shared" ca="1" si="155"/>
        <v>2.0650708359964258</v>
      </c>
      <c r="G375" s="359">
        <f t="shared" ca="1" si="156"/>
        <v>5.0194681759470408</v>
      </c>
      <c r="H375" s="360">
        <f t="shared" ca="1" si="157"/>
        <v>-55.789492993162341</v>
      </c>
      <c r="I375" s="357">
        <f t="shared" ca="1" si="158"/>
        <v>56.014842579475804</v>
      </c>
      <c r="J375" s="359">
        <f t="shared" ca="1" si="159"/>
        <v>184.26379383972827</v>
      </c>
      <c r="K375" s="360">
        <f t="shared" ca="1" si="160"/>
        <v>-5.0934565686917752</v>
      </c>
      <c r="L375" s="357">
        <f t="shared" ca="1" si="145"/>
        <v>184.33417756896583</v>
      </c>
      <c r="M375" s="359">
        <f t="shared" ca="1" si="161"/>
        <v>-1.4810663559890196</v>
      </c>
      <c r="N375" s="357">
        <f t="shared" ca="1" si="162"/>
        <v>-84.858851376991154</v>
      </c>
      <c r="O375" s="343"/>
      <c r="P375" s="363">
        <f t="shared" ca="1" si="163"/>
        <v>23</v>
      </c>
      <c r="Q375" s="357">
        <f t="shared" ca="1" si="164"/>
        <v>0</v>
      </c>
      <c r="R375" s="359">
        <f t="shared" ca="1" si="165"/>
        <v>0</v>
      </c>
      <c r="S375" s="360">
        <f t="shared" ca="1" si="166"/>
        <v>0.42898953648292248</v>
      </c>
      <c r="T375" s="357">
        <f t="shared" ca="1" si="146"/>
        <v>4.2083873528974696</v>
      </c>
      <c r="U375" s="364">
        <f t="shared" ca="1" si="147"/>
        <v>0</v>
      </c>
      <c r="V375" s="359">
        <f t="shared" ca="1" si="148"/>
        <v>1.2256241073728547</v>
      </c>
      <c r="W375" s="357">
        <f t="shared" ca="1" si="149"/>
        <v>3.3898640392407682</v>
      </c>
      <c r="X375" s="343"/>
      <c r="Y375" s="367" t="str">
        <f t="shared" ca="1" si="167"/>
        <v/>
      </c>
      <c r="Z375" s="368" t="str">
        <f t="shared" ca="1" si="168"/>
        <v/>
      </c>
      <c r="AA375" s="369" t="str">
        <f t="shared" ca="1" si="169"/>
        <v/>
      </c>
      <c r="AB375" s="344"/>
      <c r="AC375" s="363" t="e">
        <f t="shared" ca="1" si="170"/>
        <v>#N/A</v>
      </c>
      <c r="AD375" s="376" t="e">
        <f t="shared" ca="1" si="171"/>
        <v>#N/A</v>
      </c>
      <c r="AE375" s="377" t="e">
        <f t="shared" ca="1" si="150"/>
        <v>#N/A</v>
      </c>
      <c r="AF375" s="344"/>
      <c r="AG375" s="359">
        <f t="shared" ca="1" si="172"/>
        <v>1.8686160811139576</v>
      </c>
      <c r="AH375" s="357">
        <f t="shared" ca="1" si="173"/>
        <v>-7.9019165809733405</v>
      </c>
    </row>
    <row r="376" spans="1:34">
      <c r="A376" s="402">
        <f t="shared" ca="1" si="151"/>
        <v>1E-4</v>
      </c>
      <c r="B376" s="357">
        <f t="shared" ca="1" si="152"/>
        <v>16.902299999999968</v>
      </c>
      <c r="C376" s="342"/>
      <c r="D376" s="359">
        <f t="shared" ca="1" si="153"/>
        <v>-0.70809277932477066</v>
      </c>
      <c r="E376" s="360">
        <f t="shared" ca="1" si="154"/>
        <v>-1.9398161944826526</v>
      </c>
      <c r="F376" s="357">
        <f t="shared" ca="1" si="155"/>
        <v>2.0650138625464574</v>
      </c>
      <c r="G376" s="359">
        <f t="shared" ca="1" si="156"/>
        <v>5.0193973666691081</v>
      </c>
      <c r="H376" s="360">
        <f t="shared" ca="1" si="157"/>
        <v>-55.789686974781787</v>
      </c>
      <c r="I376" s="357">
        <f t="shared" ca="1" si="158"/>
        <v>56.015029435577929</v>
      </c>
      <c r="J376" s="359">
        <f t="shared" ca="1" si="159"/>
        <v>184.26379383972827</v>
      </c>
      <c r="K376" s="360">
        <f t="shared" ca="1" si="160"/>
        <v>-5.0990355276901722</v>
      </c>
      <c r="L376" s="357">
        <f t="shared" ca="1" si="145"/>
        <v>184.3343318091411</v>
      </c>
      <c r="M376" s="359">
        <f t="shared" ca="1" si="161"/>
        <v>-1.4810679253361738</v>
      </c>
      <c r="N376" s="357">
        <f t="shared" ca="1" si="162"/>
        <v>-84.858941293959688</v>
      </c>
      <c r="O376" s="343"/>
      <c r="P376" s="363">
        <f t="shared" ca="1" si="163"/>
        <v>23</v>
      </c>
      <c r="Q376" s="357">
        <f t="shared" ca="1" si="164"/>
        <v>0</v>
      </c>
      <c r="R376" s="359">
        <f t="shared" ca="1" si="165"/>
        <v>0</v>
      </c>
      <c r="S376" s="360">
        <f t="shared" ca="1" si="166"/>
        <v>0.42898953648292248</v>
      </c>
      <c r="T376" s="357">
        <f t="shared" ca="1" si="146"/>
        <v>4.2083873528974696</v>
      </c>
      <c r="U376" s="364">
        <f t="shared" ca="1" si="147"/>
        <v>0</v>
      </c>
      <c r="V376" s="359">
        <f t="shared" ca="1" si="148"/>
        <v>1.2256247911437543</v>
      </c>
      <c r="W376" s="357">
        <f t="shared" ca="1" si="149"/>
        <v>3.3898885465166133</v>
      </c>
      <c r="X376" s="343"/>
      <c r="Y376" s="367" t="str">
        <f t="shared" ca="1" si="167"/>
        <v/>
      </c>
      <c r="Z376" s="368" t="str">
        <f t="shared" ca="1" si="168"/>
        <v/>
      </c>
      <c r="AA376" s="369" t="str">
        <f t="shared" ca="1" si="169"/>
        <v/>
      </c>
      <c r="AB376" s="344"/>
      <c r="AC376" s="363" t="e">
        <f t="shared" ca="1" si="170"/>
        <v>#N/A</v>
      </c>
      <c r="AD376" s="376" t="e">
        <f t="shared" ca="1" si="171"/>
        <v>#N/A</v>
      </c>
      <c r="AE376" s="377" t="e">
        <f t="shared" ca="1" si="150"/>
        <v>#N/A</v>
      </c>
      <c r="AF376" s="344"/>
      <c r="AG376" s="359">
        <f t="shared" ca="1" si="172"/>
        <v>1.8685603314901558</v>
      </c>
      <c r="AH376" s="357">
        <f t="shared" ca="1" si="173"/>
        <v>-7.9019737102042678</v>
      </c>
    </row>
    <row r="377" spans="1:34">
      <c r="A377" s="402">
        <f t="shared" ca="1" si="151"/>
        <v>1E-4</v>
      </c>
      <c r="B377" s="357">
        <f t="shared" ca="1" si="152"/>
        <v>16.902399999999968</v>
      </c>
      <c r="C377" s="342"/>
      <c r="D377" s="359">
        <f t="shared" ca="1" si="153"/>
        <v>-0.70808554739380503</v>
      </c>
      <c r="E377" s="360">
        <f t="shared" ca="1" si="154"/>
        <v>-1.9397581851579195</v>
      </c>
      <c r="F377" s="357">
        <f t="shared" ca="1" si="155"/>
        <v>2.0649568904253499</v>
      </c>
      <c r="G377" s="359">
        <f t="shared" ca="1" si="156"/>
        <v>5.0193265581143685</v>
      </c>
      <c r="H377" s="360">
        <f t="shared" ca="1" si="157"/>
        <v>-55.789880950600306</v>
      </c>
      <c r="I377" s="357">
        <f t="shared" ca="1" si="158"/>
        <v>56.015216286105215</v>
      </c>
      <c r="J377" s="359">
        <f t="shared" ca="1" si="159"/>
        <v>184.26379383972827</v>
      </c>
      <c r="K377" s="360">
        <f t="shared" ca="1" si="160"/>
        <v>-5.104614506086441</v>
      </c>
      <c r="L377" s="357">
        <f t="shared" ca="1" si="145"/>
        <v>184.33448621857397</v>
      </c>
      <c r="M377" s="359">
        <f t="shared" ca="1" si="161"/>
        <v>-1.4810694946507192</v>
      </c>
      <c r="N377" s="357">
        <f t="shared" ca="1" si="162"/>
        <v>-84.859031209059864</v>
      </c>
      <c r="O377" s="343"/>
      <c r="P377" s="363">
        <f t="shared" ca="1" si="163"/>
        <v>23</v>
      </c>
      <c r="Q377" s="357">
        <f t="shared" ca="1" si="164"/>
        <v>0</v>
      </c>
      <c r="R377" s="359">
        <f t="shared" ca="1" si="165"/>
        <v>0</v>
      </c>
      <c r="S377" s="360">
        <f t="shared" ca="1" si="166"/>
        <v>0.42898953648292248</v>
      </c>
      <c r="T377" s="357">
        <f t="shared" ca="1" si="146"/>
        <v>4.2083873528974696</v>
      </c>
      <c r="U377" s="364">
        <f t="shared" ca="1" si="147"/>
        <v>0</v>
      </c>
      <c r="V377" s="359">
        <f t="shared" ca="1" si="148"/>
        <v>1.2256254749174125</v>
      </c>
      <c r="W377" s="357">
        <f t="shared" ca="1" si="149"/>
        <v>3.389913053226012</v>
      </c>
      <c r="X377" s="343"/>
      <c r="Y377" s="367" t="str">
        <f t="shared" ca="1" si="167"/>
        <v/>
      </c>
      <c r="Z377" s="368" t="str">
        <f t="shared" ca="1" si="168"/>
        <v/>
      </c>
      <c r="AA377" s="369" t="str">
        <f t="shared" ca="1" si="169"/>
        <v/>
      </c>
      <c r="AB377" s="344"/>
      <c r="AC377" s="363" t="e">
        <f t="shared" ca="1" si="170"/>
        <v>#N/A</v>
      </c>
      <c r="AD377" s="376" t="e">
        <f t="shared" ca="1" si="171"/>
        <v>#N/A</v>
      </c>
      <c r="AE377" s="377" t="e">
        <f t="shared" ca="1" si="150"/>
        <v>#N/A</v>
      </c>
      <c r="AF377" s="344"/>
      <c r="AG377" s="359">
        <f t="shared" ca="1" si="172"/>
        <v>1.868504583134051</v>
      </c>
      <c r="AH377" s="357">
        <f t="shared" ca="1" si="173"/>
        <v>-7.9020308381147668</v>
      </c>
    </row>
    <row r="378" spans="1:34">
      <c r="A378" s="402">
        <f t="shared" ca="1" si="151"/>
        <v>1E-4</v>
      </c>
      <c r="B378" s="357">
        <f t="shared" ca="1" si="152"/>
        <v>16.902499999999968</v>
      </c>
      <c r="C378" s="342"/>
      <c r="D378" s="359">
        <f t="shared" ca="1" si="153"/>
        <v>-0.70807831542083277</v>
      </c>
      <c r="E378" s="360">
        <f t="shared" ca="1" si="154"/>
        <v>-1.9397001771746991</v>
      </c>
      <c r="F378" s="357">
        <f t="shared" ca="1" si="155"/>
        <v>2.0648999196330955</v>
      </c>
      <c r="G378" s="359">
        <f t="shared" ca="1" si="156"/>
        <v>5.0192557502828263</v>
      </c>
      <c r="H378" s="360">
        <f t="shared" ca="1" si="157"/>
        <v>-55.790074920618025</v>
      </c>
      <c r="I378" s="357">
        <f t="shared" ca="1" si="158"/>
        <v>56.015403131057795</v>
      </c>
      <c r="J378" s="359">
        <f t="shared" ca="1" si="159"/>
        <v>184.26379383972827</v>
      </c>
      <c r="K378" s="360">
        <f t="shared" ca="1" si="160"/>
        <v>-5.1101935038800015</v>
      </c>
      <c r="L378" s="357">
        <f t="shared" ca="1" si="145"/>
        <v>184.33464079726573</v>
      </c>
      <c r="M378" s="359">
        <f t="shared" ca="1" si="161"/>
        <v>-1.4810710639326574</v>
      </c>
      <c r="N378" s="357">
        <f t="shared" ca="1" si="162"/>
        <v>-84.859121122291796</v>
      </c>
      <c r="O378" s="343"/>
      <c r="P378" s="363">
        <f t="shared" ca="1" si="163"/>
        <v>23</v>
      </c>
      <c r="Q378" s="357">
        <f t="shared" ca="1" si="164"/>
        <v>0</v>
      </c>
      <c r="R378" s="359">
        <f t="shared" ca="1" si="165"/>
        <v>0</v>
      </c>
      <c r="S378" s="360">
        <f t="shared" ca="1" si="166"/>
        <v>0.42898953648292248</v>
      </c>
      <c r="T378" s="357">
        <f t="shared" ca="1" si="146"/>
        <v>4.2083873528974696</v>
      </c>
      <c r="U378" s="364">
        <f t="shared" ca="1" si="147"/>
        <v>0</v>
      </c>
      <c r="V378" s="359">
        <f t="shared" ca="1" si="148"/>
        <v>1.2256261586938297</v>
      </c>
      <c r="W378" s="357">
        <f t="shared" ca="1" si="149"/>
        <v>3.3899375593689771</v>
      </c>
      <c r="X378" s="343"/>
      <c r="Y378" s="367" t="str">
        <f t="shared" ca="1" si="167"/>
        <v/>
      </c>
      <c r="Z378" s="368" t="str">
        <f t="shared" ca="1" si="168"/>
        <v/>
      </c>
      <c r="AA378" s="369" t="str">
        <f t="shared" ca="1" si="169"/>
        <v/>
      </c>
      <c r="AB378" s="344"/>
      <c r="AC378" s="363" t="e">
        <f t="shared" ca="1" si="170"/>
        <v>#N/A</v>
      </c>
      <c r="AD378" s="376" t="e">
        <f t="shared" ca="1" si="171"/>
        <v>#N/A</v>
      </c>
      <c r="AE378" s="377" t="e">
        <f t="shared" ca="1" si="150"/>
        <v>#N/A</v>
      </c>
      <c r="AF378" s="344"/>
      <c r="AG378" s="359">
        <f t="shared" ca="1" si="172"/>
        <v>1.8684488360456388</v>
      </c>
      <c r="AH378" s="357">
        <f t="shared" ca="1" si="173"/>
        <v>-7.9020879647048456</v>
      </c>
    </row>
    <row r="379" spans="1:34">
      <c r="A379" s="402">
        <f t="shared" ca="1" si="151"/>
        <v>1E-4</v>
      </c>
      <c r="B379" s="357">
        <f t="shared" ca="1" si="152"/>
        <v>16.902599999999968</v>
      </c>
      <c r="C379" s="342"/>
      <c r="D379" s="359">
        <f t="shared" ca="1" si="153"/>
        <v>-0.70807108340585589</v>
      </c>
      <c r="E379" s="360">
        <f t="shared" ca="1" si="154"/>
        <v>-1.9396421705329638</v>
      </c>
      <c r="F379" s="357">
        <f t="shared" ca="1" si="155"/>
        <v>2.0648429501696661</v>
      </c>
      <c r="G379" s="359">
        <f t="shared" ca="1" si="156"/>
        <v>5.0191849431744862</v>
      </c>
      <c r="H379" s="360">
        <f t="shared" ca="1" si="157"/>
        <v>-55.790268884835079</v>
      </c>
      <c r="I379" s="357">
        <f t="shared" ca="1" si="158"/>
        <v>56.015589970435791</v>
      </c>
      <c r="J379" s="359">
        <f t="shared" ca="1" si="159"/>
        <v>184.26379383972827</v>
      </c>
      <c r="K379" s="360">
        <f t="shared" ca="1" si="160"/>
        <v>-5.1157725210702738</v>
      </c>
      <c r="L379" s="357">
        <f t="shared" ca="1" si="145"/>
        <v>184.33479554521773</v>
      </c>
      <c r="M379" s="359">
        <f t="shared" ca="1" si="161"/>
        <v>-1.4810726331819888</v>
      </c>
      <c r="N379" s="357">
        <f t="shared" ca="1" si="162"/>
        <v>-84.859211033655484</v>
      </c>
      <c r="O379" s="343"/>
      <c r="P379" s="363">
        <f t="shared" ca="1" si="163"/>
        <v>23</v>
      </c>
      <c r="Q379" s="357">
        <f t="shared" ca="1" si="164"/>
        <v>0</v>
      </c>
      <c r="R379" s="359">
        <f t="shared" ca="1" si="165"/>
        <v>0</v>
      </c>
      <c r="S379" s="360">
        <f t="shared" ca="1" si="166"/>
        <v>0.42898953648292248</v>
      </c>
      <c r="T379" s="357">
        <f t="shared" ca="1" si="146"/>
        <v>4.2083873528974696</v>
      </c>
      <c r="U379" s="364">
        <f t="shared" ca="1" si="147"/>
        <v>0</v>
      </c>
      <c r="V379" s="359">
        <f t="shared" ca="1" si="148"/>
        <v>1.2256268424730059</v>
      </c>
      <c r="W379" s="357">
        <f t="shared" ca="1" si="149"/>
        <v>3.3899620649455127</v>
      </c>
      <c r="X379" s="343"/>
      <c r="Y379" s="367" t="str">
        <f t="shared" ca="1" si="167"/>
        <v/>
      </c>
      <c r="Z379" s="368" t="str">
        <f t="shared" ca="1" si="168"/>
        <v/>
      </c>
      <c r="AA379" s="369" t="str">
        <f t="shared" ca="1" si="169"/>
        <v/>
      </c>
      <c r="AB379" s="344"/>
      <c r="AC379" s="363" t="e">
        <f t="shared" ca="1" si="170"/>
        <v>#N/A</v>
      </c>
      <c r="AD379" s="376" t="e">
        <f t="shared" ca="1" si="171"/>
        <v>#N/A</v>
      </c>
      <c r="AE379" s="377" t="e">
        <f t="shared" ca="1" si="150"/>
        <v>#N/A</v>
      </c>
      <c r="AF379" s="344"/>
      <c r="AG379" s="359">
        <f t="shared" ca="1" si="172"/>
        <v>1.8683930902248953</v>
      </c>
      <c r="AH379" s="357">
        <f t="shared" ca="1" si="173"/>
        <v>-7.9021450899745336</v>
      </c>
    </row>
    <row r="380" spans="1:34">
      <c r="A380" s="402">
        <f t="shared" ca="1" si="151"/>
        <v>1E-4</v>
      </c>
      <c r="B380" s="357">
        <f t="shared" ca="1" si="152"/>
        <v>16.902699999999967</v>
      </c>
      <c r="C380" s="342"/>
      <c r="D380" s="359">
        <f t="shared" ca="1" si="153"/>
        <v>-0.70806385134888383</v>
      </c>
      <c r="E380" s="360">
        <f t="shared" ca="1" si="154"/>
        <v>-1.9395841652327013</v>
      </c>
      <c r="F380" s="357">
        <f t="shared" ca="1" si="155"/>
        <v>2.0647859820350507</v>
      </c>
      <c r="G380" s="359">
        <f t="shared" ca="1" si="156"/>
        <v>5.0191141367893515</v>
      </c>
      <c r="H380" s="360">
        <f t="shared" ca="1" si="157"/>
        <v>-55.790462843251603</v>
      </c>
      <c r="I380" s="357">
        <f t="shared" ca="1" si="158"/>
        <v>56.01577680423933</v>
      </c>
      <c r="J380" s="359">
        <f t="shared" ca="1" si="159"/>
        <v>184.26379383972827</v>
      </c>
      <c r="K380" s="360">
        <f t="shared" ca="1" si="160"/>
        <v>-5.1213515576566779</v>
      </c>
      <c r="L380" s="357">
        <f t="shared" ca="1" si="145"/>
        <v>184.33495046243129</v>
      </c>
      <c r="M380" s="359">
        <f t="shared" ca="1" si="161"/>
        <v>-1.4810742023987147</v>
      </c>
      <c r="N380" s="357">
        <f t="shared" ca="1" si="162"/>
        <v>-84.859300943151013</v>
      </c>
      <c r="O380" s="343"/>
      <c r="P380" s="363">
        <f t="shared" ca="1" si="163"/>
        <v>23</v>
      </c>
      <c r="Q380" s="357">
        <f t="shared" ca="1" si="164"/>
        <v>0</v>
      </c>
      <c r="R380" s="359">
        <f t="shared" ca="1" si="165"/>
        <v>0</v>
      </c>
      <c r="S380" s="360">
        <f t="shared" ca="1" si="166"/>
        <v>0.42898953648292248</v>
      </c>
      <c r="T380" s="357">
        <f t="shared" ca="1" si="146"/>
        <v>4.2083873528974696</v>
      </c>
      <c r="U380" s="364">
        <f t="shared" ca="1" si="147"/>
        <v>0</v>
      </c>
      <c r="V380" s="359">
        <f t="shared" ca="1" si="148"/>
        <v>1.225627526254941</v>
      </c>
      <c r="W380" s="357">
        <f t="shared" ca="1" si="149"/>
        <v>3.3899865699556284</v>
      </c>
      <c r="X380" s="343"/>
      <c r="Y380" s="367" t="str">
        <f t="shared" ca="1" si="167"/>
        <v/>
      </c>
      <c r="Z380" s="368" t="str">
        <f t="shared" ca="1" si="168"/>
        <v/>
      </c>
      <c r="AA380" s="369" t="str">
        <f t="shared" ca="1" si="169"/>
        <v/>
      </c>
      <c r="AB380" s="344"/>
      <c r="AC380" s="363" t="e">
        <f t="shared" ca="1" si="170"/>
        <v>#N/A</v>
      </c>
      <c r="AD380" s="376" t="e">
        <f t="shared" ca="1" si="171"/>
        <v>#N/A</v>
      </c>
      <c r="AE380" s="377" t="e">
        <f t="shared" ca="1" si="150"/>
        <v>#N/A</v>
      </c>
      <c r="AF380" s="344"/>
      <c r="AG380" s="359">
        <f t="shared" ca="1" si="172"/>
        <v>1.8683373456718062</v>
      </c>
      <c r="AH380" s="357">
        <f t="shared" ca="1" si="173"/>
        <v>-7.9022022139238413</v>
      </c>
    </row>
    <row r="381" spans="1:34">
      <c r="A381" s="402">
        <f t="shared" ca="1" si="151"/>
        <v>1E-4</v>
      </c>
      <c r="B381" s="357">
        <f t="shared" ca="1" si="152"/>
        <v>16.902799999999967</v>
      </c>
      <c r="C381" s="342"/>
      <c r="D381" s="359">
        <f t="shared" ca="1" si="153"/>
        <v>-0.70805661924992003</v>
      </c>
      <c r="E381" s="360">
        <f t="shared" ca="1" si="154"/>
        <v>-1.9395261612738892</v>
      </c>
      <c r="F381" s="357">
        <f t="shared" ca="1" si="155"/>
        <v>2.064729015229227</v>
      </c>
      <c r="G381" s="359">
        <f t="shared" ca="1" si="156"/>
        <v>5.0190433311274267</v>
      </c>
      <c r="H381" s="360">
        <f t="shared" ca="1" si="157"/>
        <v>-55.790656795867733</v>
      </c>
      <c r="I381" s="357">
        <f t="shared" ca="1" si="158"/>
        <v>56.015963632468534</v>
      </c>
      <c r="J381" s="359">
        <f t="shared" ca="1" si="159"/>
        <v>184.26379383972827</v>
      </c>
      <c r="K381" s="360">
        <f t="shared" ca="1" si="160"/>
        <v>-5.1269306136386339</v>
      </c>
      <c r="L381" s="357">
        <f t="shared" ca="1" si="145"/>
        <v>184.33510554890771</v>
      </c>
      <c r="M381" s="359">
        <f t="shared" ca="1" si="161"/>
        <v>-1.481075771582836</v>
      </c>
      <c r="N381" s="357">
        <f t="shared" ca="1" si="162"/>
        <v>-84.859390850778453</v>
      </c>
      <c r="O381" s="343"/>
      <c r="P381" s="363">
        <f t="shared" ca="1" si="163"/>
        <v>23</v>
      </c>
      <c r="Q381" s="357">
        <f t="shared" ca="1" si="164"/>
        <v>0</v>
      </c>
      <c r="R381" s="359">
        <f t="shared" ca="1" si="165"/>
        <v>0</v>
      </c>
      <c r="S381" s="360">
        <f t="shared" ca="1" si="166"/>
        <v>0.42898953648292248</v>
      </c>
      <c r="T381" s="357">
        <f t="shared" ca="1" si="146"/>
        <v>4.2083873528974696</v>
      </c>
      <c r="U381" s="364">
        <f t="shared" ca="1" si="147"/>
        <v>0</v>
      </c>
      <c r="V381" s="359">
        <f t="shared" ca="1" si="148"/>
        <v>1.225628210039635</v>
      </c>
      <c r="W381" s="357">
        <f t="shared" ca="1" si="149"/>
        <v>3.3900110743993301</v>
      </c>
      <c r="X381" s="343"/>
      <c r="Y381" s="367" t="str">
        <f t="shared" ca="1" si="167"/>
        <v/>
      </c>
      <c r="Z381" s="368" t="str">
        <f t="shared" ca="1" si="168"/>
        <v/>
      </c>
      <c r="AA381" s="369" t="str">
        <f t="shared" ca="1" si="169"/>
        <v/>
      </c>
      <c r="AB381" s="344"/>
      <c r="AC381" s="363" t="e">
        <f t="shared" ca="1" si="170"/>
        <v>#N/A</v>
      </c>
      <c r="AD381" s="376" t="e">
        <f t="shared" ca="1" si="171"/>
        <v>#N/A</v>
      </c>
      <c r="AE381" s="377" t="e">
        <f t="shared" ca="1" si="150"/>
        <v>#N/A</v>
      </c>
      <c r="AF381" s="344"/>
      <c r="AG381" s="359">
        <f t="shared" ca="1" si="172"/>
        <v>1.8682816023863564</v>
      </c>
      <c r="AH381" s="357">
        <f t="shared" ca="1" si="173"/>
        <v>-7.9022593365527909</v>
      </c>
    </row>
    <row r="382" spans="1:34">
      <c r="A382" s="402">
        <f t="shared" ca="1" si="151"/>
        <v>1E-4</v>
      </c>
      <c r="B382" s="357">
        <f t="shared" ca="1" si="152"/>
        <v>16.902899999999967</v>
      </c>
      <c r="C382" s="342"/>
      <c r="D382" s="359">
        <f t="shared" ca="1" si="153"/>
        <v>-0.70804938710897025</v>
      </c>
      <c r="E382" s="360">
        <f t="shared" ca="1" si="154"/>
        <v>-1.9394681586565143</v>
      </c>
      <c r="F382" s="357">
        <f t="shared" ca="1" si="155"/>
        <v>2.0646720497521822</v>
      </c>
      <c r="G382" s="359">
        <f t="shared" ca="1" si="156"/>
        <v>5.0189725261887155</v>
      </c>
      <c r="H382" s="360">
        <f t="shared" ca="1" si="157"/>
        <v>-55.790850742683595</v>
      </c>
      <c r="I382" s="357">
        <f t="shared" ca="1" si="158"/>
        <v>56.01615045512353</v>
      </c>
      <c r="J382" s="359">
        <f t="shared" ca="1" si="159"/>
        <v>184.26379383972827</v>
      </c>
      <c r="K382" s="360">
        <f t="shared" ca="1" si="160"/>
        <v>-5.1325096890155617</v>
      </c>
      <c r="L382" s="357">
        <f t="shared" ca="1" si="145"/>
        <v>184.33526080464836</v>
      </c>
      <c r="M382" s="359">
        <f t="shared" ca="1" si="161"/>
        <v>-1.4810773407343534</v>
      </c>
      <c r="N382" s="357">
        <f t="shared" ca="1" si="162"/>
        <v>-84.859480756537806</v>
      </c>
      <c r="O382" s="343"/>
      <c r="P382" s="363">
        <f t="shared" ca="1" si="163"/>
        <v>23</v>
      </c>
      <c r="Q382" s="357">
        <f t="shared" ca="1" si="164"/>
        <v>0</v>
      </c>
      <c r="R382" s="359">
        <f t="shared" ca="1" si="165"/>
        <v>0</v>
      </c>
      <c r="S382" s="360">
        <f t="shared" ca="1" si="166"/>
        <v>0.42898953648292248</v>
      </c>
      <c r="T382" s="357">
        <f t="shared" ca="1" si="146"/>
        <v>4.2083873528974696</v>
      </c>
      <c r="U382" s="364">
        <f t="shared" ca="1" si="147"/>
        <v>0</v>
      </c>
      <c r="V382" s="359">
        <f t="shared" ca="1" si="148"/>
        <v>1.2256288938270874</v>
      </c>
      <c r="W382" s="357">
        <f t="shared" ca="1" si="149"/>
        <v>3.3900355782766245</v>
      </c>
      <c r="X382" s="343"/>
      <c r="Y382" s="367" t="str">
        <f t="shared" ca="1" si="167"/>
        <v/>
      </c>
      <c r="Z382" s="368" t="str">
        <f t="shared" ca="1" si="168"/>
        <v/>
      </c>
      <c r="AA382" s="369" t="str">
        <f t="shared" ca="1" si="169"/>
        <v/>
      </c>
      <c r="AB382" s="344"/>
      <c r="AC382" s="363" t="e">
        <f t="shared" ca="1" si="170"/>
        <v>#N/A</v>
      </c>
      <c r="AD382" s="376" t="e">
        <f t="shared" ca="1" si="171"/>
        <v>#N/A</v>
      </c>
      <c r="AE382" s="377" t="e">
        <f t="shared" ca="1" si="150"/>
        <v>#N/A</v>
      </c>
      <c r="AF382" s="344"/>
      <c r="AG382" s="359">
        <f t="shared" ca="1" si="172"/>
        <v>1.8682258603685327</v>
      </c>
      <c r="AH382" s="357">
        <f t="shared" ca="1" si="173"/>
        <v>-7.9023164578613958</v>
      </c>
    </row>
    <row r="383" spans="1:34">
      <c r="A383" s="402">
        <f t="shared" ca="1" si="151"/>
        <v>1E-4</v>
      </c>
      <c r="B383" s="357">
        <f t="shared" ca="1" si="152"/>
        <v>16.902999999999967</v>
      </c>
      <c r="C383" s="342"/>
      <c r="D383" s="359">
        <f t="shared" ca="1" si="153"/>
        <v>-0.70804215492604294</v>
      </c>
      <c r="E383" s="360">
        <f t="shared" ca="1" si="154"/>
        <v>-1.9394101573805607</v>
      </c>
      <c r="F383" s="357">
        <f t="shared" ca="1" si="155"/>
        <v>2.0646150856039016</v>
      </c>
      <c r="G383" s="359">
        <f t="shared" ca="1" si="156"/>
        <v>5.018901721973223</v>
      </c>
      <c r="H383" s="360">
        <f t="shared" ca="1" si="157"/>
        <v>-55.791044683699333</v>
      </c>
      <c r="I383" s="357">
        <f t="shared" ca="1" si="158"/>
        <v>56.016337272204446</v>
      </c>
      <c r="J383" s="359">
        <f t="shared" ca="1" si="159"/>
        <v>184.26379383972827</v>
      </c>
      <c r="K383" s="360">
        <f t="shared" ca="1" si="160"/>
        <v>-5.1380887837868805</v>
      </c>
      <c r="L383" s="357">
        <f t="shared" ca="1" si="145"/>
        <v>184.33541622965447</v>
      </c>
      <c r="M383" s="359">
        <f t="shared" ca="1" si="161"/>
        <v>-1.481078909853268</v>
      </c>
      <c r="N383" s="357">
        <f t="shared" ca="1" si="162"/>
        <v>-84.859570660429171</v>
      </c>
      <c r="O383" s="343"/>
      <c r="P383" s="363">
        <f t="shared" ca="1" si="163"/>
        <v>23</v>
      </c>
      <c r="Q383" s="357">
        <f t="shared" ca="1" si="164"/>
        <v>0</v>
      </c>
      <c r="R383" s="359">
        <f t="shared" ca="1" si="165"/>
        <v>0</v>
      </c>
      <c r="S383" s="360">
        <f t="shared" ca="1" si="166"/>
        <v>0.42898953648292248</v>
      </c>
      <c r="T383" s="357">
        <f t="shared" ca="1" si="146"/>
        <v>4.2083873528974696</v>
      </c>
      <c r="U383" s="364">
        <f t="shared" ca="1" si="147"/>
        <v>0</v>
      </c>
      <c r="V383" s="359">
        <f t="shared" ca="1" si="148"/>
        <v>1.2256295776172987</v>
      </c>
      <c r="W383" s="357">
        <f t="shared" ca="1" si="149"/>
        <v>3.3900600815875217</v>
      </c>
      <c r="X383" s="343"/>
      <c r="Y383" s="367" t="str">
        <f t="shared" ca="1" si="167"/>
        <v/>
      </c>
      <c r="Z383" s="368" t="str">
        <f t="shared" ca="1" si="168"/>
        <v/>
      </c>
      <c r="AA383" s="369" t="str">
        <f t="shared" ca="1" si="169"/>
        <v/>
      </c>
      <c r="AB383" s="344"/>
      <c r="AC383" s="363" t="e">
        <f t="shared" ca="1" si="170"/>
        <v>#N/A</v>
      </c>
      <c r="AD383" s="376" t="e">
        <f t="shared" ca="1" si="171"/>
        <v>#N/A</v>
      </c>
      <c r="AE383" s="377" t="e">
        <f t="shared" ca="1" si="150"/>
        <v>#N/A</v>
      </c>
      <c r="AF383" s="344"/>
      <c r="AG383" s="359">
        <f t="shared" ca="1" si="172"/>
        <v>1.8681701196183207</v>
      </c>
      <c r="AH383" s="357">
        <f t="shared" ca="1" si="173"/>
        <v>-7.902373577849672</v>
      </c>
    </row>
    <row r="384" spans="1:34">
      <c r="A384" s="402">
        <f t="shared" ca="1" si="151"/>
        <v>1E-4</v>
      </c>
      <c r="B384" s="357">
        <f t="shared" ca="1" si="152"/>
        <v>16.903099999999966</v>
      </c>
      <c r="C384" s="342"/>
      <c r="D384" s="359">
        <f t="shared" ca="1" si="153"/>
        <v>-0.7080349227011431</v>
      </c>
      <c r="E384" s="360">
        <f t="shared" ca="1" si="154"/>
        <v>-1.9393521574460024</v>
      </c>
      <c r="F384" s="357">
        <f t="shared" ca="1" si="155"/>
        <v>2.0645581227843595</v>
      </c>
      <c r="G384" s="359">
        <f t="shared" ca="1" si="156"/>
        <v>5.018830918480953</v>
      </c>
      <c r="H384" s="360">
        <f t="shared" ca="1" si="157"/>
        <v>-55.791238618915081</v>
      </c>
      <c r="I384" s="357">
        <f t="shared" ca="1" si="158"/>
        <v>56.016524083711424</v>
      </c>
      <c r="J384" s="359">
        <f t="shared" ca="1" si="159"/>
        <v>184.26379383972827</v>
      </c>
      <c r="K384" s="360">
        <f t="shared" ca="1" si="160"/>
        <v>-5.1436678979520112</v>
      </c>
      <c r="L384" s="357">
        <f t="shared" ca="1" si="145"/>
        <v>184.33557182392744</v>
      </c>
      <c r="M384" s="359">
        <f t="shared" ca="1" si="161"/>
        <v>-1.4810804789395806</v>
      </c>
      <c r="N384" s="357">
        <f t="shared" ca="1" si="162"/>
        <v>-84.859660562452575</v>
      </c>
      <c r="O384" s="343"/>
      <c r="P384" s="363">
        <f t="shared" ca="1" si="163"/>
        <v>23</v>
      </c>
      <c r="Q384" s="357">
        <f t="shared" ca="1" si="164"/>
        <v>0</v>
      </c>
      <c r="R384" s="359">
        <f t="shared" ca="1" si="165"/>
        <v>0</v>
      </c>
      <c r="S384" s="360">
        <f t="shared" ca="1" si="166"/>
        <v>0.42898953648292248</v>
      </c>
      <c r="T384" s="357">
        <f t="shared" ca="1" si="146"/>
        <v>4.2083873528974696</v>
      </c>
      <c r="U384" s="364">
        <f t="shared" ca="1" si="147"/>
        <v>0</v>
      </c>
      <c r="V384" s="359">
        <f t="shared" ca="1" si="148"/>
        <v>1.2256302614102683</v>
      </c>
      <c r="W384" s="357">
        <f t="shared" ca="1" si="149"/>
        <v>3.3900845843320284</v>
      </c>
      <c r="X384" s="343"/>
      <c r="Y384" s="367" t="str">
        <f t="shared" ca="1" si="167"/>
        <v/>
      </c>
      <c r="Z384" s="368" t="str">
        <f t="shared" ca="1" si="168"/>
        <v/>
      </c>
      <c r="AA384" s="369" t="str">
        <f t="shared" ca="1" si="169"/>
        <v/>
      </c>
      <c r="AB384" s="344"/>
      <c r="AC384" s="363" t="e">
        <f t="shared" ca="1" si="170"/>
        <v>#N/A</v>
      </c>
      <c r="AD384" s="376" t="e">
        <f t="shared" ca="1" si="171"/>
        <v>#N/A</v>
      </c>
      <c r="AE384" s="377" t="e">
        <f t="shared" ca="1" si="150"/>
        <v>#N/A</v>
      </c>
      <c r="AF384" s="344"/>
      <c r="AG384" s="359">
        <f t="shared" ca="1" si="172"/>
        <v>1.8681143801357027</v>
      </c>
      <c r="AH384" s="357">
        <f t="shared" ca="1" si="173"/>
        <v>-7.9024306965176425</v>
      </c>
    </row>
    <row r="385" spans="1:34">
      <c r="A385" s="402">
        <f t="shared" ca="1" si="151"/>
        <v>1E-4</v>
      </c>
      <c r="B385" s="357">
        <f t="shared" ca="1" si="152"/>
        <v>16.903199999999966</v>
      </c>
      <c r="C385" s="342"/>
      <c r="D385" s="359">
        <f t="shared" ca="1" si="153"/>
        <v>-0.70802769043427682</v>
      </c>
      <c r="E385" s="360">
        <f t="shared" ca="1" si="154"/>
        <v>-1.9392941588528272</v>
      </c>
      <c r="F385" s="357">
        <f t="shared" ca="1" si="155"/>
        <v>2.0645011612935438</v>
      </c>
      <c r="G385" s="359">
        <f t="shared" ca="1" si="156"/>
        <v>5.0187601157119097</v>
      </c>
      <c r="H385" s="360">
        <f t="shared" ca="1" si="157"/>
        <v>-55.791432548330967</v>
      </c>
      <c r="I385" s="357">
        <f t="shared" ca="1" si="158"/>
        <v>56.016710889644571</v>
      </c>
      <c r="J385" s="359">
        <f t="shared" ca="1" si="159"/>
        <v>184.26379383972827</v>
      </c>
      <c r="K385" s="360">
        <f t="shared" ca="1" si="160"/>
        <v>-5.1492470315103738</v>
      </c>
      <c r="L385" s="357">
        <f t="shared" ca="1" si="145"/>
        <v>184.33572758746851</v>
      </c>
      <c r="M385" s="359">
        <f t="shared" ca="1" si="161"/>
        <v>-1.4810820479932925</v>
      </c>
      <c r="N385" s="357">
        <f t="shared" ca="1" si="162"/>
        <v>-84.859750462608091</v>
      </c>
      <c r="O385" s="343"/>
      <c r="P385" s="363">
        <f t="shared" ca="1" si="163"/>
        <v>23</v>
      </c>
      <c r="Q385" s="357">
        <f t="shared" ca="1" si="164"/>
        <v>0</v>
      </c>
      <c r="R385" s="359">
        <f t="shared" ca="1" si="165"/>
        <v>0</v>
      </c>
      <c r="S385" s="360">
        <f t="shared" ca="1" si="166"/>
        <v>0.42898953648292248</v>
      </c>
      <c r="T385" s="357">
        <f t="shared" ca="1" si="146"/>
        <v>4.2083873528974696</v>
      </c>
      <c r="U385" s="364">
        <f t="shared" ca="1" si="147"/>
        <v>0</v>
      </c>
      <c r="V385" s="359">
        <f t="shared" ca="1" si="148"/>
        <v>1.2256309452059964</v>
      </c>
      <c r="W385" s="357">
        <f t="shared" ca="1" si="149"/>
        <v>3.3901090865101509</v>
      </c>
      <c r="X385" s="343"/>
      <c r="Y385" s="367" t="str">
        <f t="shared" ca="1" si="167"/>
        <v/>
      </c>
      <c r="Z385" s="368" t="str">
        <f t="shared" ca="1" si="168"/>
        <v/>
      </c>
      <c r="AA385" s="369" t="str">
        <f t="shared" ca="1" si="169"/>
        <v/>
      </c>
      <c r="AB385" s="344"/>
      <c r="AC385" s="363" t="e">
        <f t="shared" ca="1" si="170"/>
        <v>#N/A</v>
      </c>
      <c r="AD385" s="376" t="e">
        <f t="shared" ca="1" si="171"/>
        <v>#N/A</v>
      </c>
      <c r="AE385" s="377" t="e">
        <f t="shared" ca="1" si="150"/>
        <v>#N/A</v>
      </c>
      <c r="AF385" s="344"/>
      <c r="AG385" s="359">
        <f t="shared" ca="1" si="172"/>
        <v>1.8680586419206628</v>
      </c>
      <c r="AH385" s="357">
        <f t="shared" ca="1" si="173"/>
        <v>-7.9024878138653234</v>
      </c>
    </row>
    <row r="386" spans="1:34">
      <c r="A386" s="402">
        <f t="shared" ca="1" si="151"/>
        <v>1E-4</v>
      </c>
      <c r="B386" s="357">
        <f t="shared" ca="1" si="152"/>
        <v>16.903299999999966</v>
      </c>
      <c r="C386" s="342"/>
      <c r="D386" s="359">
        <f t="shared" ca="1" si="153"/>
        <v>-0.70802045812544878</v>
      </c>
      <c r="E386" s="360">
        <f t="shared" ca="1" si="154"/>
        <v>-1.9392361616010163</v>
      </c>
      <c r="F386" s="357">
        <f t="shared" ca="1" si="155"/>
        <v>2.0644442011314359</v>
      </c>
      <c r="G386" s="359">
        <f t="shared" ca="1" si="156"/>
        <v>5.0186893136660968</v>
      </c>
      <c r="H386" s="360">
        <f t="shared" ca="1" si="157"/>
        <v>-55.791626471947126</v>
      </c>
      <c r="I386" s="357">
        <f t="shared" ca="1" si="158"/>
        <v>56.016897690004022</v>
      </c>
      <c r="J386" s="359">
        <f t="shared" ca="1" si="159"/>
        <v>184.26379383972827</v>
      </c>
      <c r="K386" s="360">
        <f t="shared" ca="1" si="160"/>
        <v>-5.1548261844613874</v>
      </c>
      <c r="L386" s="357">
        <f t="shared" ca="1" si="145"/>
        <v>184.33588352027908</v>
      </c>
      <c r="M386" s="359">
        <f t="shared" ca="1" si="161"/>
        <v>-1.4810836170144042</v>
      </c>
      <c r="N386" s="357">
        <f t="shared" ca="1" si="162"/>
        <v>-84.85984036089576</v>
      </c>
      <c r="O386" s="343"/>
      <c r="P386" s="363">
        <f t="shared" ca="1" si="163"/>
        <v>23</v>
      </c>
      <c r="Q386" s="357">
        <f t="shared" ca="1" si="164"/>
        <v>0</v>
      </c>
      <c r="R386" s="359">
        <f t="shared" ca="1" si="165"/>
        <v>0</v>
      </c>
      <c r="S386" s="360">
        <f t="shared" ca="1" si="166"/>
        <v>0.42898953648292248</v>
      </c>
      <c r="T386" s="357">
        <f t="shared" ca="1" si="146"/>
        <v>4.2083873528974696</v>
      </c>
      <c r="U386" s="364">
        <f t="shared" ca="1" si="147"/>
        <v>0</v>
      </c>
      <c r="V386" s="359">
        <f t="shared" ca="1" si="148"/>
        <v>1.2256316290044833</v>
      </c>
      <c r="W386" s="357">
        <f t="shared" ca="1" si="149"/>
        <v>3.3901335881218997</v>
      </c>
      <c r="X386" s="343"/>
      <c r="Y386" s="367" t="str">
        <f t="shared" ca="1" si="167"/>
        <v/>
      </c>
      <c r="Z386" s="368" t="str">
        <f t="shared" ca="1" si="168"/>
        <v/>
      </c>
      <c r="AA386" s="369" t="str">
        <f t="shared" ca="1" si="169"/>
        <v/>
      </c>
      <c r="AB386" s="344"/>
      <c r="AC386" s="363" t="e">
        <f t="shared" ca="1" si="170"/>
        <v>#N/A</v>
      </c>
      <c r="AD386" s="376" t="e">
        <f t="shared" ca="1" si="171"/>
        <v>#N/A</v>
      </c>
      <c r="AE386" s="377" t="e">
        <f t="shared" ca="1" si="150"/>
        <v>#N/A</v>
      </c>
      <c r="AF386" s="344"/>
      <c r="AG386" s="359">
        <f t="shared" ca="1" si="172"/>
        <v>1.8680029049731885</v>
      </c>
      <c r="AH386" s="357">
        <f t="shared" ca="1" si="173"/>
        <v>-7.9025449298927288</v>
      </c>
    </row>
    <row r="387" spans="1:34">
      <c r="A387" s="402">
        <f t="shared" ca="1" si="151"/>
        <v>1E-4</v>
      </c>
      <c r="B387" s="357">
        <f t="shared" ca="1" si="152"/>
        <v>16.903399999999966</v>
      </c>
      <c r="C387" s="342"/>
      <c r="D387" s="359">
        <f t="shared" ca="1" si="153"/>
        <v>-0.70801322577466774</v>
      </c>
      <c r="E387" s="360">
        <f t="shared" ca="1" si="154"/>
        <v>-1.9391781656905485</v>
      </c>
      <c r="F387" s="357">
        <f t="shared" ca="1" si="155"/>
        <v>2.0643872422980167</v>
      </c>
      <c r="G387" s="359">
        <f t="shared" ca="1" si="156"/>
        <v>5.0186185123435196</v>
      </c>
      <c r="H387" s="360">
        <f t="shared" ca="1" si="157"/>
        <v>-55.791820389763693</v>
      </c>
      <c r="I387" s="357">
        <f t="shared" ca="1" si="158"/>
        <v>56.017084484789898</v>
      </c>
      <c r="J387" s="359">
        <f t="shared" ca="1" si="159"/>
        <v>184.26379383972827</v>
      </c>
      <c r="K387" s="360">
        <f t="shared" ca="1" si="160"/>
        <v>-5.160405356804473</v>
      </c>
      <c r="L387" s="357">
        <f t="shared" ca="1" si="145"/>
        <v>184.3360396223604</v>
      </c>
      <c r="M387" s="359">
        <f t="shared" ca="1" si="161"/>
        <v>-1.4810851860029168</v>
      </c>
      <c r="N387" s="357">
        <f t="shared" ca="1" si="162"/>
        <v>-84.859930257315639</v>
      </c>
      <c r="O387" s="343"/>
      <c r="P387" s="363">
        <f t="shared" ca="1" si="163"/>
        <v>23</v>
      </c>
      <c r="Q387" s="357">
        <f t="shared" ca="1" si="164"/>
        <v>0</v>
      </c>
      <c r="R387" s="359">
        <f t="shared" ca="1" si="165"/>
        <v>0</v>
      </c>
      <c r="S387" s="360">
        <f t="shared" ca="1" si="166"/>
        <v>0.42898953648292248</v>
      </c>
      <c r="T387" s="357">
        <f t="shared" ca="1" si="146"/>
        <v>4.2083873528974696</v>
      </c>
      <c r="U387" s="364">
        <f t="shared" ca="1" si="147"/>
        <v>0</v>
      </c>
      <c r="V387" s="359">
        <f t="shared" ca="1" si="148"/>
        <v>1.225632312805728</v>
      </c>
      <c r="W387" s="357">
        <f t="shared" ca="1" si="149"/>
        <v>3.390158089167278</v>
      </c>
      <c r="X387" s="343"/>
      <c r="Y387" s="367" t="str">
        <f t="shared" ca="1" si="167"/>
        <v/>
      </c>
      <c r="Z387" s="368" t="str">
        <f t="shared" ca="1" si="168"/>
        <v/>
      </c>
      <c r="AA387" s="369" t="str">
        <f t="shared" ca="1" si="169"/>
        <v/>
      </c>
      <c r="AB387" s="344"/>
      <c r="AC387" s="363" t="e">
        <f t="shared" ca="1" si="170"/>
        <v>#N/A</v>
      </c>
      <c r="AD387" s="376" t="e">
        <f t="shared" ca="1" si="171"/>
        <v>#N/A</v>
      </c>
      <c r="AE387" s="377" t="e">
        <f t="shared" ca="1" si="150"/>
        <v>#N/A</v>
      </c>
      <c r="AF387" s="344"/>
      <c r="AG387" s="359">
        <f t="shared" ca="1" si="172"/>
        <v>1.8679471692932568</v>
      </c>
      <c r="AH387" s="357">
        <f t="shared" ca="1" si="173"/>
        <v>-7.9026020445998837</v>
      </c>
    </row>
    <row r="388" spans="1:34">
      <c r="A388" s="402">
        <f t="shared" ca="1" si="151"/>
        <v>1E-4</v>
      </c>
      <c r="B388" s="357">
        <f t="shared" ca="1" si="152"/>
        <v>16.903499999999966</v>
      </c>
      <c r="C388" s="342"/>
      <c r="D388" s="359">
        <f t="shared" ca="1" si="153"/>
        <v>-0.70800599338193759</v>
      </c>
      <c r="E388" s="360">
        <f t="shared" ca="1" si="154"/>
        <v>-1.9391201711214121</v>
      </c>
      <c r="F388" s="357">
        <f t="shared" ca="1" si="155"/>
        <v>2.0643302847932739</v>
      </c>
      <c r="G388" s="359">
        <f t="shared" ca="1" si="156"/>
        <v>5.0185477117441817</v>
      </c>
      <c r="H388" s="360">
        <f t="shared" ca="1" si="157"/>
        <v>-55.792014301780803</v>
      </c>
      <c r="I388" s="357">
        <f t="shared" ca="1" si="158"/>
        <v>56.017271274002326</v>
      </c>
      <c r="J388" s="359">
        <f t="shared" ca="1" si="159"/>
        <v>184.26379383972827</v>
      </c>
      <c r="K388" s="360">
        <f t="shared" ca="1" si="160"/>
        <v>-5.1659845485390505</v>
      </c>
      <c r="L388" s="357">
        <f t="shared" ref="L388:L451" ca="1" si="174">SQRT(pos_x^2+pos_z^2)</f>
        <v>184.33619589371381</v>
      </c>
      <c r="M388" s="359">
        <f t="shared" ca="1" si="161"/>
        <v>-1.4810867549588314</v>
      </c>
      <c r="N388" s="357">
        <f t="shared" ca="1" si="162"/>
        <v>-84.860020151867786</v>
      </c>
      <c r="O388" s="343"/>
      <c r="P388" s="363">
        <f t="shared" ca="1" si="163"/>
        <v>23</v>
      </c>
      <c r="Q388" s="357">
        <f t="shared" ca="1" si="164"/>
        <v>0</v>
      </c>
      <c r="R388" s="359">
        <f t="shared" ca="1" si="165"/>
        <v>0</v>
      </c>
      <c r="S388" s="360">
        <f t="shared" ca="1" si="166"/>
        <v>0.42898953648292248</v>
      </c>
      <c r="T388" s="357">
        <f t="shared" ref="T388:T451" ca="1" si="175">m*g</f>
        <v>4.2083873528974696</v>
      </c>
      <c r="U388" s="364">
        <f t="shared" ref="U388:U451" ca="1" si="176">IF(pos_xz&lt;L_rampe,Poids*COS(Beta),0)</f>
        <v>0</v>
      </c>
      <c r="V388" s="359">
        <f t="shared" ref="V388:V451" ca="1" si="177">Rho_moyen*(20000-Alt_rampe-pos_z)/(20000+Alt_rampe+pos_z)</f>
        <v>1.2256329966097312</v>
      </c>
      <c r="W388" s="357">
        <f t="shared" ref="W388:W451" ca="1" si="178">1/2*Rho*Sref*Cx*vit_xz^2</f>
        <v>3.3901825896462965</v>
      </c>
      <c r="X388" s="343"/>
      <c r="Y388" s="367" t="str">
        <f t="shared" ca="1" si="167"/>
        <v/>
      </c>
      <c r="Z388" s="368" t="str">
        <f t="shared" ca="1" si="168"/>
        <v/>
      </c>
      <c r="AA388" s="369" t="str">
        <f t="shared" ca="1" si="169"/>
        <v/>
      </c>
      <c r="AB388" s="344"/>
      <c r="AC388" s="363" t="e">
        <f t="shared" ca="1" si="170"/>
        <v>#N/A</v>
      </c>
      <c r="AD388" s="376" t="e">
        <f t="shared" ca="1" si="171"/>
        <v>#N/A</v>
      </c>
      <c r="AE388" s="377" t="e">
        <f t="shared" ref="AE388:AE451" ca="1" si="179">IF(t&lt;T_para, pos_z, NA())</f>
        <v>#N/A</v>
      </c>
      <c r="AF388" s="344"/>
      <c r="AG388" s="359">
        <f t="shared" ca="1" si="172"/>
        <v>1.8678914348808666</v>
      </c>
      <c r="AH388" s="357">
        <f t="shared" ca="1" si="173"/>
        <v>-7.902659157986796</v>
      </c>
    </row>
    <row r="389" spans="1:34">
      <c r="A389" s="402">
        <f t="shared" ref="A389:A452" ca="1" si="180">IF(B388+0.01&lt;=T_ini+ROUNDUP(Temps_fin_propu,0), 0.01, IF(K388&gt;0, 0.1, 0.0001))</f>
        <v>1E-4</v>
      </c>
      <c r="B389" s="357">
        <f t="shared" ref="B389:B452" ca="1" si="181">B388+pas</f>
        <v>16.903599999999965</v>
      </c>
      <c r="C389" s="342"/>
      <c r="D389" s="359">
        <f t="shared" ref="D389:D452" ca="1" si="182">IF(AND(L388&lt;L_rampe,Poussee&lt;Poids*SIN(M388)),0,(-W388+Poussee)/m*COS(M388)-U388/m*SIN(M388))</f>
        <v>-0.70799876094726522</v>
      </c>
      <c r="E389" s="360">
        <f t="shared" ref="E389:E452" ca="1" si="183">IF(AND(L388&lt;L_rampe,Poussee&lt;Poids*SIN(M388)),0,(-W388+Poussee)/m*SIN(M388)+U388/m*COS(M388)-Poids/m)</f>
        <v>-1.9390621778935859</v>
      </c>
      <c r="F389" s="357">
        <f t="shared" ref="F389:F452" ca="1" si="184">SQRT(acc_x^2+acc_z^2)</f>
        <v>2.0642733286171864</v>
      </c>
      <c r="G389" s="359">
        <f t="shared" ref="G389:G452" ca="1" si="185">G388+acc_x*pas</f>
        <v>5.0184769118680865</v>
      </c>
      <c r="H389" s="360">
        <f t="shared" ref="H389:H452" ca="1" si="186">H388+acc_z*pas</f>
        <v>-55.792208207998591</v>
      </c>
      <c r="I389" s="357">
        <f t="shared" ref="I389:I452" ca="1" si="187">SQRT(vit_x^2+vit_z^2)</f>
        <v>56.017458057641448</v>
      </c>
      <c r="J389" s="359">
        <f t="shared" ref="J389:J452" ca="1" si="188">J388+0.5*(vit_x+G388)*pas*(K388&gt;=0)</f>
        <v>184.26379383972827</v>
      </c>
      <c r="K389" s="360">
        <f t="shared" ref="K389:K452" ca="1" si="189">K388+0.5*(vit_z+H388)*pas</f>
        <v>-5.1715637596645392</v>
      </c>
      <c r="L389" s="357">
        <f t="shared" ca="1" si="174"/>
        <v>184.3363523343406</v>
      </c>
      <c r="M389" s="359">
        <f t="shared" ref="M389:M452" ca="1" si="190">IF(AND(L388&gt;L_rampe,G389&gt;0),ATAN2(G389,H389),$M$4)</f>
        <v>-1.4810883238821488</v>
      </c>
      <c r="N389" s="357">
        <f t="shared" ref="N389:N452" ca="1" si="191">DEGREES(Beta)</f>
        <v>-84.860110044552258</v>
      </c>
      <c r="O389" s="343"/>
      <c r="P389" s="363">
        <f t="shared" ref="P389:P452" ca="1" si="192">MATCH(t-pas/2-T_ini,CdP_t)</f>
        <v>23</v>
      </c>
      <c r="Q389" s="357">
        <f t="shared" ref="Q389:Q452" ca="1" si="193">(INDEX(CdP,2,i_P+1)-INDEX(CdP,2,i_P+0))/(INDEX(CdP,1,i_P+1)-INDEX(CdP,1,i_P+0))*(t-pas/2-T_ini-INDEX(CdP,1,i_P+0))+INDEX(CdP,2,i_P+0)</f>
        <v>0</v>
      </c>
      <c r="R389" s="359">
        <f t="shared" ref="R389:R452" ca="1" si="194">Poussee/(g*ISP)</f>
        <v>0</v>
      </c>
      <c r="S389" s="360">
        <f t="shared" ref="S389:S452" ca="1" si="195">S388-Débit*pas</f>
        <v>0.42898953648292248</v>
      </c>
      <c r="T389" s="357">
        <f t="shared" ca="1" si="175"/>
        <v>4.2083873528974696</v>
      </c>
      <c r="U389" s="364">
        <f t="shared" ca="1" si="176"/>
        <v>0</v>
      </c>
      <c r="V389" s="359">
        <f t="shared" ca="1" si="177"/>
        <v>1.2256336804164927</v>
      </c>
      <c r="W389" s="357">
        <f t="shared" ca="1" si="178"/>
        <v>3.3902070895589618</v>
      </c>
      <c r="X389" s="343"/>
      <c r="Y389" s="367" t="str">
        <f t="shared" ref="Y389:Y452" ca="1" si="196">IF(AND(pos_z&lt;=0,K388&gt;0),"Impact balistique","") &amp; IF(AND(H390&lt;0,vit_z&gt;=0),"Apogée","") &amp; IF(AND(Poussee=0,Q388&gt;0),"Fin de propulsion","") &amp; IF(AND(L390&gt;L_rampe,pos_xz&lt;=L_rampe),"Sortie de rampe","")</f>
        <v/>
      </c>
      <c r="Z389" s="368" t="str">
        <f t="shared" ref="Z389:Z452" ca="1" si="197">IF(ABS(t-T_para)&lt;pas/2,"Para","")</f>
        <v/>
      </c>
      <c r="AA389" s="369" t="str">
        <f t="shared" ref="AA389:AA452" ca="1" si="198">IF(ABS(t-T_satellite)&lt;pas/2,"Satellite","")</f>
        <v/>
      </c>
      <c r="AB389" s="344"/>
      <c r="AC389" s="363" t="e">
        <f t="shared" ref="AC389:AC452" ca="1" si="199">IF(ABS(t-ROUND(t,0))&lt;0.001,t,NA())</f>
        <v>#N/A</v>
      </c>
      <c r="AD389" s="376" t="e">
        <f t="shared" ref="AD389:AD452" ca="1" si="200">IF(ABS(t-ROUND(t,0))&lt;0.001,pos_x,NA())</f>
        <v>#N/A</v>
      </c>
      <c r="AE389" s="377" t="e">
        <f t="shared" ca="1" si="179"/>
        <v>#N/A</v>
      </c>
      <c r="AF389" s="344"/>
      <c r="AG389" s="359">
        <f t="shared" ref="AG389:AG452" ca="1" si="201">IF(AND(L388&lt;L_rampe,Poussee&lt;Poids*SIN(M388)),0,(-W388+Poussee)/m-Poids*SIN(M388)/m)</f>
        <v>1.8678357017359906</v>
      </c>
      <c r="AH389" s="357">
        <f t="shared" ref="AH389:AH452" ca="1" si="202">IF(AND(L388&lt;L_rampe,Poussee&lt;Poids*SIN(M388)), g*SIN(M388), (-W388+Poussee)/m)</f>
        <v>-7.9027162700534896</v>
      </c>
    </row>
    <row r="390" spans="1:34">
      <c r="A390" s="402">
        <f t="shared" ca="1" si="180"/>
        <v>1E-4</v>
      </c>
      <c r="B390" s="357">
        <f t="shared" ca="1" si="181"/>
        <v>16.903699999999965</v>
      </c>
      <c r="C390" s="342"/>
      <c r="D390" s="359">
        <f t="shared" ca="1" si="182"/>
        <v>-0.70799152847065505</v>
      </c>
      <c r="E390" s="360">
        <f t="shared" ca="1" si="183"/>
        <v>-1.9390041860070513</v>
      </c>
      <c r="F390" s="357">
        <f t="shared" ca="1" si="184"/>
        <v>2.064216373769737</v>
      </c>
      <c r="G390" s="359">
        <f t="shared" ca="1" si="185"/>
        <v>5.0184061127152395</v>
      </c>
      <c r="H390" s="360">
        <f t="shared" ca="1" si="186"/>
        <v>-55.792402108417193</v>
      </c>
      <c r="I390" s="357">
        <f t="shared" ca="1" si="187"/>
        <v>56.017644835707372</v>
      </c>
      <c r="J390" s="359">
        <f t="shared" ca="1" si="188"/>
        <v>184.26379383972827</v>
      </c>
      <c r="K390" s="360">
        <f t="shared" ca="1" si="189"/>
        <v>-5.1771429901803598</v>
      </c>
      <c r="L390" s="357">
        <f t="shared" ca="1" si="174"/>
        <v>184.33650894424213</v>
      </c>
      <c r="M390" s="359">
        <f t="shared" ca="1" si="190"/>
        <v>-1.48108989277287</v>
      </c>
      <c r="N390" s="357">
        <f t="shared" ca="1" si="191"/>
        <v>-84.860199935369096</v>
      </c>
      <c r="O390" s="343"/>
      <c r="P390" s="363">
        <f t="shared" ca="1" si="192"/>
        <v>23</v>
      </c>
      <c r="Q390" s="357">
        <f t="shared" ca="1" si="193"/>
        <v>0</v>
      </c>
      <c r="R390" s="359">
        <f t="shared" ca="1" si="194"/>
        <v>0</v>
      </c>
      <c r="S390" s="360">
        <f t="shared" ca="1" si="195"/>
        <v>0.42898953648292248</v>
      </c>
      <c r="T390" s="357">
        <f t="shared" ca="1" si="175"/>
        <v>4.2083873528974696</v>
      </c>
      <c r="U390" s="364">
        <f t="shared" ca="1" si="176"/>
        <v>0</v>
      </c>
      <c r="V390" s="359">
        <f t="shared" ca="1" si="177"/>
        <v>1.2256343642260126</v>
      </c>
      <c r="W390" s="357">
        <f t="shared" ca="1" si="178"/>
        <v>3.3902315889052823</v>
      </c>
      <c r="X390" s="343"/>
      <c r="Y390" s="367" t="str">
        <f t="shared" ca="1" si="196"/>
        <v/>
      </c>
      <c r="Z390" s="368" t="str">
        <f t="shared" ca="1" si="197"/>
        <v/>
      </c>
      <c r="AA390" s="369" t="str">
        <f t="shared" ca="1" si="198"/>
        <v/>
      </c>
      <c r="AB390" s="344"/>
      <c r="AC390" s="363" t="e">
        <f t="shared" ca="1" si="199"/>
        <v>#N/A</v>
      </c>
      <c r="AD390" s="376" t="e">
        <f t="shared" ca="1" si="200"/>
        <v>#N/A</v>
      </c>
      <c r="AE390" s="377" t="e">
        <f t="shared" ca="1" si="179"/>
        <v>#N/A</v>
      </c>
      <c r="AF390" s="344"/>
      <c r="AG390" s="359">
        <f t="shared" ca="1" si="201"/>
        <v>1.8677799698586188</v>
      </c>
      <c r="AH390" s="357">
        <f t="shared" ca="1" si="202"/>
        <v>-7.9027733807999798</v>
      </c>
    </row>
    <row r="391" spans="1:34">
      <c r="A391" s="402">
        <f t="shared" ca="1" si="180"/>
        <v>1E-4</v>
      </c>
      <c r="B391" s="357">
        <f t="shared" ca="1" si="181"/>
        <v>16.903799999999965</v>
      </c>
      <c r="C391" s="342"/>
      <c r="D391" s="359">
        <f t="shared" ca="1" si="182"/>
        <v>-0.70798429595211576</v>
      </c>
      <c r="E391" s="360">
        <f t="shared" ca="1" si="183"/>
        <v>-1.9389461954617886</v>
      </c>
      <c r="F391" s="357">
        <f t="shared" ca="1" si="184"/>
        <v>2.0641594202509062</v>
      </c>
      <c r="G391" s="359">
        <f t="shared" ca="1" si="185"/>
        <v>5.0183353142856442</v>
      </c>
      <c r="H391" s="360">
        <f t="shared" ca="1" si="186"/>
        <v>-55.792596003036742</v>
      </c>
      <c r="I391" s="357">
        <f t="shared" ca="1" si="187"/>
        <v>56.01783160820024</v>
      </c>
      <c r="J391" s="359">
        <f t="shared" ca="1" si="188"/>
        <v>184.26379383972827</v>
      </c>
      <c r="K391" s="360">
        <f t="shared" ca="1" si="189"/>
        <v>-5.1827222400859325</v>
      </c>
      <c r="L391" s="357">
        <f t="shared" ca="1" si="174"/>
        <v>184.33666572341966</v>
      </c>
      <c r="M391" s="359">
        <f t="shared" ca="1" si="190"/>
        <v>-1.4810914616309958</v>
      </c>
      <c r="N391" s="357">
        <f t="shared" ca="1" si="191"/>
        <v>-84.860289824318357</v>
      </c>
      <c r="O391" s="343"/>
      <c r="P391" s="363">
        <f t="shared" ca="1" si="192"/>
        <v>23</v>
      </c>
      <c r="Q391" s="357">
        <f t="shared" ca="1" si="193"/>
        <v>0</v>
      </c>
      <c r="R391" s="359">
        <f t="shared" ca="1" si="194"/>
        <v>0</v>
      </c>
      <c r="S391" s="360">
        <f t="shared" ca="1" si="195"/>
        <v>0.42898953648292248</v>
      </c>
      <c r="T391" s="357">
        <f t="shared" ca="1" si="175"/>
        <v>4.2083873528974696</v>
      </c>
      <c r="U391" s="364">
        <f t="shared" ca="1" si="176"/>
        <v>0</v>
      </c>
      <c r="V391" s="359">
        <f t="shared" ca="1" si="177"/>
        <v>1.2256350480382903</v>
      </c>
      <c r="W391" s="357">
        <f t="shared" ca="1" si="178"/>
        <v>3.3902560876852652</v>
      </c>
      <c r="X391" s="343"/>
      <c r="Y391" s="367" t="str">
        <f t="shared" ca="1" si="196"/>
        <v/>
      </c>
      <c r="Z391" s="368" t="str">
        <f t="shared" ca="1" si="197"/>
        <v/>
      </c>
      <c r="AA391" s="369" t="str">
        <f t="shared" ca="1" si="198"/>
        <v/>
      </c>
      <c r="AB391" s="344"/>
      <c r="AC391" s="363" t="e">
        <f t="shared" ca="1" si="199"/>
        <v>#N/A</v>
      </c>
      <c r="AD391" s="376" t="e">
        <f t="shared" ca="1" si="200"/>
        <v>#N/A</v>
      </c>
      <c r="AE391" s="377" t="e">
        <f t="shared" ca="1" si="179"/>
        <v>#N/A</v>
      </c>
      <c r="AF391" s="344"/>
      <c r="AG391" s="359">
        <f t="shared" ca="1" si="201"/>
        <v>1.8677242392487337</v>
      </c>
      <c r="AH391" s="357">
        <f t="shared" ca="1" si="202"/>
        <v>-7.9028304902262878</v>
      </c>
    </row>
    <row r="392" spans="1:34">
      <c r="A392" s="402">
        <f t="shared" ca="1" si="180"/>
        <v>1E-4</v>
      </c>
      <c r="B392" s="357">
        <f t="shared" ca="1" si="181"/>
        <v>16.903899999999965</v>
      </c>
      <c r="C392" s="342"/>
      <c r="D392" s="359">
        <f t="shared" ca="1" si="182"/>
        <v>-0.70797706339165178</v>
      </c>
      <c r="E392" s="360">
        <f t="shared" ca="1" si="183"/>
        <v>-1.9388882062577828</v>
      </c>
      <c r="F392" s="357">
        <f t="shared" ca="1" si="184"/>
        <v>2.0641024680606797</v>
      </c>
      <c r="G392" s="359">
        <f t="shared" ca="1" si="185"/>
        <v>5.0182645165793049</v>
      </c>
      <c r="H392" s="360">
        <f t="shared" ca="1" si="186"/>
        <v>-55.792789891857367</v>
      </c>
      <c r="I392" s="357">
        <f t="shared" ca="1" si="187"/>
        <v>56.018018375120164</v>
      </c>
      <c r="J392" s="359">
        <f t="shared" ca="1" si="188"/>
        <v>184.26379383972827</v>
      </c>
      <c r="K392" s="360">
        <f t="shared" ca="1" si="189"/>
        <v>-5.1883015093806772</v>
      </c>
      <c r="L392" s="357">
        <f t="shared" ca="1" si="174"/>
        <v>184.33682267187456</v>
      </c>
      <c r="M392" s="359">
        <f t="shared" ca="1" si="190"/>
        <v>-1.4810930304565271</v>
      </c>
      <c r="N392" s="357">
        <f t="shared" ca="1" si="191"/>
        <v>-84.8603797114001</v>
      </c>
      <c r="O392" s="343"/>
      <c r="P392" s="363">
        <f t="shared" ca="1" si="192"/>
        <v>23</v>
      </c>
      <c r="Q392" s="357">
        <f t="shared" ca="1" si="193"/>
        <v>0</v>
      </c>
      <c r="R392" s="359">
        <f t="shared" ca="1" si="194"/>
        <v>0</v>
      </c>
      <c r="S392" s="360">
        <f t="shared" ca="1" si="195"/>
        <v>0.42898953648292248</v>
      </c>
      <c r="T392" s="357">
        <f t="shared" ca="1" si="175"/>
        <v>4.2083873528974696</v>
      </c>
      <c r="U392" s="364">
        <f t="shared" ca="1" si="176"/>
        <v>0</v>
      </c>
      <c r="V392" s="359">
        <f t="shared" ca="1" si="177"/>
        <v>1.225635731853326</v>
      </c>
      <c r="W392" s="357">
        <f t="shared" ca="1" si="178"/>
        <v>3.3902805858989176</v>
      </c>
      <c r="X392" s="343"/>
      <c r="Y392" s="367" t="str">
        <f t="shared" ca="1" si="196"/>
        <v/>
      </c>
      <c r="Z392" s="368" t="str">
        <f t="shared" ca="1" si="197"/>
        <v/>
      </c>
      <c r="AA392" s="369" t="str">
        <f t="shared" ca="1" si="198"/>
        <v/>
      </c>
      <c r="AB392" s="344"/>
      <c r="AC392" s="363" t="e">
        <f t="shared" ca="1" si="199"/>
        <v>#N/A</v>
      </c>
      <c r="AD392" s="376" t="e">
        <f t="shared" ca="1" si="200"/>
        <v>#N/A</v>
      </c>
      <c r="AE392" s="377" t="e">
        <f t="shared" ca="1" si="179"/>
        <v>#N/A</v>
      </c>
      <c r="AF392" s="344"/>
      <c r="AG392" s="359">
        <f t="shared" ca="1" si="201"/>
        <v>1.8676685099063182</v>
      </c>
      <c r="AH392" s="357">
        <f t="shared" ca="1" si="202"/>
        <v>-7.9028875983324287</v>
      </c>
    </row>
    <row r="393" spans="1:34">
      <c r="A393" s="402">
        <f t="shared" ca="1" si="180"/>
        <v>1E-4</v>
      </c>
      <c r="B393" s="357">
        <f t="shared" ca="1" si="181"/>
        <v>16.903999999999964</v>
      </c>
      <c r="C393" s="342"/>
      <c r="D393" s="359">
        <f t="shared" ca="1" si="182"/>
        <v>-0.70796983078927123</v>
      </c>
      <c r="E393" s="360">
        <f t="shared" ca="1" si="183"/>
        <v>-1.9388302183950143</v>
      </c>
      <c r="F393" s="357">
        <f t="shared" ca="1" si="184"/>
        <v>2.0640455171990388</v>
      </c>
      <c r="G393" s="359">
        <f t="shared" ca="1" si="185"/>
        <v>5.0181937195962263</v>
      </c>
      <c r="H393" s="360">
        <f t="shared" ca="1" si="186"/>
        <v>-55.792983774879204</v>
      </c>
      <c r="I393" s="357">
        <f t="shared" ca="1" si="187"/>
        <v>56.01820513646728</v>
      </c>
      <c r="J393" s="359">
        <f t="shared" ca="1" si="188"/>
        <v>184.26379383972827</v>
      </c>
      <c r="K393" s="360">
        <f t="shared" ca="1" si="189"/>
        <v>-5.193880798064014</v>
      </c>
      <c r="L393" s="357">
        <f t="shared" ca="1" si="174"/>
        <v>184.33697978960808</v>
      </c>
      <c r="M393" s="359">
        <f t="shared" ca="1" si="190"/>
        <v>-1.4810945992494651</v>
      </c>
      <c r="N393" s="357">
        <f t="shared" ca="1" si="191"/>
        <v>-84.860469596614379</v>
      </c>
      <c r="O393" s="343"/>
      <c r="P393" s="363">
        <f t="shared" ca="1" si="192"/>
        <v>23</v>
      </c>
      <c r="Q393" s="357">
        <f t="shared" ca="1" si="193"/>
        <v>0</v>
      </c>
      <c r="R393" s="359">
        <f t="shared" ca="1" si="194"/>
        <v>0</v>
      </c>
      <c r="S393" s="360">
        <f t="shared" ca="1" si="195"/>
        <v>0.42898953648292248</v>
      </c>
      <c r="T393" s="357">
        <f t="shared" ca="1" si="175"/>
        <v>4.2083873528974696</v>
      </c>
      <c r="U393" s="364">
        <f t="shared" ca="1" si="176"/>
        <v>0</v>
      </c>
      <c r="V393" s="359">
        <f t="shared" ca="1" si="177"/>
        <v>1.2256364156711193</v>
      </c>
      <c r="W393" s="357">
        <f t="shared" ca="1" si="178"/>
        <v>3.3903050835462456</v>
      </c>
      <c r="X393" s="343"/>
      <c r="Y393" s="367" t="str">
        <f t="shared" ca="1" si="196"/>
        <v/>
      </c>
      <c r="Z393" s="368" t="str">
        <f t="shared" ca="1" si="197"/>
        <v/>
      </c>
      <c r="AA393" s="369" t="str">
        <f t="shared" ca="1" si="198"/>
        <v/>
      </c>
      <c r="AB393" s="344"/>
      <c r="AC393" s="363" t="e">
        <f t="shared" ca="1" si="199"/>
        <v>#N/A</v>
      </c>
      <c r="AD393" s="376" t="e">
        <f t="shared" ca="1" si="200"/>
        <v>#N/A</v>
      </c>
      <c r="AE393" s="377" t="e">
        <f t="shared" ca="1" si="179"/>
        <v>#N/A</v>
      </c>
      <c r="AF393" s="344"/>
      <c r="AG393" s="359">
        <f t="shared" ca="1" si="201"/>
        <v>1.8676127818313617</v>
      </c>
      <c r="AH393" s="357">
        <f t="shared" ca="1" si="202"/>
        <v>-7.9029447051184203</v>
      </c>
    </row>
    <row r="394" spans="1:34">
      <c r="A394" s="402">
        <f t="shared" ca="1" si="180"/>
        <v>1E-4</v>
      </c>
      <c r="B394" s="357">
        <f t="shared" ca="1" si="181"/>
        <v>16.904099999999964</v>
      </c>
      <c r="C394" s="342"/>
      <c r="D394" s="359">
        <f t="shared" ca="1" si="182"/>
        <v>-0.70796259814497675</v>
      </c>
      <c r="E394" s="360">
        <f t="shared" ca="1" si="183"/>
        <v>-1.9387722318734708</v>
      </c>
      <c r="F394" s="357">
        <f t="shared" ca="1" si="184"/>
        <v>2.0639885676659708</v>
      </c>
      <c r="G394" s="359">
        <f t="shared" ca="1" si="185"/>
        <v>5.0181229233364117</v>
      </c>
      <c r="H394" s="360">
        <f t="shared" ca="1" si="186"/>
        <v>-55.793177652102393</v>
      </c>
      <c r="I394" s="357">
        <f t="shared" ca="1" si="187"/>
        <v>56.018391892241716</v>
      </c>
      <c r="J394" s="359">
        <f t="shared" ca="1" si="188"/>
        <v>184.26379383972827</v>
      </c>
      <c r="K394" s="360">
        <f t="shared" ca="1" si="189"/>
        <v>-5.1994601061353629</v>
      </c>
      <c r="L394" s="357">
        <f t="shared" ca="1" si="174"/>
        <v>184.33713707662159</v>
      </c>
      <c r="M394" s="359">
        <f t="shared" ca="1" si="190"/>
        <v>-1.4810961680098107</v>
      </c>
      <c r="N394" s="357">
        <f t="shared" ca="1" si="191"/>
        <v>-84.860559479961239</v>
      </c>
      <c r="O394" s="343"/>
      <c r="P394" s="363">
        <f t="shared" ca="1" si="192"/>
        <v>23</v>
      </c>
      <c r="Q394" s="357">
        <f t="shared" ca="1" si="193"/>
        <v>0</v>
      </c>
      <c r="R394" s="359">
        <f t="shared" ca="1" si="194"/>
        <v>0</v>
      </c>
      <c r="S394" s="360">
        <f t="shared" ca="1" si="195"/>
        <v>0.42898953648292248</v>
      </c>
      <c r="T394" s="357">
        <f t="shared" ca="1" si="175"/>
        <v>4.2083873528974696</v>
      </c>
      <c r="U394" s="364">
        <f t="shared" ca="1" si="176"/>
        <v>0</v>
      </c>
      <c r="V394" s="359">
        <f t="shared" ca="1" si="177"/>
        <v>1.225637099491671</v>
      </c>
      <c r="W394" s="357">
        <f t="shared" ca="1" si="178"/>
        <v>3.39032958062726</v>
      </c>
      <c r="X394" s="343"/>
      <c r="Y394" s="367" t="str">
        <f t="shared" ca="1" si="196"/>
        <v/>
      </c>
      <c r="Z394" s="368" t="str">
        <f t="shared" ca="1" si="197"/>
        <v/>
      </c>
      <c r="AA394" s="369" t="str">
        <f t="shared" ca="1" si="198"/>
        <v/>
      </c>
      <c r="AB394" s="344"/>
      <c r="AC394" s="363" t="e">
        <f t="shared" ca="1" si="199"/>
        <v>#N/A</v>
      </c>
      <c r="AD394" s="376" t="e">
        <f t="shared" ca="1" si="200"/>
        <v>#N/A</v>
      </c>
      <c r="AE394" s="377" t="e">
        <f t="shared" ca="1" si="179"/>
        <v>#N/A</v>
      </c>
      <c r="AF394" s="344"/>
      <c r="AG394" s="359">
        <f t="shared" ca="1" si="201"/>
        <v>1.8675570550238492</v>
      </c>
      <c r="AH394" s="357">
        <f t="shared" ca="1" si="202"/>
        <v>-7.9030018105842759</v>
      </c>
    </row>
    <row r="395" spans="1:34">
      <c r="A395" s="402">
        <f t="shared" ca="1" si="180"/>
        <v>1E-4</v>
      </c>
      <c r="B395" s="357">
        <f t="shared" ca="1" si="181"/>
        <v>16.904199999999964</v>
      </c>
      <c r="C395" s="342"/>
      <c r="D395" s="359">
        <f t="shared" ca="1" si="182"/>
        <v>-0.70795536545877547</v>
      </c>
      <c r="E395" s="360">
        <f t="shared" ca="1" si="183"/>
        <v>-1.9387142466931255</v>
      </c>
      <c r="F395" s="357">
        <f t="shared" ca="1" si="184"/>
        <v>2.0639316194614494</v>
      </c>
      <c r="G395" s="359">
        <f t="shared" ca="1" si="185"/>
        <v>5.0180521277998658</v>
      </c>
      <c r="H395" s="360">
        <f t="shared" ca="1" si="186"/>
        <v>-55.793371523527064</v>
      </c>
      <c r="I395" s="357">
        <f t="shared" ca="1" si="187"/>
        <v>56.018578642443593</v>
      </c>
      <c r="J395" s="359">
        <f t="shared" ca="1" si="188"/>
        <v>184.26379383972827</v>
      </c>
      <c r="K395" s="360">
        <f t="shared" ca="1" si="189"/>
        <v>-5.2050394335941448</v>
      </c>
      <c r="L395" s="357">
        <f t="shared" ca="1" si="174"/>
        <v>184.33729453291636</v>
      </c>
      <c r="M395" s="359">
        <f t="shared" ca="1" si="190"/>
        <v>-1.4810977367375646</v>
      </c>
      <c r="N395" s="357">
        <f t="shared" ca="1" si="191"/>
        <v>-84.86064936144075</v>
      </c>
      <c r="O395" s="343"/>
      <c r="P395" s="363">
        <f t="shared" ca="1" si="192"/>
        <v>23</v>
      </c>
      <c r="Q395" s="357">
        <f t="shared" ca="1" si="193"/>
        <v>0</v>
      </c>
      <c r="R395" s="359">
        <f t="shared" ca="1" si="194"/>
        <v>0</v>
      </c>
      <c r="S395" s="360">
        <f t="shared" ca="1" si="195"/>
        <v>0.42898953648292248</v>
      </c>
      <c r="T395" s="357">
        <f t="shared" ca="1" si="175"/>
        <v>4.2083873528974696</v>
      </c>
      <c r="U395" s="364">
        <f t="shared" ca="1" si="176"/>
        <v>0</v>
      </c>
      <c r="V395" s="359">
        <f t="shared" ca="1" si="177"/>
        <v>1.2256377833149805</v>
      </c>
      <c r="W395" s="357">
        <f t="shared" ca="1" si="178"/>
        <v>3.3903540771419669</v>
      </c>
      <c r="X395" s="343"/>
      <c r="Y395" s="367" t="str">
        <f t="shared" ca="1" si="196"/>
        <v/>
      </c>
      <c r="Z395" s="368" t="str">
        <f t="shared" ca="1" si="197"/>
        <v/>
      </c>
      <c r="AA395" s="369" t="str">
        <f t="shared" ca="1" si="198"/>
        <v/>
      </c>
      <c r="AB395" s="344"/>
      <c r="AC395" s="363" t="e">
        <f t="shared" ca="1" si="199"/>
        <v>#N/A</v>
      </c>
      <c r="AD395" s="376" t="e">
        <f t="shared" ca="1" si="200"/>
        <v>#N/A</v>
      </c>
      <c r="AE395" s="377" t="e">
        <f t="shared" ca="1" si="179"/>
        <v>#N/A</v>
      </c>
      <c r="AF395" s="344"/>
      <c r="AG395" s="359">
        <f t="shared" ca="1" si="201"/>
        <v>1.867501329483761</v>
      </c>
      <c r="AH395" s="357">
        <f t="shared" ca="1" si="202"/>
        <v>-7.9030589147300203</v>
      </c>
    </row>
    <row r="396" spans="1:34">
      <c r="A396" s="402">
        <f t="shared" ca="1" si="180"/>
        <v>1E-4</v>
      </c>
      <c r="B396" s="357">
        <f t="shared" ca="1" si="181"/>
        <v>16.904299999999964</v>
      </c>
      <c r="C396" s="342"/>
      <c r="D396" s="359">
        <f t="shared" ca="1" si="182"/>
        <v>-0.70794813273067514</v>
      </c>
      <c r="E396" s="360">
        <f t="shared" ca="1" si="183"/>
        <v>-1.9386562628539643</v>
      </c>
      <c r="F396" s="357">
        <f t="shared" ca="1" si="184"/>
        <v>2.0638746725854622</v>
      </c>
      <c r="G396" s="359">
        <f t="shared" ca="1" si="185"/>
        <v>5.0179813329865928</v>
      </c>
      <c r="H396" s="360">
        <f t="shared" ca="1" si="186"/>
        <v>-55.793565389153351</v>
      </c>
      <c r="I396" s="357">
        <f t="shared" ca="1" si="187"/>
        <v>56.018765387073039</v>
      </c>
      <c r="J396" s="359">
        <f t="shared" ca="1" si="188"/>
        <v>184.26379383972827</v>
      </c>
      <c r="K396" s="360">
        <f t="shared" ca="1" si="189"/>
        <v>-5.2106187804397788</v>
      </c>
      <c r="L396" s="357">
        <f t="shared" ca="1" si="174"/>
        <v>184.3374521584937</v>
      </c>
      <c r="M396" s="359">
        <f t="shared" ca="1" si="190"/>
        <v>-1.4810993054327279</v>
      </c>
      <c r="N396" s="357">
        <f t="shared" ca="1" si="191"/>
        <v>-84.860739241052954</v>
      </c>
      <c r="O396" s="343"/>
      <c r="P396" s="363">
        <f t="shared" ca="1" si="192"/>
        <v>23</v>
      </c>
      <c r="Q396" s="357">
        <f t="shared" ca="1" si="193"/>
        <v>0</v>
      </c>
      <c r="R396" s="359">
        <f t="shared" ca="1" si="194"/>
        <v>0</v>
      </c>
      <c r="S396" s="360">
        <f t="shared" ca="1" si="195"/>
        <v>0.42898953648292248</v>
      </c>
      <c r="T396" s="357">
        <f t="shared" ca="1" si="175"/>
        <v>4.2083873528974696</v>
      </c>
      <c r="U396" s="364">
        <f t="shared" ca="1" si="176"/>
        <v>0</v>
      </c>
      <c r="V396" s="359">
        <f t="shared" ca="1" si="177"/>
        <v>1.2256384671410476</v>
      </c>
      <c r="W396" s="357">
        <f t="shared" ca="1" si="178"/>
        <v>3.390378573090373</v>
      </c>
      <c r="X396" s="343"/>
      <c r="Y396" s="367" t="str">
        <f t="shared" ca="1" si="196"/>
        <v/>
      </c>
      <c r="Z396" s="368" t="str">
        <f t="shared" ca="1" si="197"/>
        <v/>
      </c>
      <c r="AA396" s="369" t="str">
        <f t="shared" ca="1" si="198"/>
        <v/>
      </c>
      <c r="AB396" s="344"/>
      <c r="AC396" s="363" t="e">
        <f t="shared" ca="1" si="199"/>
        <v>#N/A</v>
      </c>
      <c r="AD396" s="376" t="e">
        <f t="shared" ca="1" si="200"/>
        <v>#N/A</v>
      </c>
      <c r="AE396" s="377" t="e">
        <f t="shared" ca="1" si="179"/>
        <v>#N/A</v>
      </c>
      <c r="AF396" s="344"/>
      <c r="AG396" s="359">
        <f t="shared" ca="1" si="201"/>
        <v>1.8674456052110795</v>
      </c>
      <c r="AH396" s="357">
        <f t="shared" ca="1" si="202"/>
        <v>-7.9031160175556696</v>
      </c>
    </row>
    <row r="397" spans="1:34">
      <c r="A397" s="402">
        <f t="shared" ca="1" si="180"/>
        <v>1E-4</v>
      </c>
      <c r="B397" s="357">
        <f t="shared" ca="1" si="181"/>
        <v>16.904399999999963</v>
      </c>
      <c r="C397" s="342"/>
      <c r="D397" s="359">
        <f t="shared" ca="1" si="182"/>
        <v>-0.70794089996068066</v>
      </c>
      <c r="E397" s="360">
        <f t="shared" ca="1" si="183"/>
        <v>-1.9385982803559703</v>
      </c>
      <c r="F397" s="357">
        <f t="shared" ca="1" si="184"/>
        <v>2.0638177270379918</v>
      </c>
      <c r="G397" s="359">
        <f t="shared" ca="1" si="185"/>
        <v>5.0179105388965963</v>
      </c>
      <c r="H397" s="360">
        <f t="shared" ca="1" si="186"/>
        <v>-55.793759248981388</v>
      </c>
      <c r="I397" s="357">
        <f t="shared" ca="1" si="187"/>
        <v>56.018952126130188</v>
      </c>
      <c r="J397" s="359">
        <f t="shared" ca="1" si="188"/>
        <v>184.26379383972827</v>
      </c>
      <c r="K397" s="360">
        <f t="shared" ca="1" si="189"/>
        <v>-5.2161981466716858</v>
      </c>
      <c r="L397" s="357">
        <f t="shared" ca="1" si="174"/>
        <v>184.33760995335496</v>
      </c>
      <c r="M397" s="359">
        <f t="shared" ca="1" si="190"/>
        <v>-1.4811008740953016</v>
      </c>
      <c r="N397" s="357">
        <f t="shared" ca="1" si="191"/>
        <v>-84.860829118797895</v>
      </c>
      <c r="O397" s="343"/>
      <c r="P397" s="363">
        <f t="shared" ca="1" si="192"/>
        <v>23</v>
      </c>
      <c r="Q397" s="357">
        <f t="shared" ca="1" si="193"/>
        <v>0</v>
      </c>
      <c r="R397" s="359">
        <f t="shared" ca="1" si="194"/>
        <v>0</v>
      </c>
      <c r="S397" s="360">
        <f t="shared" ca="1" si="195"/>
        <v>0.42898953648292248</v>
      </c>
      <c r="T397" s="357">
        <f t="shared" ca="1" si="175"/>
        <v>4.2083873528974696</v>
      </c>
      <c r="U397" s="364">
        <f t="shared" ca="1" si="176"/>
        <v>0</v>
      </c>
      <c r="V397" s="359">
        <f t="shared" ca="1" si="177"/>
        <v>1.2256391509698725</v>
      </c>
      <c r="W397" s="357">
        <f t="shared" ca="1" si="178"/>
        <v>3.3904030684724877</v>
      </c>
      <c r="X397" s="343"/>
      <c r="Y397" s="367" t="str">
        <f t="shared" ca="1" si="196"/>
        <v/>
      </c>
      <c r="Z397" s="368" t="str">
        <f t="shared" ca="1" si="197"/>
        <v/>
      </c>
      <c r="AA397" s="369" t="str">
        <f t="shared" ca="1" si="198"/>
        <v/>
      </c>
      <c r="AB397" s="344"/>
      <c r="AC397" s="363" t="e">
        <f t="shared" ca="1" si="199"/>
        <v>#N/A</v>
      </c>
      <c r="AD397" s="376" t="e">
        <f t="shared" ca="1" si="200"/>
        <v>#N/A</v>
      </c>
      <c r="AE397" s="377" t="e">
        <f t="shared" ca="1" si="179"/>
        <v>#N/A</v>
      </c>
      <c r="AF397" s="344"/>
      <c r="AG397" s="359">
        <f t="shared" ca="1" si="201"/>
        <v>1.8673898822057993</v>
      </c>
      <c r="AH397" s="357">
        <f t="shared" ca="1" si="202"/>
        <v>-7.903173119061238</v>
      </c>
    </row>
    <row r="398" spans="1:34">
      <c r="A398" s="402">
        <f t="shared" ca="1" si="180"/>
        <v>1E-4</v>
      </c>
      <c r="B398" s="357">
        <f t="shared" ca="1" si="181"/>
        <v>16.904499999999963</v>
      </c>
      <c r="C398" s="342"/>
      <c r="D398" s="359">
        <f t="shared" ca="1" si="182"/>
        <v>-0.70793366714879824</v>
      </c>
      <c r="E398" s="360">
        <f t="shared" ca="1" si="183"/>
        <v>-1.9385402991991239</v>
      </c>
      <c r="F398" s="357">
        <f t="shared" ca="1" si="184"/>
        <v>2.0637607828190201</v>
      </c>
      <c r="G398" s="359">
        <f t="shared" ca="1" si="185"/>
        <v>5.0178397455298818</v>
      </c>
      <c r="H398" s="360">
        <f t="shared" ca="1" si="186"/>
        <v>-55.793953103011305</v>
      </c>
      <c r="I398" s="357">
        <f t="shared" ca="1" si="187"/>
        <v>56.019138859615147</v>
      </c>
      <c r="J398" s="359">
        <f t="shared" ca="1" si="188"/>
        <v>184.26379383972827</v>
      </c>
      <c r="K398" s="360">
        <f t="shared" ca="1" si="189"/>
        <v>-5.2217775322892859</v>
      </c>
      <c r="L398" s="357">
        <f t="shared" ca="1" si="174"/>
        <v>184.3377679175014</v>
      </c>
      <c r="M398" s="359">
        <f t="shared" ca="1" si="190"/>
        <v>-1.4811024427252864</v>
      </c>
      <c r="N398" s="357">
        <f t="shared" ca="1" si="191"/>
        <v>-84.860918994675643</v>
      </c>
      <c r="O398" s="343"/>
      <c r="P398" s="363">
        <f t="shared" ca="1" si="192"/>
        <v>23</v>
      </c>
      <c r="Q398" s="357">
        <f t="shared" ca="1" si="193"/>
        <v>0</v>
      </c>
      <c r="R398" s="359">
        <f t="shared" ca="1" si="194"/>
        <v>0</v>
      </c>
      <c r="S398" s="360">
        <f t="shared" ca="1" si="195"/>
        <v>0.42898953648292248</v>
      </c>
      <c r="T398" s="357">
        <f t="shared" ca="1" si="175"/>
        <v>4.2083873528974696</v>
      </c>
      <c r="U398" s="364">
        <f t="shared" ca="1" si="176"/>
        <v>0</v>
      </c>
      <c r="V398" s="359">
        <f t="shared" ca="1" si="177"/>
        <v>1.225639834801455</v>
      </c>
      <c r="W398" s="357">
        <f t="shared" ca="1" si="178"/>
        <v>3.3904275632883158</v>
      </c>
      <c r="X398" s="343"/>
      <c r="Y398" s="367" t="str">
        <f t="shared" ca="1" si="196"/>
        <v/>
      </c>
      <c r="Z398" s="368" t="str">
        <f t="shared" ca="1" si="197"/>
        <v/>
      </c>
      <c r="AA398" s="369" t="str">
        <f t="shared" ca="1" si="198"/>
        <v/>
      </c>
      <c r="AB398" s="344"/>
      <c r="AC398" s="363" t="e">
        <f t="shared" ca="1" si="199"/>
        <v>#N/A</v>
      </c>
      <c r="AD398" s="376" t="e">
        <f t="shared" ca="1" si="200"/>
        <v>#N/A</v>
      </c>
      <c r="AE398" s="377" t="e">
        <f t="shared" ca="1" si="179"/>
        <v>#N/A</v>
      </c>
      <c r="AF398" s="344"/>
      <c r="AG398" s="359">
        <f t="shared" ca="1" si="201"/>
        <v>1.8673341604678955</v>
      </c>
      <c r="AH398" s="357">
        <f t="shared" ca="1" si="202"/>
        <v>-7.9032302192467467</v>
      </c>
    </row>
    <row r="399" spans="1:34">
      <c r="A399" s="402">
        <f t="shared" ca="1" si="180"/>
        <v>1E-4</v>
      </c>
      <c r="B399" s="357">
        <f t="shared" ca="1" si="181"/>
        <v>16.904599999999963</v>
      </c>
      <c r="C399" s="342"/>
      <c r="D399" s="359">
        <f t="shared" ca="1" si="182"/>
        <v>-0.70792643429503421</v>
      </c>
      <c r="E399" s="360">
        <f t="shared" ca="1" si="183"/>
        <v>-1.9384823193834109</v>
      </c>
      <c r="F399" s="357">
        <f t="shared" ca="1" si="184"/>
        <v>2.0637038399285323</v>
      </c>
      <c r="G399" s="359">
        <f t="shared" ca="1" si="185"/>
        <v>5.0177689528864526</v>
      </c>
      <c r="H399" s="360">
        <f t="shared" ca="1" si="186"/>
        <v>-55.794146951243242</v>
      </c>
      <c r="I399" s="357">
        <f t="shared" ca="1" si="187"/>
        <v>56.019325587528066</v>
      </c>
      <c r="J399" s="359">
        <f t="shared" ca="1" si="188"/>
        <v>184.26379383972827</v>
      </c>
      <c r="K399" s="360">
        <f t="shared" ca="1" si="189"/>
        <v>-5.227356937291999</v>
      </c>
      <c r="L399" s="357">
        <f t="shared" ca="1" si="174"/>
        <v>184.33792605093436</v>
      </c>
      <c r="M399" s="359">
        <f t="shared" ca="1" si="190"/>
        <v>-1.4811040113226834</v>
      </c>
      <c r="N399" s="357">
        <f t="shared" ca="1" si="191"/>
        <v>-84.861008868686255</v>
      </c>
      <c r="O399" s="343"/>
      <c r="P399" s="363">
        <f t="shared" ca="1" si="192"/>
        <v>23</v>
      </c>
      <c r="Q399" s="357">
        <f t="shared" ca="1" si="193"/>
        <v>0</v>
      </c>
      <c r="R399" s="359">
        <f t="shared" ca="1" si="194"/>
        <v>0</v>
      </c>
      <c r="S399" s="360">
        <f t="shared" ca="1" si="195"/>
        <v>0.42898953648292248</v>
      </c>
      <c r="T399" s="357">
        <f t="shared" ca="1" si="175"/>
        <v>4.2083873528974696</v>
      </c>
      <c r="U399" s="364">
        <f t="shared" ca="1" si="176"/>
        <v>0</v>
      </c>
      <c r="V399" s="359">
        <f t="shared" ca="1" si="177"/>
        <v>1.225640518635795</v>
      </c>
      <c r="W399" s="357">
        <f t="shared" ca="1" si="178"/>
        <v>3.3904520575378676</v>
      </c>
      <c r="X399" s="343"/>
      <c r="Y399" s="367" t="str">
        <f t="shared" ca="1" si="196"/>
        <v/>
      </c>
      <c r="Z399" s="368" t="str">
        <f t="shared" ca="1" si="197"/>
        <v/>
      </c>
      <c r="AA399" s="369" t="str">
        <f t="shared" ca="1" si="198"/>
        <v/>
      </c>
      <c r="AB399" s="344"/>
      <c r="AC399" s="363" t="e">
        <f t="shared" ca="1" si="199"/>
        <v>#N/A</v>
      </c>
      <c r="AD399" s="376" t="e">
        <f t="shared" ca="1" si="200"/>
        <v>#N/A</v>
      </c>
      <c r="AE399" s="377" t="e">
        <f t="shared" ca="1" si="179"/>
        <v>#N/A</v>
      </c>
      <c r="AF399" s="344"/>
      <c r="AG399" s="359">
        <f t="shared" ca="1" si="201"/>
        <v>1.867278439997361</v>
      </c>
      <c r="AH399" s="357">
        <f t="shared" ca="1" si="202"/>
        <v>-7.9032873181122083</v>
      </c>
    </row>
    <row r="400" spans="1:34">
      <c r="A400" s="402">
        <f t="shared" ca="1" si="180"/>
        <v>1E-4</v>
      </c>
      <c r="B400" s="357">
        <f t="shared" ca="1" si="181"/>
        <v>16.904699999999963</v>
      </c>
      <c r="C400" s="342"/>
      <c r="D400" s="359">
        <f t="shared" ca="1" si="182"/>
        <v>-0.70791920139939368</v>
      </c>
      <c r="E400" s="360">
        <f t="shared" ca="1" si="183"/>
        <v>-1.9384243409088073</v>
      </c>
      <c r="F400" s="357">
        <f t="shared" ca="1" si="184"/>
        <v>2.0636468983665059</v>
      </c>
      <c r="G400" s="359">
        <f t="shared" ca="1" si="185"/>
        <v>5.0176981609663125</v>
      </c>
      <c r="H400" s="360">
        <f t="shared" ca="1" si="186"/>
        <v>-55.794340793677335</v>
      </c>
      <c r="I400" s="357">
        <f t="shared" ca="1" si="187"/>
        <v>56.019512309869064</v>
      </c>
      <c r="J400" s="359">
        <f t="shared" ca="1" si="188"/>
        <v>184.26379383972827</v>
      </c>
      <c r="K400" s="360">
        <f t="shared" ca="1" si="189"/>
        <v>-5.2329363616792453</v>
      </c>
      <c r="L400" s="357">
        <f t="shared" ca="1" si="174"/>
        <v>184.33808435365512</v>
      </c>
      <c r="M400" s="359">
        <f t="shared" ca="1" si="190"/>
        <v>-1.4811055798874937</v>
      </c>
      <c r="N400" s="357">
        <f t="shared" ca="1" si="191"/>
        <v>-84.861098740829775</v>
      </c>
      <c r="O400" s="343"/>
      <c r="P400" s="363">
        <f t="shared" ca="1" si="192"/>
        <v>23</v>
      </c>
      <c r="Q400" s="357">
        <f t="shared" ca="1" si="193"/>
        <v>0</v>
      </c>
      <c r="R400" s="359">
        <f t="shared" ca="1" si="194"/>
        <v>0</v>
      </c>
      <c r="S400" s="360">
        <f t="shared" ca="1" si="195"/>
        <v>0.42898953648292248</v>
      </c>
      <c r="T400" s="357">
        <f t="shared" ca="1" si="175"/>
        <v>4.2083873528974696</v>
      </c>
      <c r="U400" s="364">
        <f t="shared" ca="1" si="176"/>
        <v>0</v>
      </c>
      <c r="V400" s="359">
        <f t="shared" ca="1" si="177"/>
        <v>1.2256412024728927</v>
      </c>
      <c r="W400" s="357">
        <f t="shared" ca="1" si="178"/>
        <v>3.3904765512211501</v>
      </c>
      <c r="X400" s="343"/>
      <c r="Y400" s="367" t="str">
        <f t="shared" ca="1" si="196"/>
        <v/>
      </c>
      <c r="Z400" s="368" t="str">
        <f t="shared" ca="1" si="197"/>
        <v/>
      </c>
      <c r="AA400" s="369" t="str">
        <f t="shared" ca="1" si="198"/>
        <v/>
      </c>
      <c r="AB400" s="344"/>
      <c r="AC400" s="363" t="e">
        <f t="shared" ca="1" si="199"/>
        <v>#N/A</v>
      </c>
      <c r="AD400" s="376" t="e">
        <f t="shared" ca="1" si="200"/>
        <v>#N/A</v>
      </c>
      <c r="AE400" s="377" t="e">
        <f t="shared" ca="1" si="179"/>
        <v>#N/A</v>
      </c>
      <c r="AF400" s="344"/>
      <c r="AG400" s="359">
        <f t="shared" ca="1" si="201"/>
        <v>1.8672227207941718</v>
      </c>
      <c r="AH400" s="357">
        <f t="shared" ca="1" si="202"/>
        <v>-7.9033444156576467</v>
      </c>
    </row>
    <row r="401" spans="1:34">
      <c r="A401" s="402">
        <f t="shared" ca="1" si="180"/>
        <v>1E-4</v>
      </c>
      <c r="B401" s="357">
        <f t="shared" ca="1" si="181"/>
        <v>16.904799999999963</v>
      </c>
      <c r="C401" s="342"/>
      <c r="D401" s="359">
        <f t="shared" ca="1" si="182"/>
        <v>-0.70791196846188287</v>
      </c>
      <c r="E401" s="360">
        <f t="shared" ca="1" si="183"/>
        <v>-1.9383663637752981</v>
      </c>
      <c r="F401" s="357">
        <f t="shared" ca="1" si="184"/>
        <v>2.0635899581329253</v>
      </c>
      <c r="G401" s="359">
        <f t="shared" ca="1" si="185"/>
        <v>5.0176273697694667</v>
      </c>
      <c r="H401" s="360">
        <f t="shared" ca="1" si="186"/>
        <v>-55.794534630313713</v>
      </c>
      <c r="I401" s="357">
        <f t="shared" ca="1" si="187"/>
        <v>56.019699026638264</v>
      </c>
      <c r="J401" s="359">
        <f t="shared" ca="1" si="188"/>
        <v>184.26379383972827</v>
      </c>
      <c r="K401" s="360">
        <f t="shared" ca="1" si="189"/>
        <v>-5.2385158054504446</v>
      </c>
      <c r="L401" s="357">
        <f t="shared" ca="1" si="174"/>
        <v>184.33824282566502</v>
      </c>
      <c r="M401" s="359">
        <f t="shared" ca="1" si="190"/>
        <v>-1.481107148419718</v>
      </c>
      <c r="N401" s="357">
        <f t="shared" ca="1" si="191"/>
        <v>-84.861188611106257</v>
      </c>
      <c r="O401" s="343"/>
      <c r="P401" s="363">
        <f t="shared" ca="1" si="192"/>
        <v>23</v>
      </c>
      <c r="Q401" s="357">
        <f t="shared" ca="1" si="193"/>
        <v>0</v>
      </c>
      <c r="R401" s="359">
        <f t="shared" ca="1" si="194"/>
        <v>0</v>
      </c>
      <c r="S401" s="360">
        <f t="shared" ca="1" si="195"/>
        <v>0.42898953648292248</v>
      </c>
      <c r="T401" s="357">
        <f t="shared" ca="1" si="175"/>
        <v>4.2083873528974696</v>
      </c>
      <c r="U401" s="364">
        <f t="shared" ca="1" si="176"/>
        <v>0</v>
      </c>
      <c r="V401" s="359">
        <f t="shared" ca="1" si="177"/>
        <v>1.2256418863127474</v>
      </c>
      <c r="W401" s="357">
        <f t="shared" ca="1" si="178"/>
        <v>3.3905010443381691</v>
      </c>
      <c r="X401" s="343"/>
      <c r="Y401" s="367" t="str">
        <f t="shared" ca="1" si="196"/>
        <v/>
      </c>
      <c r="Z401" s="368" t="str">
        <f t="shared" ca="1" si="197"/>
        <v/>
      </c>
      <c r="AA401" s="369" t="str">
        <f t="shared" ca="1" si="198"/>
        <v/>
      </c>
      <c r="AB401" s="344"/>
      <c r="AC401" s="363" t="e">
        <f t="shared" ca="1" si="199"/>
        <v>#N/A</v>
      </c>
      <c r="AD401" s="376" t="e">
        <f t="shared" ca="1" si="200"/>
        <v>#N/A</v>
      </c>
      <c r="AE401" s="377" t="e">
        <f t="shared" ca="1" si="179"/>
        <v>#N/A</v>
      </c>
      <c r="AF401" s="344"/>
      <c r="AG401" s="359">
        <f t="shared" ca="1" si="201"/>
        <v>1.8671670028583183</v>
      </c>
      <c r="AH401" s="357">
        <f t="shared" ca="1" si="202"/>
        <v>-7.9034015118830769</v>
      </c>
    </row>
    <row r="402" spans="1:34">
      <c r="A402" s="402">
        <f t="shared" ca="1" si="180"/>
        <v>1E-4</v>
      </c>
      <c r="B402" s="357">
        <f t="shared" ca="1" si="181"/>
        <v>16.904899999999962</v>
      </c>
      <c r="C402" s="342"/>
      <c r="D402" s="359">
        <f t="shared" ca="1" si="182"/>
        <v>-0.70790473548250821</v>
      </c>
      <c r="E402" s="360">
        <f t="shared" ca="1" si="183"/>
        <v>-1.9383083879828682</v>
      </c>
      <c r="F402" s="357">
        <f t="shared" ca="1" si="184"/>
        <v>2.0635330192277768</v>
      </c>
      <c r="G402" s="359">
        <f t="shared" ca="1" si="185"/>
        <v>5.0175565792959187</v>
      </c>
      <c r="H402" s="360">
        <f t="shared" ca="1" si="186"/>
        <v>-55.794728461152509</v>
      </c>
      <c r="I402" s="357">
        <f t="shared" ca="1" si="187"/>
        <v>56.019885737835793</v>
      </c>
      <c r="J402" s="359">
        <f t="shared" ca="1" si="188"/>
        <v>184.26379383972827</v>
      </c>
      <c r="K402" s="360">
        <f t="shared" ca="1" si="189"/>
        <v>-5.244095268605018</v>
      </c>
      <c r="L402" s="357">
        <f t="shared" ca="1" si="174"/>
        <v>184.33840146696534</v>
      </c>
      <c r="M402" s="359">
        <f t="shared" ca="1" si="190"/>
        <v>-1.4811087169193573</v>
      </c>
      <c r="N402" s="357">
        <f t="shared" ca="1" si="191"/>
        <v>-84.861278479515761</v>
      </c>
      <c r="O402" s="343"/>
      <c r="P402" s="363">
        <f t="shared" ca="1" si="192"/>
        <v>23</v>
      </c>
      <c r="Q402" s="357">
        <f t="shared" ca="1" si="193"/>
        <v>0</v>
      </c>
      <c r="R402" s="359">
        <f t="shared" ca="1" si="194"/>
        <v>0</v>
      </c>
      <c r="S402" s="360">
        <f t="shared" ca="1" si="195"/>
        <v>0.42898953648292248</v>
      </c>
      <c r="T402" s="357">
        <f t="shared" ca="1" si="175"/>
        <v>4.2083873528974696</v>
      </c>
      <c r="U402" s="364">
        <f t="shared" ca="1" si="176"/>
        <v>0</v>
      </c>
      <c r="V402" s="359">
        <f t="shared" ca="1" si="177"/>
        <v>1.2256425701553599</v>
      </c>
      <c r="W402" s="357">
        <f t="shared" ca="1" si="178"/>
        <v>3.3905255368889344</v>
      </c>
      <c r="X402" s="343"/>
      <c r="Y402" s="367" t="str">
        <f t="shared" ca="1" si="196"/>
        <v/>
      </c>
      <c r="Z402" s="368" t="str">
        <f t="shared" ca="1" si="197"/>
        <v/>
      </c>
      <c r="AA402" s="369" t="str">
        <f t="shared" ca="1" si="198"/>
        <v/>
      </c>
      <c r="AB402" s="344"/>
      <c r="AC402" s="363" t="e">
        <f t="shared" ca="1" si="199"/>
        <v>#N/A</v>
      </c>
      <c r="AD402" s="376" t="e">
        <f t="shared" ca="1" si="200"/>
        <v>#N/A</v>
      </c>
      <c r="AE402" s="377" t="e">
        <f t="shared" ca="1" si="179"/>
        <v>#N/A</v>
      </c>
      <c r="AF402" s="344"/>
      <c r="AG402" s="359">
        <f t="shared" ca="1" si="201"/>
        <v>1.8671112861897852</v>
      </c>
      <c r="AH402" s="357">
        <f t="shared" ca="1" si="202"/>
        <v>-7.9034586067885142</v>
      </c>
    </row>
    <row r="403" spans="1:34">
      <c r="A403" s="402">
        <f t="shared" ca="1" si="180"/>
        <v>1E-4</v>
      </c>
      <c r="B403" s="357">
        <f t="shared" ca="1" si="181"/>
        <v>16.904999999999962</v>
      </c>
      <c r="C403" s="342"/>
      <c r="D403" s="359">
        <f t="shared" ca="1" si="182"/>
        <v>-0.70789750246127625</v>
      </c>
      <c r="E403" s="360">
        <f t="shared" ca="1" si="183"/>
        <v>-1.9382504135314935</v>
      </c>
      <c r="F403" s="357">
        <f t="shared" ca="1" si="184"/>
        <v>2.0634760816510376</v>
      </c>
      <c r="G403" s="359">
        <f t="shared" ca="1" si="185"/>
        <v>5.0174857895456721</v>
      </c>
      <c r="H403" s="360">
        <f t="shared" ca="1" si="186"/>
        <v>-55.794922286193859</v>
      </c>
      <c r="I403" s="357">
        <f t="shared" ca="1" si="187"/>
        <v>56.020072443461771</v>
      </c>
      <c r="J403" s="359">
        <f t="shared" ca="1" si="188"/>
        <v>184.26379383972827</v>
      </c>
      <c r="K403" s="360">
        <f t="shared" ca="1" si="189"/>
        <v>-5.2496747511423854</v>
      </c>
      <c r="L403" s="357">
        <f t="shared" ca="1" si="174"/>
        <v>184.33856027755741</v>
      </c>
      <c r="M403" s="359">
        <f t="shared" ca="1" si="190"/>
        <v>-1.4811102853864124</v>
      </c>
      <c r="N403" s="357">
        <f t="shared" ca="1" si="191"/>
        <v>-84.861368346058327</v>
      </c>
      <c r="O403" s="343"/>
      <c r="P403" s="363">
        <f t="shared" ca="1" si="192"/>
        <v>23</v>
      </c>
      <c r="Q403" s="357">
        <f t="shared" ca="1" si="193"/>
        <v>0</v>
      </c>
      <c r="R403" s="359">
        <f t="shared" ca="1" si="194"/>
        <v>0</v>
      </c>
      <c r="S403" s="360">
        <f t="shared" ca="1" si="195"/>
        <v>0.42898953648292248</v>
      </c>
      <c r="T403" s="357">
        <f t="shared" ca="1" si="175"/>
        <v>4.2083873528974696</v>
      </c>
      <c r="U403" s="364">
        <f t="shared" ca="1" si="176"/>
        <v>0</v>
      </c>
      <c r="V403" s="359">
        <f t="shared" ca="1" si="177"/>
        <v>1.2256432540007294</v>
      </c>
      <c r="W403" s="357">
        <f t="shared" ca="1" si="178"/>
        <v>3.3905500288734505</v>
      </c>
      <c r="X403" s="343"/>
      <c r="Y403" s="367" t="str">
        <f t="shared" ca="1" si="196"/>
        <v/>
      </c>
      <c r="Z403" s="368" t="str">
        <f t="shared" ca="1" si="197"/>
        <v/>
      </c>
      <c r="AA403" s="369" t="str">
        <f t="shared" ca="1" si="198"/>
        <v/>
      </c>
      <c r="AB403" s="344"/>
      <c r="AC403" s="363" t="e">
        <f t="shared" ca="1" si="199"/>
        <v>#N/A</v>
      </c>
      <c r="AD403" s="376" t="e">
        <f t="shared" ca="1" si="200"/>
        <v>#N/A</v>
      </c>
      <c r="AE403" s="377" t="e">
        <f t="shared" ca="1" si="179"/>
        <v>#N/A</v>
      </c>
      <c r="AF403" s="344"/>
      <c r="AG403" s="359">
        <f t="shared" ca="1" si="201"/>
        <v>1.8670555707885539</v>
      </c>
      <c r="AH403" s="357">
        <f t="shared" ca="1" si="202"/>
        <v>-7.9035157003739807</v>
      </c>
    </row>
    <row r="404" spans="1:34">
      <c r="A404" s="402">
        <f t="shared" ca="1" si="180"/>
        <v>1E-4</v>
      </c>
      <c r="B404" s="357">
        <f t="shared" ca="1" si="181"/>
        <v>16.905099999999962</v>
      </c>
      <c r="C404" s="342"/>
      <c r="D404" s="359">
        <f t="shared" ca="1" si="182"/>
        <v>-0.70789026939819277</v>
      </c>
      <c r="E404" s="360">
        <f t="shared" ca="1" si="183"/>
        <v>-1.938192440421167</v>
      </c>
      <c r="F404" s="357">
        <f t="shared" ca="1" si="184"/>
        <v>2.0634191454026989</v>
      </c>
      <c r="G404" s="359">
        <f t="shared" ca="1" si="185"/>
        <v>5.0174150005187323</v>
      </c>
      <c r="H404" s="360">
        <f t="shared" ca="1" si="186"/>
        <v>-55.795116105437899</v>
      </c>
      <c r="I404" s="357">
        <f t="shared" ca="1" si="187"/>
        <v>56.020259143516341</v>
      </c>
      <c r="J404" s="359">
        <f t="shared" ca="1" si="188"/>
        <v>184.26379383972827</v>
      </c>
      <c r="K404" s="360">
        <f t="shared" ca="1" si="189"/>
        <v>-5.2552542530619668</v>
      </c>
      <c r="L404" s="357">
        <f t="shared" ca="1" si="174"/>
        <v>184.33871925744251</v>
      </c>
      <c r="M404" s="359">
        <f t="shared" ca="1" si="190"/>
        <v>-1.4811118538208845</v>
      </c>
      <c r="N404" s="357">
        <f t="shared" ca="1" si="191"/>
        <v>-84.861458210734014</v>
      </c>
      <c r="O404" s="343"/>
      <c r="P404" s="363">
        <f t="shared" ca="1" si="192"/>
        <v>23</v>
      </c>
      <c r="Q404" s="357">
        <f t="shared" ca="1" si="193"/>
        <v>0</v>
      </c>
      <c r="R404" s="359">
        <f t="shared" ca="1" si="194"/>
        <v>0</v>
      </c>
      <c r="S404" s="360">
        <f t="shared" ca="1" si="195"/>
        <v>0.42898953648292248</v>
      </c>
      <c r="T404" s="357">
        <f t="shared" ca="1" si="175"/>
        <v>4.2083873528974696</v>
      </c>
      <c r="U404" s="364">
        <f t="shared" ca="1" si="176"/>
        <v>0</v>
      </c>
      <c r="V404" s="359">
        <f t="shared" ca="1" si="177"/>
        <v>1.2256439378488559</v>
      </c>
      <c r="W404" s="357">
        <f t="shared" ca="1" si="178"/>
        <v>3.3905745202917279</v>
      </c>
      <c r="X404" s="343"/>
      <c r="Y404" s="367" t="str">
        <f t="shared" ca="1" si="196"/>
        <v/>
      </c>
      <c r="Z404" s="368" t="str">
        <f t="shared" ca="1" si="197"/>
        <v/>
      </c>
      <c r="AA404" s="369" t="str">
        <f t="shared" ca="1" si="198"/>
        <v/>
      </c>
      <c r="AB404" s="344"/>
      <c r="AC404" s="363" t="e">
        <f t="shared" ca="1" si="199"/>
        <v>#N/A</v>
      </c>
      <c r="AD404" s="376" t="e">
        <f t="shared" ca="1" si="200"/>
        <v>#N/A</v>
      </c>
      <c r="AE404" s="377" t="e">
        <f t="shared" ca="1" si="179"/>
        <v>#N/A</v>
      </c>
      <c r="AF404" s="344"/>
      <c r="AG404" s="359">
        <f t="shared" ca="1" si="201"/>
        <v>1.8669998566546147</v>
      </c>
      <c r="AH404" s="357">
        <f t="shared" ca="1" si="202"/>
        <v>-7.9035727926394861</v>
      </c>
    </row>
    <row r="405" spans="1:34">
      <c r="A405" s="402">
        <f t="shared" ca="1" si="180"/>
        <v>1E-4</v>
      </c>
      <c r="B405" s="357">
        <f t="shared" ca="1" si="181"/>
        <v>16.905199999999962</v>
      </c>
      <c r="C405" s="342"/>
      <c r="D405" s="359">
        <f t="shared" ca="1" si="182"/>
        <v>-0.70788303629326321</v>
      </c>
      <c r="E405" s="360">
        <f t="shared" ca="1" si="183"/>
        <v>-1.9381344686518585</v>
      </c>
      <c r="F405" s="357">
        <f t="shared" ca="1" si="184"/>
        <v>2.0633622104827332</v>
      </c>
      <c r="G405" s="359">
        <f t="shared" ca="1" si="185"/>
        <v>5.0173442122151028</v>
      </c>
      <c r="H405" s="360">
        <f t="shared" ca="1" si="186"/>
        <v>-55.795309918884762</v>
      </c>
      <c r="I405" s="357">
        <f t="shared" ca="1" si="187"/>
        <v>56.020445837999624</v>
      </c>
      <c r="J405" s="359">
        <f t="shared" ca="1" si="188"/>
        <v>184.26379383972827</v>
      </c>
      <c r="K405" s="360">
        <f t="shared" ca="1" si="189"/>
        <v>-5.2608337743631832</v>
      </c>
      <c r="L405" s="357">
        <f t="shared" ca="1" si="174"/>
        <v>184.33887840662197</v>
      </c>
      <c r="M405" s="359">
        <f t="shared" ca="1" si="190"/>
        <v>-1.4811134222227744</v>
      </c>
      <c r="N405" s="357">
        <f t="shared" ca="1" si="191"/>
        <v>-84.861548073542892</v>
      </c>
      <c r="O405" s="343"/>
      <c r="P405" s="363">
        <f t="shared" ca="1" si="192"/>
        <v>23</v>
      </c>
      <c r="Q405" s="357">
        <f t="shared" ca="1" si="193"/>
        <v>0</v>
      </c>
      <c r="R405" s="359">
        <f t="shared" ca="1" si="194"/>
        <v>0</v>
      </c>
      <c r="S405" s="360">
        <f t="shared" ca="1" si="195"/>
        <v>0.42898953648292248</v>
      </c>
      <c r="T405" s="357">
        <f t="shared" ca="1" si="175"/>
        <v>4.2083873528974696</v>
      </c>
      <c r="U405" s="364">
        <f t="shared" ca="1" si="176"/>
        <v>0</v>
      </c>
      <c r="V405" s="359">
        <f t="shared" ca="1" si="177"/>
        <v>1.2256446216997401</v>
      </c>
      <c r="W405" s="357">
        <f t="shared" ca="1" si="178"/>
        <v>3.3905990111437747</v>
      </c>
      <c r="X405" s="343"/>
      <c r="Y405" s="367" t="str">
        <f t="shared" ca="1" si="196"/>
        <v/>
      </c>
      <c r="Z405" s="368" t="str">
        <f t="shared" ca="1" si="197"/>
        <v/>
      </c>
      <c r="AA405" s="369" t="str">
        <f t="shared" ca="1" si="198"/>
        <v/>
      </c>
      <c r="AB405" s="344"/>
      <c r="AC405" s="363" t="e">
        <f t="shared" ca="1" si="199"/>
        <v>#N/A</v>
      </c>
      <c r="AD405" s="376" t="e">
        <f t="shared" ca="1" si="200"/>
        <v>#N/A</v>
      </c>
      <c r="AE405" s="377" t="e">
        <f t="shared" ca="1" si="179"/>
        <v>#N/A</v>
      </c>
      <c r="AF405" s="344"/>
      <c r="AG405" s="359">
        <f t="shared" ca="1" si="201"/>
        <v>1.866944143787947</v>
      </c>
      <c r="AH405" s="357">
        <f t="shared" ca="1" si="202"/>
        <v>-7.9036298835850562</v>
      </c>
    </row>
    <row r="406" spans="1:34">
      <c r="A406" s="402">
        <f t="shared" ca="1" si="180"/>
        <v>1E-4</v>
      </c>
      <c r="B406" s="357">
        <f t="shared" ca="1" si="181"/>
        <v>16.905299999999961</v>
      </c>
      <c r="C406" s="342"/>
      <c r="D406" s="359">
        <f t="shared" ca="1" si="182"/>
        <v>-0.70787580314649412</v>
      </c>
      <c r="E406" s="360">
        <f t="shared" ca="1" si="183"/>
        <v>-1.9380764982235528</v>
      </c>
      <c r="F406" s="357">
        <f t="shared" ca="1" si="184"/>
        <v>2.0633052768911253</v>
      </c>
      <c r="G406" s="359">
        <f t="shared" ca="1" si="185"/>
        <v>5.0172734246347881</v>
      </c>
      <c r="H406" s="360">
        <f t="shared" ca="1" si="186"/>
        <v>-55.795503726534584</v>
      </c>
      <c r="I406" s="357">
        <f t="shared" ca="1" si="187"/>
        <v>56.020632526911733</v>
      </c>
      <c r="J406" s="359">
        <f t="shared" ca="1" si="188"/>
        <v>184.26379383972827</v>
      </c>
      <c r="K406" s="360">
        <f t="shared" ca="1" si="189"/>
        <v>-5.2664133150454546</v>
      </c>
      <c r="L406" s="357">
        <f t="shared" ca="1" si="174"/>
        <v>184.33903772509709</v>
      </c>
      <c r="M406" s="359">
        <f t="shared" ca="1" si="190"/>
        <v>-1.4811149905920831</v>
      </c>
      <c r="N406" s="357">
        <f t="shared" ca="1" si="191"/>
        <v>-84.861637934484989</v>
      </c>
      <c r="O406" s="343"/>
      <c r="P406" s="363">
        <f t="shared" ca="1" si="192"/>
        <v>23</v>
      </c>
      <c r="Q406" s="357">
        <f t="shared" ca="1" si="193"/>
        <v>0</v>
      </c>
      <c r="R406" s="359">
        <f t="shared" ca="1" si="194"/>
        <v>0</v>
      </c>
      <c r="S406" s="360">
        <f t="shared" ca="1" si="195"/>
        <v>0.42898953648292248</v>
      </c>
      <c r="T406" s="357">
        <f t="shared" ca="1" si="175"/>
        <v>4.2083873528974696</v>
      </c>
      <c r="U406" s="364">
        <f t="shared" ca="1" si="176"/>
        <v>0</v>
      </c>
      <c r="V406" s="359">
        <f t="shared" ca="1" si="177"/>
        <v>1.2256453055533811</v>
      </c>
      <c r="W406" s="357">
        <f t="shared" ca="1" si="178"/>
        <v>3.3906235014295953</v>
      </c>
      <c r="X406" s="343"/>
      <c r="Y406" s="367" t="str">
        <f t="shared" ca="1" si="196"/>
        <v/>
      </c>
      <c r="Z406" s="368" t="str">
        <f t="shared" ca="1" si="197"/>
        <v/>
      </c>
      <c r="AA406" s="369" t="str">
        <f t="shared" ca="1" si="198"/>
        <v/>
      </c>
      <c r="AB406" s="344"/>
      <c r="AC406" s="363" t="e">
        <f t="shared" ca="1" si="199"/>
        <v>#N/A</v>
      </c>
      <c r="AD406" s="376" t="e">
        <f t="shared" ca="1" si="200"/>
        <v>#N/A</v>
      </c>
      <c r="AE406" s="377" t="e">
        <f t="shared" ca="1" si="179"/>
        <v>#N/A</v>
      </c>
      <c r="AF406" s="344"/>
      <c r="AG406" s="359">
        <f t="shared" ca="1" si="201"/>
        <v>1.8668884321885351</v>
      </c>
      <c r="AH406" s="357">
        <f t="shared" ca="1" si="202"/>
        <v>-7.9036869732107089</v>
      </c>
    </row>
    <row r="407" spans="1:34">
      <c r="A407" s="402">
        <f t="shared" ca="1" si="180"/>
        <v>1E-4</v>
      </c>
      <c r="B407" s="357">
        <f t="shared" ca="1" si="181"/>
        <v>16.905399999999961</v>
      </c>
      <c r="C407" s="342"/>
      <c r="D407" s="359">
        <f t="shared" ca="1" si="182"/>
        <v>-0.70786856995789138</v>
      </c>
      <c r="E407" s="360">
        <f t="shared" ca="1" si="183"/>
        <v>-1.9380185291362375</v>
      </c>
      <c r="F407" s="357">
        <f t="shared" ca="1" si="184"/>
        <v>2.0632483446278629</v>
      </c>
      <c r="G407" s="359">
        <f t="shared" ca="1" si="185"/>
        <v>5.0172026377777925</v>
      </c>
      <c r="H407" s="360">
        <f t="shared" ca="1" si="186"/>
        <v>-55.7956975283875</v>
      </c>
      <c r="I407" s="357">
        <f t="shared" ca="1" si="187"/>
        <v>56.020819210252824</v>
      </c>
      <c r="J407" s="359">
        <f t="shared" ca="1" si="188"/>
        <v>184.26379383972827</v>
      </c>
      <c r="K407" s="360">
        <f t="shared" ca="1" si="189"/>
        <v>-5.271992875108201</v>
      </c>
      <c r="L407" s="357">
        <f t="shared" ca="1" si="174"/>
        <v>184.33919721286915</v>
      </c>
      <c r="M407" s="359">
        <f t="shared" ca="1" si="190"/>
        <v>-1.4811165589288113</v>
      </c>
      <c r="N407" s="357">
        <f t="shared" ca="1" si="191"/>
        <v>-84.861727793560377</v>
      </c>
      <c r="O407" s="343"/>
      <c r="P407" s="363">
        <f t="shared" ca="1" si="192"/>
        <v>23</v>
      </c>
      <c r="Q407" s="357">
        <f t="shared" ca="1" si="193"/>
        <v>0</v>
      </c>
      <c r="R407" s="359">
        <f t="shared" ca="1" si="194"/>
        <v>0</v>
      </c>
      <c r="S407" s="360">
        <f t="shared" ca="1" si="195"/>
        <v>0.42898953648292248</v>
      </c>
      <c r="T407" s="357">
        <f t="shared" ca="1" si="175"/>
        <v>4.2083873528974696</v>
      </c>
      <c r="U407" s="364">
        <f t="shared" ca="1" si="176"/>
        <v>0</v>
      </c>
      <c r="V407" s="359">
        <f t="shared" ca="1" si="177"/>
        <v>1.2256459894097789</v>
      </c>
      <c r="W407" s="357">
        <f t="shared" ca="1" si="178"/>
        <v>3.3906479911492009</v>
      </c>
      <c r="X407" s="343"/>
      <c r="Y407" s="367" t="str">
        <f t="shared" ca="1" si="196"/>
        <v/>
      </c>
      <c r="Z407" s="368" t="str">
        <f t="shared" ca="1" si="197"/>
        <v/>
      </c>
      <c r="AA407" s="369" t="str">
        <f t="shared" ca="1" si="198"/>
        <v/>
      </c>
      <c r="AB407" s="344"/>
      <c r="AC407" s="363" t="e">
        <f t="shared" ca="1" si="199"/>
        <v>#N/A</v>
      </c>
      <c r="AD407" s="376" t="e">
        <f t="shared" ca="1" si="200"/>
        <v>#N/A</v>
      </c>
      <c r="AE407" s="377" t="e">
        <f t="shared" ca="1" si="179"/>
        <v>#N/A</v>
      </c>
      <c r="AF407" s="344"/>
      <c r="AG407" s="359">
        <f t="shared" ca="1" si="201"/>
        <v>1.8668327218563689</v>
      </c>
      <c r="AH407" s="357">
        <f t="shared" ca="1" si="202"/>
        <v>-7.9037440615164556</v>
      </c>
    </row>
    <row r="408" spans="1:34">
      <c r="A408" s="402">
        <f t="shared" ca="1" si="180"/>
        <v>1E-4</v>
      </c>
      <c r="B408" s="357">
        <f t="shared" ca="1" si="181"/>
        <v>16.905499999999961</v>
      </c>
      <c r="C408" s="342"/>
      <c r="D408" s="359">
        <f t="shared" ca="1" si="182"/>
        <v>-0.70786133672746177</v>
      </c>
      <c r="E408" s="360">
        <f t="shared" ca="1" si="183"/>
        <v>-1.9379605613898887</v>
      </c>
      <c r="F408" s="357">
        <f t="shared" ca="1" si="184"/>
        <v>2.0631914136929228</v>
      </c>
      <c r="G408" s="359">
        <f t="shared" ca="1" si="185"/>
        <v>5.0171318516441197</v>
      </c>
      <c r="H408" s="360">
        <f t="shared" ca="1" si="186"/>
        <v>-55.795891324443637</v>
      </c>
      <c r="I408" s="357">
        <f t="shared" ca="1" si="187"/>
        <v>56.021005888022991</v>
      </c>
      <c r="J408" s="359">
        <f t="shared" ca="1" si="188"/>
        <v>184.26379383972827</v>
      </c>
      <c r="K408" s="360">
        <f t="shared" ca="1" si="189"/>
        <v>-5.2775724545508425</v>
      </c>
      <c r="L408" s="357">
        <f t="shared" ca="1" si="174"/>
        <v>184.33935686993954</v>
      </c>
      <c r="M408" s="359">
        <f t="shared" ca="1" si="190"/>
        <v>-1.4811181272329603</v>
      </c>
      <c r="N408" s="357">
        <f t="shared" ca="1" si="191"/>
        <v>-84.861817650769112</v>
      </c>
      <c r="O408" s="343"/>
      <c r="P408" s="363">
        <f t="shared" ca="1" si="192"/>
        <v>23</v>
      </c>
      <c r="Q408" s="357">
        <f t="shared" ca="1" si="193"/>
        <v>0</v>
      </c>
      <c r="R408" s="359">
        <f t="shared" ca="1" si="194"/>
        <v>0</v>
      </c>
      <c r="S408" s="360">
        <f t="shared" ca="1" si="195"/>
        <v>0.42898953648292248</v>
      </c>
      <c r="T408" s="357">
        <f t="shared" ca="1" si="175"/>
        <v>4.2083873528974696</v>
      </c>
      <c r="U408" s="364">
        <f t="shared" ca="1" si="176"/>
        <v>0</v>
      </c>
      <c r="V408" s="359">
        <f t="shared" ca="1" si="177"/>
        <v>1.225646673268934</v>
      </c>
      <c r="W408" s="357">
        <f t="shared" ca="1" si="178"/>
        <v>3.3906724803025945</v>
      </c>
      <c r="X408" s="343"/>
      <c r="Y408" s="367" t="str">
        <f t="shared" ca="1" si="196"/>
        <v/>
      </c>
      <c r="Z408" s="368" t="str">
        <f t="shared" ca="1" si="197"/>
        <v/>
      </c>
      <c r="AA408" s="369" t="str">
        <f t="shared" ca="1" si="198"/>
        <v/>
      </c>
      <c r="AB408" s="344"/>
      <c r="AC408" s="363" t="e">
        <f t="shared" ca="1" si="199"/>
        <v>#N/A</v>
      </c>
      <c r="AD408" s="376" t="e">
        <f t="shared" ca="1" si="200"/>
        <v>#N/A</v>
      </c>
      <c r="AE408" s="377" t="e">
        <f t="shared" ca="1" si="179"/>
        <v>#N/A</v>
      </c>
      <c r="AF408" s="344"/>
      <c r="AG408" s="359">
        <f t="shared" ca="1" si="201"/>
        <v>1.8667770127914265</v>
      </c>
      <c r="AH408" s="357">
        <f t="shared" ca="1" si="202"/>
        <v>-7.9038011485023203</v>
      </c>
    </row>
    <row r="409" spans="1:34">
      <c r="A409" s="402">
        <f t="shared" ca="1" si="180"/>
        <v>1E-4</v>
      </c>
      <c r="B409" s="357">
        <f t="shared" ca="1" si="181"/>
        <v>16.905599999999961</v>
      </c>
      <c r="C409" s="342"/>
      <c r="D409" s="359">
        <f t="shared" ca="1" si="182"/>
        <v>-0.70785410345520938</v>
      </c>
      <c r="E409" s="360">
        <f t="shared" ca="1" si="183"/>
        <v>-1.9379025949844957</v>
      </c>
      <c r="F409" s="357">
        <f t="shared" ca="1" si="184"/>
        <v>2.0631344840862944</v>
      </c>
      <c r="G409" s="359">
        <f t="shared" ca="1" si="185"/>
        <v>5.017061066233774</v>
      </c>
      <c r="H409" s="360">
        <f t="shared" ca="1" si="186"/>
        <v>-55.796085114703139</v>
      </c>
      <c r="I409" s="357">
        <f t="shared" ca="1" si="187"/>
        <v>56.021192560222389</v>
      </c>
      <c r="J409" s="359">
        <f t="shared" ca="1" si="188"/>
        <v>184.26379383972827</v>
      </c>
      <c r="K409" s="360">
        <f t="shared" ca="1" si="189"/>
        <v>-5.2831520533727998</v>
      </c>
      <c r="L409" s="357">
        <f t="shared" ca="1" si="174"/>
        <v>184.3395166963094</v>
      </c>
      <c r="M409" s="359">
        <f t="shared" ca="1" si="190"/>
        <v>-1.4811196955045309</v>
      </c>
      <c r="N409" s="357">
        <f t="shared" ca="1" si="191"/>
        <v>-84.861907506111237</v>
      </c>
      <c r="O409" s="343"/>
      <c r="P409" s="363">
        <f t="shared" ca="1" si="192"/>
        <v>23</v>
      </c>
      <c r="Q409" s="357">
        <f t="shared" ca="1" si="193"/>
        <v>0</v>
      </c>
      <c r="R409" s="359">
        <f t="shared" ca="1" si="194"/>
        <v>0</v>
      </c>
      <c r="S409" s="360">
        <f t="shared" ca="1" si="195"/>
        <v>0.42898953648292248</v>
      </c>
      <c r="T409" s="357">
        <f t="shared" ca="1" si="175"/>
        <v>4.2083873528974696</v>
      </c>
      <c r="U409" s="364">
        <f t="shared" ca="1" si="176"/>
        <v>0</v>
      </c>
      <c r="V409" s="359">
        <f t="shared" ca="1" si="177"/>
        <v>1.2256473571308462</v>
      </c>
      <c r="W409" s="357">
        <f t="shared" ca="1" si="178"/>
        <v>3.3906969688897899</v>
      </c>
      <c r="X409" s="343"/>
      <c r="Y409" s="367" t="str">
        <f t="shared" ca="1" si="196"/>
        <v/>
      </c>
      <c r="Z409" s="368" t="str">
        <f t="shared" ca="1" si="197"/>
        <v/>
      </c>
      <c r="AA409" s="369" t="str">
        <f t="shared" ca="1" si="198"/>
        <v/>
      </c>
      <c r="AB409" s="344"/>
      <c r="AC409" s="363" t="e">
        <f t="shared" ca="1" si="199"/>
        <v>#N/A</v>
      </c>
      <c r="AD409" s="376" t="e">
        <f t="shared" ca="1" si="200"/>
        <v>#N/A</v>
      </c>
      <c r="AE409" s="377" t="e">
        <f t="shared" ca="1" si="179"/>
        <v>#N/A</v>
      </c>
      <c r="AF409" s="344"/>
      <c r="AG409" s="359">
        <f t="shared" ca="1" si="201"/>
        <v>1.8667213049937006</v>
      </c>
      <c r="AH409" s="357">
        <f t="shared" ca="1" si="202"/>
        <v>-7.9038582341683119</v>
      </c>
    </row>
    <row r="410" spans="1:34">
      <c r="A410" s="402">
        <f t="shared" ca="1" si="180"/>
        <v>1E-4</v>
      </c>
      <c r="B410" s="357">
        <f t="shared" ca="1" si="181"/>
        <v>16.90569999999996</v>
      </c>
      <c r="C410" s="342"/>
      <c r="D410" s="359">
        <f t="shared" ca="1" si="182"/>
        <v>-0.70784687014114189</v>
      </c>
      <c r="E410" s="360">
        <f t="shared" ca="1" si="183"/>
        <v>-1.9378446299200274</v>
      </c>
      <c r="F410" s="357">
        <f t="shared" ca="1" si="184"/>
        <v>2.0630775558079484</v>
      </c>
      <c r="G410" s="359">
        <f t="shared" ca="1" si="185"/>
        <v>5.01699028154676</v>
      </c>
      <c r="H410" s="360">
        <f t="shared" ca="1" si="186"/>
        <v>-55.796278899166133</v>
      </c>
      <c r="I410" s="357">
        <f t="shared" ca="1" si="187"/>
        <v>56.021379226851124</v>
      </c>
      <c r="J410" s="359">
        <f t="shared" ca="1" si="188"/>
        <v>184.26379383972827</v>
      </c>
      <c r="K410" s="360">
        <f t="shared" ca="1" si="189"/>
        <v>-5.2887316715734931</v>
      </c>
      <c r="L410" s="357">
        <f t="shared" ca="1" si="174"/>
        <v>184.3396766919802</v>
      </c>
      <c r="M410" s="359">
        <f t="shared" ca="1" si="190"/>
        <v>-1.481121263743524</v>
      </c>
      <c r="N410" s="357">
        <f t="shared" ca="1" si="191"/>
        <v>-84.861997359586809</v>
      </c>
      <c r="O410" s="343"/>
      <c r="P410" s="363">
        <f t="shared" ca="1" si="192"/>
        <v>23</v>
      </c>
      <c r="Q410" s="357">
        <f t="shared" ca="1" si="193"/>
        <v>0</v>
      </c>
      <c r="R410" s="359">
        <f t="shared" ca="1" si="194"/>
        <v>0</v>
      </c>
      <c r="S410" s="360">
        <f t="shared" ca="1" si="195"/>
        <v>0.42898953648292248</v>
      </c>
      <c r="T410" s="357">
        <f t="shared" ca="1" si="175"/>
        <v>4.2083873528974696</v>
      </c>
      <c r="U410" s="364">
        <f t="shared" ca="1" si="176"/>
        <v>0</v>
      </c>
      <c r="V410" s="359">
        <f t="shared" ca="1" si="177"/>
        <v>1.2256480409955148</v>
      </c>
      <c r="W410" s="357">
        <f t="shared" ca="1" si="178"/>
        <v>3.3907214569107893</v>
      </c>
      <c r="X410" s="343"/>
      <c r="Y410" s="367" t="str">
        <f t="shared" ca="1" si="196"/>
        <v/>
      </c>
      <c r="Z410" s="368" t="str">
        <f t="shared" ca="1" si="197"/>
        <v/>
      </c>
      <c r="AA410" s="369" t="str">
        <f t="shared" ca="1" si="198"/>
        <v/>
      </c>
      <c r="AB410" s="344"/>
      <c r="AC410" s="363" t="e">
        <f t="shared" ca="1" si="199"/>
        <v>#N/A</v>
      </c>
      <c r="AD410" s="376" t="e">
        <f t="shared" ca="1" si="200"/>
        <v>#N/A</v>
      </c>
      <c r="AE410" s="377" t="e">
        <f t="shared" ca="1" si="179"/>
        <v>#N/A</v>
      </c>
      <c r="AF410" s="344"/>
      <c r="AG410" s="359">
        <f t="shared" ca="1" si="201"/>
        <v>1.8666655984631628</v>
      </c>
      <c r="AH410" s="357">
        <f t="shared" ca="1" si="202"/>
        <v>-7.9039153185144624</v>
      </c>
    </row>
    <row r="411" spans="1:34">
      <c r="A411" s="402">
        <f t="shared" ca="1" si="180"/>
        <v>1E-4</v>
      </c>
      <c r="B411" s="357">
        <f t="shared" ca="1" si="181"/>
        <v>16.90579999999996</v>
      </c>
      <c r="C411" s="342"/>
      <c r="D411" s="359">
        <f t="shared" ca="1" si="182"/>
        <v>-0.70783963678526463</v>
      </c>
      <c r="E411" s="360">
        <f t="shared" ca="1" si="183"/>
        <v>-1.9377866661964775</v>
      </c>
      <c r="F411" s="357">
        <f t="shared" ca="1" si="184"/>
        <v>2.0630206288578776</v>
      </c>
      <c r="G411" s="359">
        <f t="shared" ca="1" si="185"/>
        <v>5.0169194975830811</v>
      </c>
      <c r="H411" s="360">
        <f t="shared" ca="1" si="186"/>
        <v>-55.796472677832753</v>
      </c>
      <c r="I411" s="357">
        <f t="shared" ca="1" si="187"/>
        <v>56.021565887909325</v>
      </c>
      <c r="J411" s="359">
        <f t="shared" ca="1" si="188"/>
        <v>184.26379383972827</v>
      </c>
      <c r="K411" s="360">
        <f t="shared" ca="1" si="189"/>
        <v>-5.2943113091523433</v>
      </c>
      <c r="L411" s="357">
        <f t="shared" ca="1" si="174"/>
        <v>184.33983685695316</v>
      </c>
      <c r="M411" s="359">
        <f t="shared" ca="1" si="190"/>
        <v>-1.4811228319499405</v>
      </c>
      <c r="N411" s="357">
        <f t="shared" ca="1" si="191"/>
        <v>-84.86208721119587</v>
      </c>
      <c r="O411" s="343"/>
      <c r="P411" s="363">
        <f t="shared" ca="1" si="192"/>
        <v>23</v>
      </c>
      <c r="Q411" s="357">
        <f t="shared" ca="1" si="193"/>
        <v>0</v>
      </c>
      <c r="R411" s="359">
        <f t="shared" ca="1" si="194"/>
        <v>0</v>
      </c>
      <c r="S411" s="360">
        <f t="shared" ca="1" si="195"/>
        <v>0.42898953648292248</v>
      </c>
      <c r="T411" s="357">
        <f t="shared" ca="1" si="175"/>
        <v>4.2083873528974696</v>
      </c>
      <c r="U411" s="364">
        <f t="shared" ca="1" si="176"/>
        <v>0</v>
      </c>
      <c r="V411" s="359">
        <f t="shared" ca="1" si="177"/>
        <v>1.2256487248629404</v>
      </c>
      <c r="W411" s="357">
        <f t="shared" ca="1" si="178"/>
        <v>3.3907459443656016</v>
      </c>
      <c r="X411" s="343"/>
      <c r="Y411" s="367" t="str">
        <f t="shared" ca="1" si="196"/>
        <v/>
      </c>
      <c r="Z411" s="368" t="str">
        <f t="shared" ca="1" si="197"/>
        <v/>
      </c>
      <c r="AA411" s="369" t="str">
        <f t="shared" ca="1" si="198"/>
        <v/>
      </c>
      <c r="AB411" s="344"/>
      <c r="AC411" s="363" t="e">
        <f t="shared" ca="1" si="199"/>
        <v>#N/A</v>
      </c>
      <c r="AD411" s="376" t="e">
        <f t="shared" ca="1" si="200"/>
        <v>#N/A</v>
      </c>
      <c r="AE411" s="377" t="e">
        <f t="shared" ca="1" si="179"/>
        <v>#N/A</v>
      </c>
      <c r="AF411" s="344"/>
      <c r="AG411" s="359">
        <f t="shared" ca="1" si="201"/>
        <v>1.8666098931998123</v>
      </c>
      <c r="AH411" s="357">
        <f t="shared" ca="1" si="202"/>
        <v>-7.9039724015407762</v>
      </c>
    </row>
    <row r="412" spans="1:34">
      <c r="A412" s="402">
        <f t="shared" ca="1" si="180"/>
        <v>1E-4</v>
      </c>
      <c r="B412" s="357">
        <f t="shared" ca="1" si="181"/>
        <v>16.90589999999996</v>
      </c>
      <c r="C412" s="342"/>
      <c r="D412" s="359">
        <f t="shared" ca="1" si="182"/>
        <v>-0.70783240338758413</v>
      </c>
      <c r="E412" s="360">
        <f t="shared" ca="1" si="183"/>
        <v>-1.9377287038138267</v>
      </c>
      <c r="F412" s="357">
        <f t="shared" ca="1" si="184"/>
        <v>2.0629637032360644</v>
      </c>
      <c r="G412" s="359">
        <f t="shared" ca="1" si="185"/>
        <v>5.0168487143427427</v>
      </c>
      <c r="H412" s="360">
        <f t="shared" ca="1" si="186"/>
        <v>-55.796666450703135</v>
      </c>
      <c r="I412" s="357">
        <f t="shared" ca="1" si="187"/>
        <v>56.021752543397135</v>
      </c>
      <c r="J412" s="359">
        <f t="shared" ca="1" si="188"/>
        <v>184.26379383972827</v>
      </c>
      <c r="K412" s="360">
        <f t="shared" ca="1" si="189"/>
        <v>-5.2998909661087703</v>
      </c>
      <c r="L412" s="357">
        <f t="shared" ca="1" si="174"/>
        <v>184.33999719122957</v>
      </c>
      <c r="M412" s="359">
        <f t="shared" ca="1" si="190"/>
        <v>-1.4811244001237813</v>
      </c>
      <c r="N412" s="357">
        <f t="shared" ca="1" si="191"/>
        <v>-84.862177060938492</v>
      </c>
      <c r="O412" s="343"/>
      <c r="P412" s="363">
        <f t="shared" ca="1" si="192"/>
        <v>23</v>
      </c>
      <c r="Q412" s="357">
        <f t="shared" ca="1" si="193"/>
        <v>0</v>
      </c>
      <c r="R412" s="359">
        <f t="shared" ca="1" si="194"/>
        <v>0</v>
      </c>
      <c r="S412" s="360">
        <f t="shared" ca="1" si="195"/>
        <v>0.42898953648292248</v>
      </c>
      <c r="T412" s="357">
        <f t="shared" ca="1" si="175"/>
        <v>4.2083873528974696</v>
      </c>
      <c r="U412" s="364">
        <f t="shared" ca="1" si="176"/>
        <v>0</v>
      </c>
      <c r="V412" s="359">
        <f t="shared" ca="1" si="177"/>
        <v>1.225649408733122</v>
      </c>
      <c r="W412" s="357">
        <f t="shared" ca="1" si="178"/>
        <v>3.3907704312542339</v>
      </c>
      <c r="X412" s="343"/>
      <c r="Y412" s="367" t="str">
        <f t="shared" ca="1" si="196"/>
        <v/>
      </c>
      <c r="Z412" s="368" t="str">
        <f t="shared" ca="1" si="197"/>
        <v/>
      </c>
      <c r="AA412" s="369" t="str">
        <f t="shared" ca="1" si="198"/>
        <v/>
      </c>
      <c r="AB412" s="344"/>
      <c r="AC412" s="363" t="e">
        <f t="shared" ca="1" si="199"/>
        <v>#N/A</v>
      </c>
      <c r="AD412" s="376" t="e">
        <f t="shared" ca="1" si="200"/>
        <v>#N/A</v>
      </c>
      <c r="AE412" s="377" t="e">
        <f t="shared" ca="1" si="179"/>
        <v>#N/A</v>
      </c>
      <c r="AF412" s="344"/>
      <c r="AG412" s="359">
        <f t="shared" ca="1" si="201"/>
        <v>1.8665541892036295</v>
      </c>
      <c r="AH412" s="357">
        <f t="shared" ca="1" si="202"/>
        <v>-7.9040294832472746</v>
      </c>
    </row>
    <row r="413" spans="1:34">
      <c r="A413" s="402">
        <f t="shared" ca="1" si="180"/>
        <v>1E-4</v>
      </c>
      <c r="B413" s="357">
        <f t="shared" ca="1" si="181"/>
        <v>16.90599999999996</v>
      </c>
      <c r="C413" s="342"/>
      <c r="D413" s="359">
        <f t="shared" ca="1" si="182"/>
        <v>-0.70782516994810685</v>
      </c>
      <c r="E413" s="360">
        <f t="shared" ca="1" si="183"/>
        <v>-1.9376707427720579</v>
      </c>
      <c r="F413" s="357">
        <f t="shared" ca="1" si="184"/>
        <v>2.0629067789424913</v>
      </c>
      <c r="G413" s="359">
        <f t="shared" ca="1" si="185"/>
        <v>5.0167779318257475</v>
      </c>
      <c r="H413" s="360">
        <f t="shared" ca="1" si="186"/>
        <v>-55.796860217777414</v>
      </c>
      <c r="I413" s="357">
        <f t="shared" ca="1" si="187"/>
        <v>56.021939193314665</v>
      </c>
      <c r="J413" s="359">
        <f t="shared" ca="1" si="188"/>
        <v>184.26379383972827</v>
      </c>
      <c r="K413" s="360">
        <f t="shared" ca="1" si="189"/>
        <v>-5.3054706424421942</v>
      </c>
      <c r="L413" s="357">
        <f t="shared" ca="1" si="174"/>
        <v>184.34015769481076</v>
      </c>
      <c r="M413" s="359">
        <f t="shared" ca="1" si="190"/>
        <v>-1.4811259682650475</v>
      </c>
      <c r="N413" s="357">
        <f t="shared" ca="1" si="191"/>
        <v>-84.862266908814732</v>
      </c>
      <c r="O413" s="343"/>
      <c r="P413" s="363">
        <f t="shared" ca="1" si="192"/>
        <v>23</v>
      </c>
      <c r="Q413" s="357">
        <f t="shared" ca="1" si="193"/>
        <v>0</v>
      </c>
      <c r="R413" s="359">
        <f t="shared" ca="1" si="194"/>
        <v>0</v>
      </c>
      <c r="S413" s="360">
        <f t="shared" ca="1" si="195"/>
        <v>0.42898953648292248</v>
      </c>
      <c r="T413" s="357">
        <f t="shared" ca="1" si="175"/>
        <v>4.2083873528974696</v>
      </c>
      <c r="U413" s="364">
        <f t="shared" ca="1" si="176"/>
        <v>0</v>
      </c>
      <c r="V413" s="359">
        <f t="shared" ca="1" si="177"/>
        <v>1.2256500926060609</v>
      </c>
      <c r="W413" s="357">
        <f t="shared" ca="1" si="178"/>
        <v>3.3907949175766974</v>
      </c>
      <c r="X413" s="343"/>
      <c r="Y413" s="367" t="str">
        <f t="shared" ca="1" si="196"/>
        <v/>
      </c>
      <c r="Z413" s="368" t="str">
        <f t="shared" ca="1" si="197"/>
        <v/>
      </c>
      <c r="AA413" s="369" t="str">
        <f t="shared" ca="1" si="198"/>
        <v/>
      </c>
      <c r="AB413" s="344"/>
      <c r="AC413" s="363" t="e">
        <f t="shared" ca="1" si="199"/>
        <v>#N/A</v>
      </c>
      <c r="AD413" s="376" t="e">
        <f t="shared" ca="1" si="200"/>
        <v>#N/A</v>
      </c>
      <c r="AE413" s="377" t="e">
        <f t="shared" ca="1" si="179"/>
        <v>#N/A</v>
      </c>
      <c r="AF413" s="344"/>
      <c r="AG413" s="359">
        <f t="shared" ca="1" si="201"/>
        <v>1.8664984864745966</v>
      </c>
      <c r="AH413" s="357">
        <f t="shared" ca="1" si="202"/>
        <v>-7.9040865636339737</v>
      </c>
    </row>
    <row r="414" spans="1:34">
      <c r="A414" s="402">
        <f t="shared" ca="1" si="180"/>
        <v>1E-4</v>
      </c>
      <c r="B414" s="357">
        <f t="shared" ca="1" si="181"/>
        <v>16.906099999999959</v>
      </c>
      <c r="C414" s="342"/>
      <c r="D414" s="359">
        <f t="shared" ca="1" si="182"/>
        <v>-0.70781793646683822</v>
      </c>
      <c r="E414" s="360">
        <f t="shared" ca="1" si="183"/>
        <v>-1.9376127830711427</v>
      </c>
      <c r="F414" s="357">
        <f t="shared" ca="1" si="184"/>
        <v>2.0628498559771318</v>
      </c>
      <c r="G414" s="359">
        <f t="shared" ca="1" si="185"/>
        <v>5.0167071500321008</v>
      </c>
      <c r="H414" s="360">
        <f t="shared" ca="1" si="186"/>
        <v>-55.797053979055718</v>
      </c>
      <c r="I414" s="357">
        <f t="shared" ca="1" si="187"/>
        <v>56.022125837662038</v>
      </c>
      <c r="J414" s="359">
        <f t="shared" ca="1" si="188"/>
        <v>184.26379383972827</v>
      </c>
      <c r="K414" s="360">
        <f t="shared" ca="1" si="189"/>
        <v>-5.311050338152036</v>
      </c>
      <c r="L414" s="357">
        <f t="shared" ca="1" si="174"/>
        <v>184.34031836769802</v>
      </c>
      <c r="M414" s="359">
        <f t="shared" ca="1" si="190"/>
        <v>-1.48112753637374</v>
      </c>
      <c r="N414" s="357">
        <f t="shared" ca="1" si="191"/>
        <v>-84.862356754824617</v>
      </c>
      <c r="O414" s="343"/>
      <c r="P414" s="363">
        <f t="shared" ca="1" si="192"/>
        <v>23</v>
      </c>
      <c r="Q414" s="357">
        <f t="shared" ca="1" si="193"/>
        <v>0</v>
      </c>
      <c r="R414" s="359">
        <f t="shared" ca="1" si="194"/>
        <v>0</v>
      </c>
      <c r="S414" s="360">
        <f t="shared" ca="1" si="195"/>
        <v>0.42898953648292248</v>
      </c>
      <c r="T414" s="357">
        <f t="shared" ca="1" si="175"/>
        <v>4.2083873528974696</v>
      </c>
      <c r="U414" s="364">
        <f t="shared" ca="1" si="176"/>
        <v>0</v>
      </c>
      <c r="V414" s="359">
        <f t="shared" ca="1" si="177"/>
        <v>1.2256507764817561</v>
      </c>
      <c r="W414" s="357">
        <f t="shared" ca="1" si="178"/>
        <v>3.3908194033329941</v>
      </c>
      <c r="X414" s="343"/>
      <c r="Y414" s="367" t="str">
        <f t="shared" ca="1" si="196"/>
        <v/>
      </c>
      <c r="Z414" s="368" t="str">
        <f t="shared" ca="1" si="197"/>
        <v/>
      </c>
      <c r="AA414" s="369" t="str">
        <f t="shared" ca="1" si="198"/>
        <v/>
      </c>
      <c r="AB414" s="344"/>
      <c r="AC414" s="363" t="e">
        <f t="shared" ca="1" si="199"/>
        <v>#N/A</v>
      </c>
      <c r="AD414" s="376" t="e">
        <f t="shared" ca="1" si="200"/>
        <v>#N/A</v>
      </c>
      <c r="AE414" s="377" t="e">
        <f t="shared" ca="1" si="179"/>
        <v>#N/A</v>
      </c>
      <c r="AF414" s="344"/>
      <c r="AG414" s="359">
        <f t="shared" ca="1" si="201"/>
        <v>1.8664427850126923</v>
      </c>
      <c r="AH414" s="357">
        <f t="shared" ca="1" si="202"/>
        <v>-7.9041436427009</v>
      </c>
    </row>
    <row r="415" spans="1:34">
      <c r="A415" s="402">
        <f t="shared" ca="1" si="180"/>
        <v>1E-4</v>
      </c>
      <c r="B415" s="357">
        <f t="shared" ca="1" si="181"/>
        <v>16.906199999999959</v>
      </c>
      <c r="C415" s="342"/>
      <c r="D415" s="359">
        <f t="shared" ca="1" si="182"/>
        <v>-0.70781070294378345</v>
      </c>
      <c r="E415" s="360">
        <f t="shared" ca="1" si="183"/>
        <v>-1.9375548247110794</v>
      </c>
      <c r="F415" s="357">
        <f t="shared" ca="1" si="184"/>
        <v>2.0627929343399822</v>
      </c>
      <c r="G415" s="359">
        <f t="shared" ca="1" si="185"/>
        <v>5.0166363689618061</v>
      </c>
      <c r="H415" s="360">
        <f t="shared" ca="1" si="186"/>
        <v>-55.797247734538189</v>
      </c>
      <c r="I415" s="357">
        <f t="shared" ca="1" si="187"/>
        <v>56.022312476439396</v>
      </c>
      <c r="J415" s="359">
        <f t="shared" ca="1" si="188"/>
        <v>184.26379383972827</v>
      </c>
      <c r="K415" s="360">
        <f t="shared" ca="1" si="189"/>
        <v>-5.3166300532377155</v>
      </c>
      <c r="L415" s="357">
        <f t="shared" ca="1" si="174"/>
        <v>184.34047920989266</v>
      </c>
      <c r="M415" s="359">
        <f t="shared" ca="1" si="190"/>
        <v>-1.4811291044498596</v>
      </c>
      <c r="N415" s="357">
        <f t="shared" ca="1" si="191"/>
        <v>-84.862446598968234</v>
      </c>
      <c r="O415" s="343"/>
      <c r="P415" s="363">
        <f t="shared" ca="1" si="192"/>
        <v>23</v>
      </c>
      <c r="Q415" s="357">
        <f t="shared" ca="1" si="193"/>
        <v>0</v>
      </c>
      <c r="R415" s="359">
        <f t="shared" ca="1" si="194"/>
        <v>0</v>
      </c>
      <c r="S415" s="360">
        <f t="shared" ca="1" si="195"/>
        <v>0.42898953648292248</v>
      </c>
      <c r="T415" s="357">
        <f t="shared" ca="1" si="175"/>
        <v>4.2083873528974696</v>
      </c>
      <c r="U415" s="364">
        <f t="shared" ca="1" si="176"/>
        <v>0</v>
      </c>
      <c r="V415" s="359">
        <f t="shared" ca="1" si="177"/>
        <v>1.2256514603602084</v>
      </c>
      <c r="W415" s="357">
        <f t="shared" ca="1" si="178"/>
        <v>3.3908438885231371</v>
      </c>
      <c r="X415" s="343"/>
      <c r="Y415" s="367" t="str">
        <f t="shared" ca="1" si="196"/>
        <v/>
      </c>
      <c r="Z415" s="368" t="str">
        <f t="shared" ca="1" si="197"/>
        <v/>
      </c>
      <c r="AA415" s="369" t="str">
        <f t="shared" ca="1" si="198"/>
        <v/>
      </c>
      <c r="AB415" s="344"/>
      <c r="AC415" s="363" t="e">
        <f t="shared" ca="1" si="199"/>
        <v>#N/A</v>
      </c>
      <c r="AD415" s="376" t="e">
        <f t="shared" ca="1" si="200"/>
        <v>#N/A</v>
      </c>
      <c r="AE415" s="377" t="e">
        <f t="shared" ca="1" si="179"/>
        <v>#N/A</v>
      </c>
      <c r="AF415" s="344"/>
      <c r="AG415" s="359">
        <f t="shared" ca="1" si="201"/>
        <v>1.8663870848179167</v>
      </c>
      <c r="AH415" s="357">
        <f t="shared" ca="1" si="202"/>
        <v>-7.9042007204480571</v>
      </c>
    </row>
    <row r="416" spans="1:34">
      <c r="A416" s="402">
        <f t="shared" ca="1" si="180"/>
        <v>1E-4</v>
      </c>
      <c r="B416" s="357">
        <f t="shared" ca="1" si="181"/>
        <v>16.906299999999959</v>
      </c>
      <c r="C416" s="342"/>
      <c r="D416" s="359">
        <f t="shared" ca="1" si="182"/>
        <v>-0.70780346937895022</v>
      </c>
      <c r="E416" s="360">
        <f t="shared" ca="1" si="183"/>
        <v>-1.9374968676918343</v>
      </c>
      <c r="F416" s="357">
        <f t="shared" ca="1" si="184"/>
        <v>2.062736014031012</v>
      </c>
      <c r="G416" s="359">
        <f t="shared" ca="1" si="185"/>
        <v>5.0165655886148679</v>
      </c>
      <c r="H416" s="360">
        <f t="shared" ca="1" si="186"/>
        <v>-55.797441484224962</v>
      </c>
      <c r="I416" s="357">
        <f t="shared" ca="1" si="187"/>
        <v>56.022499109646866</v>
      </c>
      <c r="J416" s="359">
        <f t="shared" ca="1" si="188"/>
        <v>184.26379383972827</v>
      </c>
      <c r="K416" s="360">
        <f t="shared" ca="1" si="189"/>
        <v>-5.3222097876986538</v>
      </c>
      <c r="L416" s="357">
        <f t="shared" ca="1" si="174"/>
        <v>184.340640221396</v>
      </c>
      <c r="M416" s="359">
        <f t="shared" ca="1" si="190"/>
        <v>-1.4811306724934075</v>
      </c>
      <c r="N416" s="357">
        <f t="shared" ca="1" si="191"/>
        <v>-84.862536441245624</v>
      </c>
      <c r="O416" s="343"/>
      <c r="P416" s="363">
        <f t="shared" ca="1" si="192"/>
        <v>23</v>
      </c>
      <c r="Q416" s="357">
        <f t="shared" ca="1" si="193"/>
        <v>0</v>
      </c>
      <c r="R416" s="359">
        <f t="shared" ca="1" si="194"/>
        <v>0</v>
      </c>
      <c r="S416" s="360">
        <f t="shared" ca="1" si="195"/>
        <v>0.42898953648292248</v>
      </c>
      <c r="T416" s="357">
        <f t="shared" ca="1" si="175"/>
        <v>4.2083873528974696</v>
      </c>
      <c r="U416" s="364">
        <f t="shared" ca="1" si="176"/>
        <v>0</v>
      </c>
      <c r="V416" s="359">
        <f t="shared" ca="1" si="177"/>
        <v>1.2256521442414161</v>
      </c>
      <c r="W416" s="357">
        <f t="shared" ca="1" si="178"/>
        <v>3.3908683731471285</v>
      </c>
      <c r="X416" s="343"/>
      <c r="Y416" s="367" t="str">
        <f t="shared" ca="1" si="196"/>
        <v/>
      </c>
      <c r="Z416" s="368" t="str">
        <f t="shared" ca="1" si="197"/>
        <v/>
      </c>
      <c r="AA416" s="369" t="str">
        <f t="shared" ca="1" si="198"/>
        <v/>
      </c>
      <c r="AB416" s="344"/>
      <c r="AC416" s="363" t="e">
        <f t="shared" ca="1" si="199"/>
        <v>#N/A</v>
      </c>
      <c r="AD416" s="376" t="e">
        <f t="shared" ca="1" si="200"/>
        <v>#N/A</v>
      </c>
      <c r="AE416" s="377" t="e">
        <f t="shared" ca="1" si="179"/>
        <v>#N/A</v>
      </c>
      <c r="AF416" s="344"/>
      <c r="AG416" s="359">
        <f t="shared" ca="1" si="201"/>
        <v>1.8663313858902395</v>
      </c>
      <c r="AH416" s="357">
        <f t="shared" ca="1" si="202"/>
        <v>-7.904257796875477</v>
      </c>
    </row>
    <row r="417" spans="1:34">
      <c r="A417" s="402">
        <f t="shared" ca="1" si="180"/>
        <v>1E-4</v>
      </c>
      <c r="B417" s="357">
        <f t="shared" ca="1" si="181"/>
        <v>16.906399999999959</v>
      </c>
      <c r="C417" s="342"/>
      <c r="D417" s="359">
        <f t="shared" ca="1" si="182"/>
        <v>-0.70779623577234207</v>
      </c>
      <c r="E417" s="360">
        <f t="shared" ca="1" si="183"/>
        <v>-1.9374389120134019</v>
      </c>
      <c r="F417" s="357">
        <f t="shared" ca="1" si="184"/>
        <v>2.0626790950502141</v>
      </c>
      <c r="G417" s="359">
        <f t="shared" ca="1" si="185"/>
        <v>5.0164948089912906</v>
      </c>
      <c r="H417" s="360">
        <f t="shared" ca="1" si="186"/>
        <v>-55.797635228116164</v>
      </c>
      <c r="I417" s="357">
        <f t="shared" ca="1" si="187"/>
        <v>56.022685737284554</v>
      </c>
      <c r="J417" s="359">
        <f t="shared" ca="1" si="188"/>
        <v>184.26379383972827</v>
      </c>
      <c r="K417" s="360">
        <f t="shared" ca="1" si="189"/>
        <v>-5.3277895415342709</v>
      </c>
      <c r="L417" s="357">
        <f t="shared" ca="1" si="174"/>
        <v>184.34080140220928</v>
      </c>
      <c r="M417" s="359">
        <f t="shared" ca="1" si="190"/>
        <v>-1.4811322405043843</v>
      </c>
      <c r="N417" s="357">
        <f t="shared" ca="1" si="191"/>
        <v>-84.862626281656816</v>
      </c>
      <c r="O417" s="343"/>
      <c r="P417" s="363">
        <f t="shared" ca="1" si="192"/>
        <v>23</v>
      </c>
      <c r="Q417" s="357">
        <f t="shared" ca="1" si="193"/>
        <v>0</v>
      </c>
      <c r="R417" s="359">
        <f t="shared" ca="1" si="194"/>
        <v>0</v>
      </c>
      <c r="S417" s="360">
        <f t="shared" ca="1" si="195"/>
        <v>0.42898953648292248</v>
      </c>
      <c r="T417" s="357">
        <f t="shared" ca="1" si="175"/>
        <v>4.2083873528974696</v>
      </c>
      <c r="U417" s="364">
        <f t="shared" ca="1" si="176"/>
        <v>0</v>
      </c>
      <c r="V417" s="359">
        <f t="shared" ca="1" si="177"/>
        <v>1.2256528281253809</v>
      </c>
      <c r="W417" s="357">
        <f t="shared" ca="1" si="178"/>
        <v>3.3908928572049808</v>
      </c>
      <c r="X417" s="343"/>
      <c r="Y417" s="367" t="str">
        <f t="shared" ca="1" si="196"/>
        <v/>
      </c>
      <c r="Z417" s="368" t="str">
        <f t="shared" ca="1" si="197"/>
        <v/>
      </c>
      <c r="AA417" s="369" t="str">
        <f t="shared" ca="1" si="198"/>
        <v/>
      </c>
      <c r="AB417" s="344"/>
      <c r="AC417" s="363" t="e">
        <f t="shared" ca="1" si="199"/>
        <v>#N/A</v>
      </c>
      <c r="AD417" s="376" t="e">
        <f t="shared" ca="1" si="200"/>
        <v>#N/A</v>
      </c>
      <c r="AE417" s="377" t="e">
        <f t="shared" ca="1" si="179"/>
        <v>#N/A</v>
      </c>
      <c r="AF417" s="344"/>
      <c r="AG417" s="359">
        <f t="shared" ca="1" si="201"/>
        <v>1.8662756882296581</v>
      </c>
      <c r="AH417" s="357">
        <f t="shared" ca="1" si="202"/>
        <v>-7.9043148719831642</v>
      </c>
    </row>
    <row r="418" spans="1:34">
      <c r="A418" s="402">
        <f t="shared" ca="1" si="180"/>
        <v>1E-4</v>
      </c>
      <c r="B418" s="357">
        <f t="shared" ca="1" si="181"/>
        <v>16.906499999999959</v>
      </c>
      <c r="C418" s="342"/>
      <c r="D418" s="359">
        <f t="shared" ca="1" si="182"/>
        <v>-0.70778900212396822</v>
      </c>
      <c r="E418" s="360">
        <f t="shared" ca="1" si="183"/>
        <v>-1.9373809576757548</v>
      </c>
      <c r="F418" s="357">
        <f t="shared" ca="1" si="184"/>
        <v>2.0626221773975639</v>
      </c>
      <c r="G418" s="359">
        <f t="shared" ca="1" si="185"/>
        <v>5.0164240300910778</v>
      </c>
      <c r="H418" s="360">
        <f t="shared" ca="1" si="186"/>
        <v>-55.797828966211931</v>
      </c>
      <c r="I418" s="357">
        <f t="shared" ca="1" si="187"/>
        <v>56.022872359352611</v>
      </c>
      <c r="J418" s="359">
        <f t="shared" ca="1" si="188"/>
        <v>184.26379383972827</v>
      </c>
      <c r="K418" s="360">
        <f t="shared" ca="1" si="189"/>
        <v>-5.3333693147439876</v>
      </c>
      <c r="L418" s="357">
        <f t="shared" ca="1" si="174"/>
        <v>184.34096275233387</v>
      </c>
      <c r="M418" s="359">
        <f t="shared" ca="1" si="190"/>
        <v>-1.481133808482791</v>
      </c>
      <c r="N418" s="357">
        <f t="shared" ca="1" si="191"/>
        <v>-84.862716120201895</v>
      </c>
      <c r="O418" s="343"/>
      <c r="P418" s="363">
        <f t="shared" ca="1" si="192"/>
        <v>23</v>
      </c>
      <c r="Q418" s="357">
        <f t="shared" ca="1" si="193"/>
        <v>0</v>
      </c>
      <c r="R418" s="359">
        <f t="shared" ca="1" si="194"/>
        <v>0</v>
      </c>
      <c r="S418" s="360">
        <f t="shared" ca="1" si="195"/>
        <v>0.42898953648292248</v>
      </c>
      <c r="T418" s="357">
        <f t="shared" ca="1" si="175"/>
        <v>4.2083873528974696</v>
      </c>
      <c r="U418" s="364">
        <f t="shared" ca="1" si="176"/>
        <v>0</v>
      </c>
      <c r="V418" s="359">
        <f t="shared" ca="1" si="177"/>
        <v>1.2256535120121019</v>
      </c>
      <c r="W418" s="357">
        <f t="shared" ca="1" si="178"/>
        <v>3.3909173406967001</v>
      </c>
      <c r="X418" s="343"/>
      <c r="Y418" s="367" t="str">
        <f t="shared" ca="1" si="196"/>
        <v/>
      </c>
      <c r="Z418" s="368" t="str">
        <f t="shared" ca="1" si="197"/>
        <v/>
      </c>
      <c r="AA418" s="369" t="str">
        <f t="shared" ca="1" si="198"/>
        <v/>
      </c>
      <c r="AB418" s="344"/>
      <c r="AC418" s="363" t="e">
        <f t="shared" ca="1" si="199"/>
        <v>#N/A</v>
      </c>
      <c r="AD418" s="376" t="e">
        <f t="shared" ca="1" si="200"/>
        <v>#N/A</v>
      </c>
      <c r="AE418" s="377" t="e">
        <f t="shared" ca="1" si="179"/>
        <v>#N/A</v>
      </c>
      <c r="AF418" s="344"/>
      <c r="AG418" s="359">
        <f t="shared" ca="1" si="201"/>
        <v>1.8662199918361448</v>
      </c>
      <c r="AH418" s="357">
        <f t="shared" ca="1" si="202"/>
        <v>-7.9043719457711479</v>
      </c>
    </row>
    <row r="419" spans="1:34">
      <c r="A419" s="402">
        <f t="shared" ca="1" si="180"/>
        <v>1E-4</v>
      </c>
      <c r="B419" s="357">
        <f t="shared" ca="1" si="181"/>
        <v>16.906599999999958</v>
      </c>
      <c r="C419" s="342"/>
      <c r="D419" s="359">
        <f t="shared" ca="1" si="182"/>
        <v>-0.70778176843383467</v>
      </c>
      <c r="E419" s="360">
        <f t="shared" ca="1" si="183"/>
        <v>-1.9373230046788779</v>
      </c>
      <c r="F419" s="357">
        <f t="shared" ca="1" si="184"/>
        <v>2.0625652610730456</v>
      </c>
      <c r="G419" s="359">
        <f t="shared" ca="1" si="185"/>
        <v>5.0163532519142349</v>
      </c>
      <c r="H419" s="360">
        <f t="shared" ca="1" si="186"/>
        <v>-55.798022698512398</v>
      </c>
      <c r="I419" s="357">
        <f t="shared" ca="1" si="187"/>
        <v>56.023058975851143</v>
      </c>
      <c r="J419" s="359">
        <f t="shared" ca="1" si="188"/>
        <v>184.26379383972827</v>
      </c>
      <c r="K419" s="360">
        <f t="shared" ca="1" si="189"/>
        <v>-5.3389491073272239</v>
      </c>
      <c r="L419" s="357">
        <f t="shared" ca="1" si="174"/>
        <v>184.34112427177098</v>
      </c>
      <c r="M419" s="359">
        <f t="shared" ca="1" si="190"/>
        <v>-1.4811353764286288</v>
      </c>
      <c r="N419" s="357">
        <f t="shared" ca="1" si="191"/>
        <v>-84.862805956880905</v>
      </c>
      <c r="O419" s="343"/>
      <c r="P419" s="363">
        <f t="shared" ca="1" si="192"/>
        <v>23</v>
      </c>
      <c r="Q419" s="357">
        <f t="shared" ca="1" si="193"/>
        <v>0</v>
      </c>
      <c r="R419" s="359">
        <f t="shared" ca="1" si="194"/>
        <v>0</v>
      </c>
      <c r="S419" s="360">
        <f t="shared" ca="1" si="195"/>
        <v>0.42898953648292248</v>
      </c>
      <c r="T419" s="357">
        <f t="shared" ca="1" si="175"/>
        <v>4.2083873528974696</v>
      </c>
      <c r="U419" s="364">
        <f t="shared" ca="1" si="176"/>
        <v>0</v>
      </c>
      <c r="V419" s="359">
        <f t="shared" ca="1" si="177"/>
        <v>1.2256541959015792</v>
      </c>
      <c r="W419" s="357">
        <f t="shared" ca="1" si="178"/>
        <v>3.3909418236222919</v>
      </c>
      <c r="X419" s="343"/>
      <c r="Y419" s="367" t="str">
        <f t="shared" ca="1" si="196"/>
        <v/>
      </c>
      <c r="Z419" s="368" t="str">
        <f t="shared" ca="1" si="197"/>
        <v/>
      </c>
      <c r="AA419" s="369" t="str">
        <f t="shared" ca="1" si="198"/>
        <v/>
      </c>
      <c r="AB419" s="344"/>
      <c r="AC419" s="363" t="e">
        <f t="shared" ca="1" si="199"/>
        <v>#N/A</v>
      </c>
      <c r="AD419" s="376" t="e">
        <f t="shared" ca="1" si="200"/>
        <v>#N/A</v>
      </c>
      <c r="AE419" s="377" t="e">
        <f t="shared" ca="1" si="179"/>
        <v>#N/A</v>
      </c>
      <c r="AF419" s="344"/>
      <c r="AG419" s="359">
        <f t="shared" ca="1" si="201"/>
        <v>1.8661642967096901</v>
      </c>
      <c r="AH419" s="357">
        <f t="shared" ca="1" si="202"/>
        <v>-7.9044290182394414</v>
      </c>
    </row>
    <row r="420" spans="1:34">
      <c r="A420" s="402">
        <f t="shared" ca="1" si="180"/>
        <v>1E-4</v>
      </c>
      <c r="B420" s="357">
        <f t="shared" ca="1" si="181"/>
        <v>16.906699999999958</v>
      </c>
      <c r="C420" s="342"/>
      <c r="D420" s="359">
        <f t="shared" ca="1" si="182"/>
        <v>-0.70777453470194396</v>
      </c>
      <c r="E420" s="360">
        <f t="shared" ca="1" si="183"/>
        <v>-1.9372650530227578</v>
      </c>
      <c r="F420" s="357">
        <f t="shared" ca="1" si="184"/>
        <v>2.0625083460766458</v>
      </c>
      <c r="G420" s="359">
        <f t="shared" ca="1" si="185"/>
        <v>5.0162824744607644</v>
      </c>
      <c r="H420" s="360">
        <f t="shared" ca="1" si="186"/>
        <v>-55.798216425017699</v>
      </c>
      <c r="I420" s="357">
        <f t="shared" ca="1" si="187"/>
        <v>56.023245586780291</v>
      </c>
      <c r="J420" s="359">
        <f t="shared" ca="1" si="188"/>
        <v>184.26379383972827</v>
      </c>
      <c r="K420" s="360">
        <f t="shared" ca="1" si="189"/>
        <v>-5.3445289192834</v>
      </c>
      <c r="L420" s="357">
        <f t="shared" ca="1" si="174"/>
        <v>184.34128596052199</v>
      </c>
      <c r="M420" s="359">
        <f t="shared" ca="1" si="190"/>
        <v>-1.4811369443418985</v>
      </c>
      <c r="N420" s="357">
        <f t="shared" ca="1" si="191"/>
        <v>-84.862895791693902</v>
      </c>
      <c r="O420" s="343"/>
      <c r="P420" s="363">
        <f t="shared" ca="1" si="192"/>
        <v>23</v>
      </c>
      <c r="Q420" s="357">
        <f t="shared" ca="1" si="193"/>
        <v>0</v>
      </c>
      <c r="R420" s="359">
        <f t="shared" ca="1" si="194"/>
        <v>0</v>
      </c>
      <c r="S420" s="360">
        <f t="shared" ca="1" si="195"/>
        <v>0.42898953648292248</v>
      </c>
      <c r="T420" s="357">
        <f t="shared" ca="1" si="175"/>
        <v>4.2083873528974696</v>
      </c>
      <c r="U420" s="364">
        <f t="shared" ca="1" si="176"/>
        <v>0</v>
      </c>
      <c r="V420" s="359">
        <f t="shared" ca="1" si="177"/>
        <v>1.225654879793812</v>
      </c>
      <c r="W420" s="357">
        <f t="shared" ca="1" si="178"/>
        <v>3.3909663059817632</v>
      </c>
      <c r="X420" s="343"/>
      <c r="Y420" s="367" t="str">
        <f t="shared" ca="1" si="196"/>
        <v/>
      </c>
      <c r="Z420" s="368" t="str">
        <f t="shared" ca="1" si="197"/>
        <v/>
      </c>
      <c r="AA420" s="369" t="str">
        <f t="shared" ca="1" si="198"/>
        <v/>
      </c>
      <c r="AB420" s="344"/>
      <c r="AC420" s="363" t="e">
        <f t="shared" ca="1" si="199"/>
        <v>#N/A</v>
      </c>
      <c r="AD420" s="376" t="e">
        <f t="shared" ca="1" si="200"/>
        <v>#N/A</v>
      </c>
      <c r="AE420" s="377" t="e">
        <f t="shared" ca="1" si="179"/>
        <v>#N/A</v>
      </c>
      <c r="AF420" s="344"/>
      <c r="AG420" s="359">
        <f t="shared" ca="1" si="201"/>
        <v>1.8661086028502796</v>
      </c>
      <c r="AH420" s="357">
        <f t="shared" ca="1" si="202"/>
        <v>-7.9044860893880591</v>
      </c>
    </row>
    <row r="421" spans="1:34">
      <c r="A421" s="402">
        <f t="shared" ca="1" si="180"/>
        <v>1E-4</v>
      </c>
      <c r="B421" s="357">
        <f t="shared" ca="1" si="181"/>
        <v>16.906799999999958</v>
      </c>
      <c r="C421" s="342"/>
      <c r="D421" s="359">
        <f t="shared" ca="1" si="182"/>
        <v>-0.70776730092830398</v>
      </c>
      <c r="E421" s="360">
        <f t="shared" ca="1" si="183"/>
        <v>-1.9372071027073776</v>
      </c>
      <c r="F421" s="357">
        <f t="shared" ca="1" si="184"/>
        <v>2.0624514324083485</v>
      </c>
      <c r="G421" s="359">
        <f t="shared" ca="1" si="185"/>
        <v>5.0162116977306717</v>
      </c>
      <c r="H421" s="360">
        <f t="shared" ca="1" si="186"/>
        <v>-55.798410145727971</v>
      </c>
      <c r="I421" s="357">
        <f t="shared" ca="1" si="187"/>
        <v>56.02343219214017</v>
      </c>
      <c r="J421" s="359">
        <f t="shared" ca="1" si="188"/>
        <v>184.26379383972827</v>
      </c>
      <c r="K421" s="360">
        <f t="shared" ca="1" si="189"/>
        <v>-5.3501087506119376</v>
      </c>
      <c r="L421" s="357">
        <f t="shared" ca="1" si="174"/>
        <v>184.34144781858814</v>
      </c>
      <c r="M421" s="359">
        <f t="shared" ca="1" si="190"/>
        <v>-1.4811385122226008</v>
      </c>
      <c r="N421" s="357">
        <f t="shared" ca="1" si="191"/>
        <v>-84.862985624640928</v>
      </c>
      <c r="O421" s="343"/>
      <c r="P421" s="363">
        <f t="shared" ca="1" si="192"/>
        <v>23</v>
      </c>
      <c r="Q421" s="357">
        <f t="shared" ca="1" si="193"/>
        <v>0</v>
      </c>
      <c r="R421" s="359">
        <f t="shared" ca="1" si="194"/>
        <v>0</v>
      </c>
      <c r="S421" s="360">
        <f t="shared" ca="1" si="195"/>
        <v>0.42898953648292248</v>
      </c>
      <c r="T421" s="357">
        <f t="shared" ca="1" si="175"/>
        <v>4.2083873528974696</v>
      </c>
      <c r="U421" s="364">
        <f t="shared" ca="1" si="176"/>
        <v>0</v>
      </c>
      <c r="V421" s="359">
        <f t="shared" ca="1" si="177"/>
        <v>1.2256555636888016</v>
      </c>
      <c r="W421" s="357">
        <f t="shared" ca="1" si="178"/>
        <v>3.3909907877751255</v>
      </c>
      <c r="X421" s="343"/>
      <c r="Y421" s="367" t="str">
        <f t="shared" ca="1" si="196"/>
        <v/>
      </c>
      <c r="Z421" s="368" t="str">
        <f t="shared" ca="1" si="197"/>
        <v/>
      </c>
      <c r="AA421" s="369" t="str">
        <f t="shared" ca="1" si="198"/>
        <v/>
      </c>
      <c r="AB421" s="344"/>
      <c r="AC421" s="363" t="e">
        <f t="shared" ca="1" si="199"/>
        <v>#N/A</v>
      </c>
      <c r="AD421" s="376" t="e">
        <f t="shared" ca="1" si="200"/>
        <v>#N/A</v>
      </c>
      <c r="AE421" s="377" t="e">
        <f t="shared" ca="1" si="179"/>
        <v>#N/A</v>
      </c>
      <c r="AF421" s="344"/>
      <c r="AG421" s="359">
        <f t="shared" ca="1" si="201"/>
        <v>1.8660529102579044</v>
      </c>
      <c r="AH421" s="357">
        <f t="shared" ca="1" si="202"/>
        <v>-7.904543159217015</v>
      </c>
    </row>
    <row r="422" spans="1:34">
      <c r="A422" s="402">
        <f t="shared" ca="1" si="180"/>
        <v>1E-4</v>
      </c>
      <c r="B422" s="357">
        <f t="shared" ca="1" si="181"/>
        <v>16.906899999999958</v>
      </c>
      <c r="C422" s="342"/>
      <c r="D422" s="359">
        <f t="shared" ca="1" si="182"/>
        <v>-0.70776006711292228</v>
      </c>
      <c r="E422" s="360">
        <f t="shared" ca="1" si="183"/>
        <v>-1.9371491537327099</v>
      </c>
      <c r="F422" s="357">
        <f t="shared" ca="1" si="184"/>
        <v>2.062394520068128</v>
      </c>
      <c r="G422" s="359">
        <f t="shared" ca="1" si="185"/>
        <v>5.0161409217239603</v>
      </c>
      <c r="H422" s="360">
        <f t="shared" ca="1" si="186"/>
        <v>-55.798603860643347</v>
      </c>
      <c r="I422" s="357">
        <f t="shared" ca="1" si="187"/>
        <v>56.023618791930929</v>
      </c>
      <c r="J422" s="359">
        <f t="shared" ca="1" si="188"/>
        <v>184.26379383972827</v>
      </c>
      <c r="K422" s="360">
        <f t="shared" ca="1" si="189"/>
        <v>-5.3556886013122558</v>
      </c>
      <c r="L422" s="357">
        <f t="shared" ca="1" si="174"/>
        <v>184.34160984597077</v>
      </c>
      <c r="M422" s="359">
        <f t="shared" ca="1" si="190"/>
        <v>-1.4811400800707371</v>
      </c>
      <c r="N422" s="357">
        <f t="shared" ca="1" si="191"/>
        <v>-84.863075455722054</v>
      </c>
      <c r="O422" s="343"/>
      <c r="P422" s="363">
        <f t="shared" ca="1" si="192"/>
        <v>23</v>
      </c>
      <c r="Q422" s="357">
        <f t="shared" ca="1" si="193"/>
        <v>0</v>
      </c>
      <c r="R422" s="359">
        <f t="shared" ca="1" si="194"/>
        <v>0</v>
      </c>
      <c r="S422" s="360">
        <f t="shared" ca="1" si="195"/>
        <v>0.42898953648292248</v>
      </c>
      <c r="T422" s="357">
        <f t="shared" ca="1" si="175"/>
        <v>4.2083873528974696</v>
      </c>
      <c r="U422" s="364">
        <f t="shared" ca="1" si="176"/>
        <v>0</v>
      </c>
      <c r="V422" s="359">
        <f t="shared" ca="1" si="177"/>
        <v>1.2256562475865469</v>
      </c>
      <c r="W422" s="357">
        <f t="shared" ca="1" si="178"/>
        <v>3.3910152690023856</v>
      </c>
      <c r="X422" s="343"/>
      <c r="Y422" s="367" t="str">
        <f t="shared" ca="1" si="196"/>
        <v/>
      </c>
      <c r="Z422" s="368" t="str">
        <f t="shared" ca="1" si="197"/>
        <v/>
      </c>
      <c r="AA422" s="369" t="str">
        <f t="shared" ca="1" si="198"/>
        <v/>
      </c>
      <c r="AB422" s="344"/>
      <c r="AC422" s="363" t="e">
        <f t="shared" ca="1" si="199"/>
        <v>#N/A</v>
      </c>
      <c r="AD422" s="376" t="e">
        <f t="shared" ca="1" si="200"/>
        <v>#N/A</v>
      </c>
      <c r="AE422" s="377" t="e">
        <f t="shared" ca="1" si="179"/>
        <v>#N/A</v>
      </c>
      <c r="AF422" s="344"/>
      <c r="AG422" s="359">
        <f t="shared" ca="1" si="201"/>
        <v>1.8659972189325353</v>
      </c>
      <c r="AH422" s="357">
        <f t="shared" ca="1" si="202"/>
        <v>-7.9046002277263385</v>
      </c>
    </row>
    <row r="423" spans="1:34">
      <c r="A423" s="402">
        <f t="shared" ca="1" si="180"/>
        <v>1E-4</v>
      </c>
      <c r="B423" s="357">
        <f t="shared" ca="1" si="181"/>
        <v>16.906999999999957</v>
      </c>
      <c r="C423" s="342"/>
      <c r="D423" s="359">
        <f t="shared" ca="1" si="182"/>
        <v>-0.70775283325580329</v>
      </c>
      <c r="E423" s="360">
        <f t="shared" ca="1" si="183"/>
        <v>-1.9370912060987395</v>
      </c>
      <c r="F423" s="357">
        <f t="shared" ca="1" si="184"/>
        <v>2.0623376090559677</v>
      </c>
      <c r="G423" s="359">
        <f t="shared" ca="1" si="185"/>
        <v>5.0160701464406348</v>
      </c>
      <c r="H423" s="360">
        <f t="shared" ca="1" si="186"/>
        <v>-55.798797569763956</v>
      </c>
      <c r="I423" s="357">
        <f t="shared" ca="1" si="187"/>
        <v>56.023805386152674</v>
      </c>
      <c r="J423" s="359">
        <f t="shared" ca="1" si="188"/>
        <v>184.26379383972827</v>
      </c>
      <c r="K423" s="360">
        <f t="shared" ca="1" si="189"/>
        <v>-5.3612684713837764</v>
      </c>
      <c r="L423" s="357">
        <f t="shared" ca="1" si="174"/>
        <v>184.34177204267115</v>
      </c>
      <c r="M423" s="359">
        <f t="shared" ca="1" si="190"/>
        <v>-1.481141647886308</v>
      </c>
      <c r="N423" s="357">
        <f t="shared" ca="1" si="191"/>
        <v>-84.86316528493731</v>
      </c>
      <c r="O423" s="343"/>
      <c r="P423" s="363">
        <f t="shared" ca="1" si="192"/>
        <v>23</v>
      </c>
      <c r="Q423" s="357">
        <f t="shared" ca="1" si="193"/>
        <v>0</v>
      </c>
      <c r="R423" s="359">
        <f t="shared" ca="1" si="194"/>
        <v>0</v>
      </c>
      <c r="S423" s="360">
        <f t="shared" ca="1" si="195"/>
        <v>0.42898953648292248</v>
      </c>
      <c r="T423" s="357">
        <f t="shared" ca="1" si="175"/>
        <v>4.2083873528974696</v>
      </c>
      <c r="U423" s="364">
        <f t="shared" ca="1" si="176"/>
        <v>0</v>
      </c>
      <c r="V423" s="359">
        <f t="shared" ca="1" si="177"/>
        <v>1.2256569314870482</v>
      </c>
      <c r="W423" s="357">
        <f t="shared" ca="1" si="178"/>
        <v>3.3910397496635487</v>
      </c>
      <c r="X423" s="343"/>
      <c r="Y423" s="367" t="str">
        <f t="shared" ca="1" si="196"/>
        <v/>
      </c>
      <c r="Z423" s="368" t="str">
        <f t="shared" ca="1" si="197"/>
        <v/>
      </c>
      <c r="AA423" s="369" t="str">
        <f t="shared" ca="1" si="198"/>
        <v/>
      </c>
      <c r="AB423" s="344"/>
      <c r="AC423" s="363" t="e">
        <f t="shared" ca="1" si="199"/>
        <v>#N/A</v>
      </c>
      <c r="AD423" s="376" t="e">
        <f t="shared" ca="1" si="200"/>
        <v>#N/A</v>
      </c>
      <c r="AE423" s="377" t="e">
        <f t="shared" ca="1" si="179"/>
        <v>#N/A</v>
      </c>
      <c r="AF423" s="344"/>
      <c r="AG423" s="359">
        <f t="shared" ca="1" si="201"/>
        <v>1.8659415288741634</v>
      </c>
      <c r="AH423" s="357">
        <f t="shared" ca="1" si="202"/>
        <v>-7.9046572949160439</v>
      </c>
    </row>
    <row r="424" spans="1:34">
      <c r="A424" s="402">
        <f t="shared" ca="1" si="180"/>
        <v>1E-4</v>
      </c>
      <c r="B424" s="357">
        <f t="shared" ca="1" si="181"/>
        <v>16.907099999999957</v>
      </c>
      <c r="C424" s="342"/>
      <c r="D424" s="359">
        <f t="shared" ca="1" si="182"/>
        <v>-0.7077455993569528</v>
      </c>
      <c r="E424" s="360">
        <f t="shared" ca="1" si="183"/>
        <v>-1.9370332598054532</v>
      </c>
      <c r="F424" s="357">
        <f t="shared" ca="1" si="184"/>
        <v>2.0622806993718563</v>
      </c>
      <c r="G424" s="359">
        <f t="shared" ca="1" si="185"/>
        <v>5.0159993718806994</v>
      </c>
      <c r="H424" s="360">
        <f t="shared" ca="1" si="186"/>
        <v>-55.798991273089939</v>
      </c>
      <c r="I424" s="357">
        <f t="shared" ca="1" si="187"/>
        <v>56.023991974805533</v>
      </c>
      <c r="J424" s="359">
        <f t="shared" ca="1" si="188"/>
        <v>184.26379383972827</v>
      </c>
      <c r="K424" s="360">
        <f t="shared" ca="1" si="189"/>
        <v>-5.3668483608259194</v>
      </c>
      <c r="L424" s="357">
        <f t="shared" ca="1" si="174"/>
        <v>184.34193440869058</v>
      </c>
      <c r="M424" s="359">
        <f t="shared" ca="1" si="190"/>
        <v>-1.4811432156693145</v>
      </c>
      <c r="N424" s="357">
        <f t="shared" ca="1" si="191"/>
        <v>-84.86325511228678</v>
      </c>
      <c r="O424" s="343"/>
      <c r="P424" s="363">
        <f t="shared" ca="1" si="192"/>
        <v>23</v>
      </c>
      <c r="Q424" s="357">
        <f t="shared" ca="1" si="193"/>
        <v>0</v>
      </c>
      <c r="R424" s="359">
        <f t="shared" ca="1" si="194"/>
        <v>0</v>
      </c>
      <c r="S424" s="360">
        <f t="shared" ca="1" si="195"/>
        <v>0.42898953648292248</v>
      </c>
      <c r="T424" s="357">
        <f t="shared" ca="1" si="175"/>
        <v>4.2083873528974696</v>
      </c>
      <c r="U424" s="364">
        <f t="shared" ca="1" si="176"/>
        <v>0</v>
      </c>
      <c r="V424" s="359">
        <f t="shared" ca="1" si="177"/>
        <v>1.2256576153903054</v>
      </c>
      <c r="W424" s="357">
        <f t="shared" ca="1" si="178"/>
        <v>3.3910642297586233</v>
      </c>
      <c r="X424" s="343"/>
      <c r="Y424" s="367" t="str">
        <f t="shared" ca="1" si="196"/>
        <v/>
      </c>
      <c r="Z424" s="368" t="str">
        <f t="shared" ca="1" si="197"/>
        <v/>
      </c>
      <c r="AA424" s="369" t="str">
        <f t="shared" ca="1" si="198"/>
        <v/>
      </c>
      <c r="AB424" s="344"/>
      <c r="AC424" s="363" t="e">
        <f t="shared" ca="1" si="199"/>
        <v>#N/A</v>
      </c>
      <c r="AD424" s="376" t="e">
        <f t="shared" ca="1" si="200"/>
        <v>#N/A</v>
      </c>
      <c r="AE424" s="377" t="e">
        <f t="shared" ca="1" si="179"/>
        <v>#N/A</v>
      </c>
      <c r="AF424" s="344"/>
      <c r="AG424" s="359">
        <f t="shared" ca="1" si="201"/>
        <v>1.8658858400827745</v>
      </c>
      <c r="AH424" s="357">
        <f t="shared" ca="1" si="202"/>
        <v>-7.9047143607861434</v>
      </c>
    </row>
    <row r="425" spans="1:34">
      <c r="A425" s="402">
        <f t="shared" ca="1" si="180"/>
        <v>1E-4</v>
      </c>
      <c r="B425" s="357">
        <f t="shared" ca="1" si="181"/>
        <v>16.907199999999957</v>
      </c>
      <c r="C425" s="342"/>
      <c r="D425" s="359">
        <f t="shared" ca="1" si="182"/>
        <v>-0.70773836541637769</v>
      </c>
      <c r="E425" s="360">
        <f t="shared" ca="1" si="183"/>
        <v>-1.9369753148528304</v>
      </c>
      <c r="F425" s="357">
        <f t="shared" ca="1" si="184"/>
        <v>2.0622237910157732</v>
      </c>
      <c r="G425" s="359">
        <f t="shared" ca="1" si="185"/>
        <v>5.0159285980441579</v>
      </c>
      <c r="H425" s="360">
        <f t="shared" ca="1" si="186"/>
        <v>-55.799184970621425</v>
      </c>
      <c r="I425" s="357">
        <f t="shared" ca="1" si="187"/>
        <v>56.024178557889641</v>
      </c>
      <c r="J425" s="359">
        <f t="shared" ca="1" si="188"/>
        <v>184.26379383972827</v>
      </c>
      <c r="K425" s="360">
        <f t="shared" ca="1" si="189"/>
        <v>-5.3724282696381049</v>
      </c>
      <c r="L425" s="357">
        <f t="shared" ca="1" si="174"/>
        <v>184.34209694403037</v>
      </c>
      <c r="M425" s="359">
        <f t="shared" ca="1" si="190"/>
        <v>-1.4811447834197575</v>
      </c>
      <c r="N425" s="357">
        <f t="shared" ca="1" si="191"/>
        <v>-84.863344937770492</v>
      </c>
      <c r="O425" s="343"/>
      <c r="P425" s="363">
        <f t="shared" ca="1" si="192"/>
        <v>23</v>
      </c>
      <c r="Q425" s="357">
        <f t="shared" ca="1" si="193"/>
        <v>0</v>
      </c>
      <c r="R425" s="359">
        <f t="shared" ca="1" si="194"/>
        <v>0</v>
      </c>
      <c r="S425" s="360">
        <f t="shared" ca="1" si="195"/>
        <v>0.42898953648292248</v>
      </c>
      <c r="T425" s="357">
        <f t="shared" ca="1" si="175"/>
        <v>4.2083873528974696</v>
      </c>
      <c r="U425" s="364">
        <f t="shared" ca="1" si="176"/>
        <v>0</v>
      </c>
      <c r="V425" s="359">
        <f t="shared" ca="1" si="177"/>
        <v>1.2256582992963183</v>
      </c>
      <c r="W425" s="357">
        <f t="shared" ca="1" si="178"/>
        <v>3.3910887092876174</v>
      </c>
      <c r="X425" s="343"/>
      <c r="Y425" s="367" t="str">
        <f t="shared" ca="1" si="196"/>
        <v/>
      </c>
      <c r="Z425" s="368" t="str">
        <f t="shared" ca="1" si="197"/>
        <v/>
      </c>
      <c r="AA425" s="369" t="str">
        <f t="shared" ca="1" si="198"/>
        <v/>
      </c>
      <c r="AB425" s="344"/>
      <c r="AC425" s="363" t="e">
        <f t="shared" ca="1" si="199"/>
        <v>#N/A</v>
      </c>
      <c r="AD425" s="376" t="e">
        <f t="shared" ca="1" si="200"/>
        <v>#N/A</v>
      </c>
      <c r="AE425" s="377" t="e">
        <f t="shared" ca="1" si="179"/>
        <v>#N/A</v>
      </c>
      <c r="AF425" s="344"/>
      <c r="AG425" s="359">
        <f t="shared" ca="1" si="201"/>
        <v>1.8658301525583534</v>
      </c>
      <c r="AH425" s="357">
        <f t="shared" ca="1" si="202"/>
        <v>-7.9047714253366577</v>
      </c>
    </row>
    <row r="426" spans="1:34">
      <c r="A426" s="402">
        <f t="shared" ca="1" si="180"/>
        <v>1E-4</v>
      </c>
      <c r="B426" s="357">
        <f t="shared" ca="1" si="181"/>
        <v>16.907299999999957</v>
      </c>
      <c r="C426" s="342"/>
      <c r="D426" s="359">
        <f t="shared" ca="1" si="182"/>
        <v>-0.70773113143408428</v>
      </c>
      <c r="E426" s="360">
        <f t="shared" ca="1" si="183"/>
        <v>-1.9369173712408552</v>
      </c>
      <c r="F426" s="357">
        <f t="shared" ca="1" si="184"/>
        <v>2.0621668839877034</v>
      </c>
      <c r="G426" s="359">
        <f t="shared" ca="1" si="185"/>
        <v>5.0158578249310146</v>
      </c>
      <c r="H426" s="360">
        <f t="shared" ca="1" si="186"/>
        <v>-55.799378662358549</v>
      </c>
      <c r="I426" s="357">
        <f t="shared" ca="1" si="187"/>
        <v>56.02436513540512</v>
      </c>
      <c r="J426" s="359">
        <f t="shared" ca="1" si="188"/>
        <v>184.26379383972827</v>
      </c>
      <c r="K426" s="360">
        <f t="shared" ca="1" si="189"/>
        <v>-5.3780081978197538</v>
      </c>
      <c r="L426" s="357">
        <f t="shared" ca="1" si="174"/>
        <v>184.34225964869179</v>
      </c>
      <c r="M426" s="359">
        <f t="shared" ca="1" si="190"/>
        <v>-1.4811463511376379</v>
      </c>
      <c r="N426" s="357">
        <f t="shared" ca="1" si="191"/>
        <v>-84.863434761388518</v>
      </c>
      <c r="O426" s="343"/>
      <c r="P426" s="363">
        <f t="shared" ca="1" si="192"/>
        <v>23</v>
      </c>
      <c r="Q426" s="357">
        <f t="shared" ca="1" si="193"/>
        <v>0</v>
      </c>
      <c r="R426" s="359">
        <f t="shared" ca="1" si="194"/>
        <v>0</v>
      </c>
      <c r="S426" s="360">
        <f t="shared" ca="1" si="195"/>
        <v>0.42898953648292248</v>
      </c>
      <c r="T426" s="357">
        <f t="shared" ca="1" si="175"/>
        <v>4.2083873528974696</v>
      </c>
      <c r="U426" s="364">
        <f t="shared" ca="1" si="176"/>
        <v>0</v>
      </c>
      <c r="V426" s="359">
        <f t="shared" ca="1" si="177"/>
        <v>1.2256589832050868</v>
      </c>
      <c r="W426" s="357">
        <f t="shared" ca="1" si="178"/>
        <v>3.3911131882505376</v>
      </c>
      <c r="X426" s="343"/>
      <c r="Y426" s="367" t="str">
        <f t="shared" ca="1" si="196"/>
        <v/>
      </c>
      <c r="Z426" s="368" t="str">
        <f t="shared" ca="1" si="197"/>
        <v/>
      </c>
      <c r="AA426" s="369" t="str">
        <f t="shared" ca="1" si="198"/>
        <v/>
      </c>
      <c r="AB426" s="344"/>
      <c r="AC426" s="363" t="e">
        <f t="shared" ca="1" si="199"/>
        <v>#N/A</v>
      </c>
      <c r="AD426" s="376" t="e">
        <f t="shared" ca="1" si="200"/>
        <v>#N/A</v>
      </c>
      <c r="AE426" s="377" t="e">
        <f t="shared" ca="1" si="179"/>
        <v>#N/A</v>
      </c>
      <c r="AF426" s="344"/>
      <c r="AG426" s="359">
        <f t="shared" ca="1" si="201"/>
        <v>1.8657744663008824</v>
      </c>
      <c r="AH426" s="357">
        <f t="shared" ca="1" si="202"/>
        <v>-7.9048284885676043</v>
      </c>
    </row>
    <row r="427" spans="1:34">
      <c r="A427" s="402">
        <f t="shared" ca="1" si="180"/>
        <v>1E-4</v>
      </c>
      <c r="B427" s="357">
        <f t="shared" ca="1" si="181"/>
        <v>16.907399999999956</v>
      </c>
      <c r="C427" s="342"/>
      <c r="D427" s="359">
        <f t="shared" ca="1" si="182"/>
        <v>-0.70772389741007868</v>
      </c>
      <c r="E427" s="360">
        <f t="shared" ca="1" si="183"/>
        <v>-1.9368594289695071</v>
      </c>
      <c r="F427" s="357">
        <f t="shared" ca="1" si="184"/>
        <v>2.0621099782876269</v>
      </c>
      <c r="G427" s="359">
        <f t="shared" ca="1" si="185"/>
        <v>5.015787052541274</v>
      </c>
      <c r="H427" s="360">
        <f t="shared" ca="1" si="186"/>
        <v>-55.799572348301446</v>
      </c>
      <c r="I427" s="357">
        <f t="shared" ca="1" si="187"/>
        <v>56.024551707352089</v>
      </c>
      <c r="J427" s="359">
        <f t="shared" ca="1" si="188"/>
        <v>184.26379383972827</v>
      </c>
      <c r="K427" s="360">
        <f t="shared" ca="1" si="189"/>
        <v>-5.383588145370287</v>
      </c>
      <c r="L427" s="357">
        <f t="shared" ca="1" si="174"/>
        <v>184.34242252267615</v>
      </c>
      <c r="M427" s="359">
        <f t="shared" ca="1" si="190"/>
        <v>-1.481147918822957</v>
      </c>
      <c r="N427" s="357">
        <f t="shared" ca="1" si="191"/>
        <v>-84.863524583140901</v>
      </c>
      <c r="O427" s="343"/>
      <c r="P427" s="363">
        <f t="shared" ca="1" si="192"/>
        <v>23</v>
      </c>
      <c r="Q427" s="357">
        <f t="shared" ca="1" si="193"/>
        <v>0</v>
      </c>
      <c r="R427" s="359">
        <f t="shared" ca="1" si="194"/>
        <v>0</v>
      </c>
      <c r="S427" s="360">
        <f t="shared" ca="1" si="195"/>
        <v>0.42898953648292248</v>
      </c>
      <c r="T427" s="357">
        <f t="shared" ca="1" si="175"/>
        <v>4.2083873528974696</v>
      </c>
      <c r="U427" s="364">
        <f t="shared" ca="1" si="176"/>
        <v>0</v>
      </c>
      <c r="V427" s="359">
        <f t="shared" ca="1" si="177"/>
        <v>1.2256596671166113</v>
      </c>
      <c r="W427" s="357">
        <f t="shared" ca="1" si="178"/>
        <v>3.3911376666473916</v>
      </c>
      <c r="X427" s="343"/>
      <c r="Y427" s="367" t="str">
        <f t="shared" ca="1" si="196"/>
        <v/>
      </c>
      <c r="Z427" s="368" t="str">
        <f t="shared" ca="1" si="197"/>
        <v/>
      </c>
      <c r="AA427" s="369" t="str">
        <f t="shared" ca="1" si="198"/>
        <v/>
      </c>
      <c r="AB427" s="344"/>
      <c r="AC427" s="363" t="e">
        <f t="shared" ca="1" si="199"/>
        <v>#N/A</v>
      </c>
      <c r="AD427" s="376" t="e">
        <f t="shared" ca="1" si="200"/>
        <v>#N/A</v>
      </c>
      <c r="AE427" s="377" t="e">
        <f t="shared" ca="1" si="179"/>
        <v>#N/A</v>
      </c>
      <c r="AF427" s="344"/>
      <c r="AG427" s="359">
        <f t="shared" ca="1" si="201"/>
        <v>1.8657187813103491</v>
      </c>
      <c r="AH427" s="357">
        <f t="shared" ca="1" si="202"/>
        <v>-7.9048855504789994</v>
      </c>
    </row>
    <row r="428" spans="1:34">
      <c r="A428" s="402">
        <f t="shared" ca="1" si="180"/>
        <v>1E-4</v>
      </c>
      <c r="B428" s="357">
        <f t="shared" ca="1" si="181"/>
        <v>16.907499999999956</v>
      </c>
      <c r="C428" s="342"/>
      <c r="D428" s="359">
        <f t="shared" ca="1" si="182"/>
        <v>-0.70771666334436401</v>
      </c>
      <c r="E428" s="360">
        <f t="shared" ca="1" si="183"/>
        <v>-1.9368014880387712</v>
      </c>
      <c r="F428" s="357">
        <f t="shared" ca="1" si="184"/>
        <v>2.0620530739155281</v>
      </c>
      <c r="G428" s="359">
        <f t="shared" ca="1" si="185"/>
        <v>5.0157162808749396</v>
      </c>
      <c r="H428" s="360">
        <f t="shared" ca="1" si="186"/>
        <v>-55.79976602845025</v>
      </c>
      <c r="I428" s="357">
        <f t="shared" ca="1" si="187"/>
        <v>56.024738273730691</v>
      </c>
      <c r="J428" s="359">
        <f t="shared" ca="1" si="188"/>
        <v>184.26379383972827</v>
      </c>
      <c r="K428" s="360">
        <f t="shared" ca="1" si="189"/>
        <v>-5.3891681122891244</v>
      </c>
      <c r="L428" s="357">
        <f t="shared" ca="1" si="174"/>
        <v>184.34258556598471</v>
      </c>
      <c r="M428" s="359">
        <f t="shared" ca="1" si="190"/>
        <v>-1.4811494864757153</v>
      </c>
      <c r="N428" s="357">
        <f t="shared" ca="1" si="191"/>
        <v>-84.863614403027697</v>
      </c>
      <c r="O428" s="343"/>
      <c r="P428" s="363">
        <f t="shared" ca="1" si="192"/>
        <v>23</v>
      </c>
      <c r="Q428" s="357">
        <f t="shared" ca="1" si="193"/>
        <v>0</v>
      </c>
      <c r="R428" s="359">
        <f t="shared" ca="1" si="194"/>
        <v>0</v>
      </c>
      <c r="S428" s="360">
        <f t="shared" ca="1" si="195"/>
        <v>0.42898953648292248</v>
      </c>
      <c r="T428" s="357">
        <f t="shared" ca="1" si="175"/>
        <v>4.2083873528974696</v>
      </c>
      <c r="U428" s="364">
        <f t="shared" ca="1" si="176"/>
        <v>0</v>
      </c>
      <c r="V428" s="359">
        <f t="shared" ca="1" si="177"/>
        <v>1.2256603510308912</v>
      </c>
      <c r="W428" s="357">
        <f t="shared" ca="1" si="178"/>
        <v>3.3911621444781885</v>
      </c>
      <c r="X428" s="343"/>
      <c r="Y428" s="367" t="str">
        <f t="shared" ca="1" si="196"/>
        <v/>
      </c>
      <c r="Z428" s="368" t="str">
        <f t="shared" ca="1" si="197"/>
        <v/>
      </c>
      <c r="AA428" s="369" t="str">
        <f t="shared" ca="1" si="198"/>
        <v/>
      </c>
      <c r="AB428" s="344"/>
      <c r="AC428" s="363" t="e">
        <f t="shared" ca="1" si="199"/>
        <v>#N/A</v>
      </c>
      <c r="AD428" s="376" t="e">
        <f t="shared" ca="1" si="200"/>
        <v>#N/A</v>
      </c>
      <c r="AE428" s="377" t="e">
        <f t="shared" ca="1" si="179"/>
        <v>#N/A</v>
      </c>
      <c r="AF428" s="344"/>
      <c r="AG428" s="359">
        <f t="shared" ca="1" si="201"/>
        <v>1.8656630975867374</v>
      </c>
      <c r="AH428" s="357">
        <f t="shared" ca="1" si="202"/>
        <v>-7.9049426110708607</v>
      </c>
    </row>
    <row r="429" spans="1:34">
      <c r="A429" s="402">
        <f t="shared" ca="1" si="180"/>
        <v>1E-4</v>
      </c>
      <c r="B429" s="357">
        <f t="shared" ca="1" si="181"/>
        <v>16.907599999999956</v>
      </c>
      <c r="C429" s="342"/>
      <c r="D429" s="359">
        <f t="shared" ca="1" si="182"/>
        <v>-0.70770942923695046</v>
      </c>
      <c r="E429" s="360">
        <f t="shared" ca="1" si="183"/>
        <v>-1.9367435484486242</v>
      </c>
      <c r="F429" s="357">
        <f t="shared" ca="1" si="184"/>
        <v>2.0619961708713861</v>
      </c>
      <c r="G429" s="359">
        <f t="shared" ca="1" si="185"/>
        <v>5.0156455099320159</v>
      </c>
      <c r="H429" s="360">
        <f t="shared" ca="1" si="186"/>
        <v>-55.799959702805097</v>
      </c>
      <c r="I429" s="357">
        <f t="shared" ca="1" si="187"/>
        <v>56.024924834541046</v>
      </c>
      <c r="J429" s="359">
        <f t="shared" ca="1" si="188"/>
        <v>184.26379383972827</v>
      </c>
      <c r="K429" s="360">
        <f t="shared" ca="1" si="189"/>
        <v>-5.394748098575687</v>
      </c>
      <c r="L429" s="357">
        <f t="shared" ca="1" si="174"/>
        <v>184.34274877861881</v>
      </c>
      <c r="M429" s="359">
        <f t="shared" ca="1" si="190"/>
        <v>-1.4811510540959141</v>
      </c>
      <c r="N429" s="357">
        <f t="shared" ca="1" si="191"/>
        <v>-84.863704221048962</v>
      </c>
      <c r="O429" s="343"/>
      <c r="P429" s="363">
        <f t="shared" ca="1" si="192"/>
        <v>23</v>
      </c>
      <c r="Q429" s="357">
        <f t="shared" ca="1" si="193"/>
        <v>0</v>
      </c>
      <c r="R429" s="359">
        <f t="shared" ca="1" si="194"/>
        <v>0</v>
      </c>
      <c r="S429" s="360">
        <f t="shared" ca="1" si="195"/>
        <v>0.42898953648292248</v>
      </c>
      <c r="T429" s="357">
        <f t="shared" ca="1" si="175"/>
        <v>4.2083873528974696</v>
      </c>
      <c r="U429" s="364">
        <f t="shared" ca="1" si="176"/>
        <v>0</v>
      </c>
      <c r="V429" s="359">
        <f t="shared" ca="1" si="177"/>
        <v>1.2256610349479273</v>
      </c>
      <c r="W429" s="357">
        <f t="shared" ca="1" si="178"/>
        <v>3.3911866217429374</v>
      </c>
      <c r="X429" s="343"/>
      <c r="Y429" s="367" t="str">
        <f t="shared" ca="1" si="196"/>
        <v/>
      </c>
      <c r="Z429" s="368" t="str">
        <f t="shared" ca="1" si="197"/>
        <v/>
      </c>
      <c r="AA429" s="369" t="str">
        <f t="shared" ca="1" si="198"/>
        <v/>
      </c>
      <c r="AB429" s="344"/>
      <c r="AC429" s="363" t="e">
        <f t="shared" ca="1" si="199"/>
        <v>#N/A</v>
      </c>
      <c r="AD429" s="376" t="e">
        <f t="shared" ca="1" si="200"/>
        <v>#N/A</v>
      </c>
      <c r="AE429" s="377" t="e">
        <f t="shared" ca="1" si="179"/>
        <v>#N/A</v>
      </c>
      <c r="AF429" s="344"/>
      <c r="AG429" s="359">
        <f t="shared" ca="1" si="201"/>
        <v>1.8656074151300315</v>
      </c>
      <c r="AH429" s="357">
        <f t="shared" ca="1" si="202"/>
        <v>-7.9049996703432095</v>
      </c>
    </row>
    <row r="430" spans="1:34">
      <c r="A430" s="402">
        <f t="shared" ca="1" si="180"/>
        <v>1E-4</v>
      </c>
      <c r="B430" s="357">
        <f t="shared" ca="1" si="181"/>
        <v>16.907699999999956</v>
      </c>
      <c r="C430" s="342"/>
      <c r="D430" s="359">
        <f t="shared" ca="1" si="182"/>
        <v>-0.70770219508784138</v>
      </c>
      <c r="E430" s="360">
        <f t="shared" ca="1" si="183"/>
        <v>-1.9366856101990466</v>
      </c>
      <c r="F430" s="357">
        <f t="shared" ca="1" si="184"/>
        <v>2.061939269155181</v>
      </c>
      <c r="G430" s="359">
        <f t="shared" ca="1" si="185"/>
        <v>5.0155747397125072</v>
      </c>
      <c r="H430" s="360">
        <f t="shared" ca="1" si="186"/>
        <v>-55.800153371366115</v>
      </c>
      <c r="I430" s="357">
        <f t="shared" ca="1" si="187"/>
        <v>56.02511138978327</v>
      </c>
      <c r="J430" s="359">
        <f t="shared" ca="1" si="188"/>
        <v>184.26379383972827</v>
      </c>
      <c r="K430" s="360">
        <f t="shared" ca="1" si="189"/>
        <v>-5.4003281042293958</v>
      </c>
      <c r="L430" s="357">
        <f t="shared" ca="1" si="174"/>
        <v>184.34291216057971</v>
      </c>
      <c r="M430" s="359">
        <f t="shared" ca="1" si="190"/>
        <v>-1.481152621683554</v>
      </c>
      <c r="N430" s="357">
        <f t="shared" ca="1" si="191"/>
        <v>-84.863794037204741</v>
      </c>
      <c r="O430" s="343"/>
      <c r="P430" s="363">
        <f t="shared" ca="1" si="192"/>
        <v>23</v>
      </c>
      <c r="Q430" s="357">
        <f t="shared" ca="1" si="193"/>
        <v>0</v>
      </c>
      <c r="R430" s="359">
        <f t="shared" ca="1" si="194"/>
        <v>0</v>
      </c>
      <c r="S430" s="360">
        <f t="shared" ca="1" si="195"/>
        <v>0.42898953648292248</v>
      </c>
      <c r="T430" s="357">
        <f t="shared" ca="1" si="175"/>
        <v>4.2083873528974696</v>
      </c>
      <c r="U430" s="364">
        <f t="shared" ca="1" si="176"/>
        <v>0</v>
      </c>
      <c r="V430" s="359">
        <f t="shared" ca="1" si="177"/>
        <v>1.2256617188677179</v>
      </c>
      <c r="W430" s="357">
        <f t="shared" ca="1" si="178"/>
        <v>3.3912110984416386</v>
      </c>
      <c r="X430" s="343"/>
      <c r="Y430" s="367" t="str">
        <f t="shared" ca="1" si="196"/>
        <v/>
      </c>
      <c r="Z430" s="368" t="str">
        <f t="shared" ca="1" si="197"/>
        <v/>
      </c>
      <c r="AA430" s="369" t="str">
        <f t="shared" ca="1" si="198"/>
        <v/>
      </c>
      <c r="AB430" s="344"/>
      <c r="AC430" s="363" t="e">
        <f t="shared" ca="1" si="199"/>
        <v>#N/A</v>
      </c>
      <c r="AD430" s="376" t="e">
        <f t="shared" ca="1" si="200"/>
        <v>#N/A</v>
      </c>
      <c r="AE430" s="377" t="e">
        <f t="shared" ca="1" si="179"/>
        <v>#N/A</v>
      </c>
      <c r="AF430" s="344"/>
      <c r="AG430" s="359">
        <f t="shared" ca="1" si="201"/>
        <v>1.8655517339402081</v>
      </c>
      <c r="AH430" s="357">
        <f t="shared" ca="1" si="202"/>
        <v>-7.9050567282960671</v>
      </c>
    </row>
    <row r="431" spans="1:34">
      <c r="A431" s="402">
        <f t="shared" ca="1" si="180"/>
        <v>1E-4</v>
      </c>
      <c r="B431" s="357">
        <f t="shared" ca="1" si="181"/>
        <v>16.907799999999956</v>
      </c>
      <c r="C431" s="342"/>
      <c r="D431" s="359">
        <f t="shared" ca="1" si="182"/>
        <v>-0.70769496089704331</v>
      </c>
      <c r="E431" s="360">
        <f t="shared" ca="1" si="183"/>
        <v>-1.9366276732900358</v>
      </c>
      <c r="F431" s="357">
        <f t="shared" ca="1" si="184"/>
        <v>2.0618823687669106</v>
      </c>
      <c r="G431" s="359">
        <f t="shared" ca="1" si="185"/>
        <v>5.0155039702164173</v>
      </c>
      <c r="H431" s="360">
        <f t="shared" ca="1" si="186"/>
        <v>-55.800347034133445</v>
      </c>
      <c r="I431" s="357">
        <f t="shared" ca="1" si="187"/>
        <v>56.025297939457509</v>
      </c>
      <c r="J431" s="359">
        <f t="shared" ca="1" si="188"/>
        <v>184.26379383972827</v>
      </c>
      <c r="K431" s="360">
        <f t="shared" ca="1" si="189"/>
        <v>-5.4059081292496707</v>
      </c>
      <c r="L431" s="357">
        <f t="shared" ca="1" si="174"/>
        <v>184.34307571186875</v>
      </c>
      <c r="M431" s="359">
        <f t="shared" ca="1" si="190"/>
        <v>-1.481154189238636</v>
      </c>
      <c r="N431" s="357">
        <f t="shared" ca="1" si="191"/>
        <v>-84.863883851495089</v>
      </c>
      <c r="O431" s="343"/>
      <c r="P431" s="363">
        <f t="shared" ca="1" si="192"/>
        <v>23</v>
      </c>
      <c r="Q431" s="357">
        <f t="shared" ca="1" si="193"/>
        <v>0</v>
      </c>
      <c r="R431" s="359">
        <f t="shared" ca="1" si="194"/>
        <v>0</v>
      </c>
      <c r="S431" s="360">
        <f t="shared" ca="1" si="195"/>
        <v>0.42898953648292248</v>
      </c>
      <c r="T431" s="357">
        <f t="shared" ca="1" si="175"/>
        <v>4.2083873528974696</v>
      </c>
      <c r="U431" s="364">
        <f t="shared" ca="1" si="176"/>
        <v>0</v>
      </c>
      <c r="V431" s="359">
        <f t="shared" ca="1" si="177"/>
        <v>1.2256624027902647</v>
      </c>
      <c r="W431" s="357">
        <f t="shared" ca="1" si="178"/>
        <v>3.3912355745743086</v>
      </c>
      <c r="X431" s="343"/>
      <c r="Y431" s="367" t="str">
        <f t="shared" ca="1" si="196"/>
        <v/>
      </c>
      <c r="Z431" s="368" t="str">
        <f t="shared" ca="1" si="197"/>
        <v/>
      </c>
      <c r="AA431" s="369" t="str">
        <f t="shared" ca="1" si="198"/>
        <v/>
      </c>
      <c r="AB431" s="344"/>
      <c r="AC431" s="363" t="e">
        <f t="shared" ca="1" si="199"/>
        <v>#N/A</v>
      </c>
      <c r="AD431" s="376" t="e">
        <f t="shared" ca="1" si="200"/>
        <v>#N/A</v>
      </c>
      <c r="AE431" s="377" t="e">
        <f t="shared" ca="1" si="179"/>
        <v>#N/A</v>
      </c>
      <c r="AF431" s="344"/>
      <c r="AG431" s="359">
        <f t="shared" ca="1" si="201"/>
        <v>1.8654960540172727</v>
      </c>
      <c r="AH431" s="357">
        <f t="shared" ca="1" si="202"/>
        <v>-7.9051137849294335</v>
      </c>
    </row>
    <row r="432" spans="1:34">
      <c r="A432" s="402">
        <f t="shared" ca="1" si="180"/>
        <v>1E-4</v>
      </c>
      <c r="B432" s="357">
        <f t="shared" ca="1" si="181"/>
        <v>16.907899999999955</v>
      </c>
      <c r="C432" s="342"/>
      <c r="D432" s="359">
        <f t="shared" ca="1" si="182"/>
        <v>-0.70768772666456459</v>
      </c>
      <c r="E432" s="360">
        <f t="shared" ca="1" si="183"/>
        <v>-1.9365697377215527</v>
      </c>
      <c r="F432" s="357">
        <f t="shared" ca="1" si="184"/>
        <v>2.0618254697065375</v>
      </c>
      <c r="G432" s="359">
        <f t="shared" ca="1" si="185"/>
        <v>5.0154332014437504</v>
      </c>
      <c r="H432" s="360">
        <f t="shared" ca="1" si="186"/>
        <v>-55.800540691107216</v>
      </c>
      <c r="I432" s="357">
        <f t="shared" ca="1" si="187"/>
        <v>56.025484483563872</v>
      </c>
      <c r="J432" s="359">
        <f t="shared" ca="1" si="188"/>
        <v>184.26379383972827</v>
      </c>
      <c r="K432" s="360">
        <f t="shared" ca="1" si="189"/>
        <v>-5.4114881736359326</v>
      </c>
      <c r="L432" s="357">
        <f t="shared" ca="1" si="174"/>
        <v>184.34323943248714</v>
      </c>
      <c r="M432" s="359">
        <f t="shared" ca="1" si="190"/>
        <v>-1.4811557567611613</v>
      </c>
      <c r="N432" s="357">
        <f t="shared" ca="1" si="191"/>
        <v>-84.863973663920092</v>
      </c>
      <c r="O432" s="343"/>
      <c r="P432" s="363">
        <f t="shared" ca="1" si="192"/>
        <v>23</v>
      </c>
      <c r="Q432" s="357">
        <f t="shared" ca="1" si="193"/>
        <v>0</v>
      </c>
      <c r="R432" s="359">
        <f t="shared" ca="1" si="194"/>
        <v>0</v>
      </c>
      <c r="S432" s="360">
        <f t="shared" ca="1" si="195"/>
        <v>0.42898953648292248</v>
      </c>
      <c r="T432" s="357">
        <f t="shared" ca="1" si="175"/>
        <v>4.2083873528974696</v>
      </c>
      <c r="U432" s="364">
        <f t="shared" ca="1" si="176"/>
        <v>0</v>
      </c>
      <c r="V432" s="359">
        <f t="shared" ca="1" si="177"/>
        <v>1.2256630867155662</v>
      </c>
      <c r="W432" s="357">
        <f t="shared" ca="1" si="178"/>
        <v>3.3912600501409478</v>
      </c>
      <c r="X432" s="343"/>
      <c r="Y432" s="367" t="str">
        <f t="shared" ca="1" si="196"/>
        <v/>
      </c>
      <c r="Z432" s="368" t="str">
        <f t="shared" ca="1" si="197"/>
        <v/>
      </c>
      <c r="AA432" s="369" t="str">
        <f t="shared" ca="1" si="198"/>
        <v/>
      </c>
      <c r="AB432" s="344"/>
      <c r="AC432" s="363" t="e">
        <f t="shared" ca="1" si="199"/>
        <v>#N/A</v>
      </c>
      <c r="AD432" s="376" t="e">
        <f t="shared" ca="1" si="200"/>
        <v>#N/A</v>
      </c>
      <c r="AE432" s="377" t="e">
        <f t="shared" ca="1" si="179"/>
        <v>#N/A</v>
      </c>
      <c r="AF432" s="344"/>
      <c r="AG432" s="359">
        <f t="shared" ca="1" si="201"/>
        <v>1.8654403753611843</v>
      </c>
      <c r="AH432" s="357">
        <f t="shared" ca="1" si="202"/>
        <v>-7.9051708402433478</v>
      </c>
    </row>
    <row r="433" spans="1:34">
      <c r="A433" s="402">
        <f t="shared" ca="1" si="180"/>
        <v>1E-4</v>
      </c>
      <c r="B433" s="357">
        <f t="shared" ca="1" si="181"/>
        <v>16.907999999999955</v>
      </c>
      <c r="C433" s="342"/>
      <c r="D433" s="359">
        <f t="shared" ca="1" si="182"/>
        <v>-0.70768049239040653</v>
      </c>
      <c r="E433" s="360">
        <f t="shared" ca="1" si="183"/>
        <v>-1.9365118034935973</v>
      </c>
      <c r="F433" s="357">
        <f t="shared" ca="1" si="184"/>
        <v>2.0617685719740595</v>
      </c>
      <c r="G433" s="359">
        <f t="shared" ca="1" si="185"/>
        <v>5.015362433394511</v>
      </c>
      <c r="H433" s="360">
        <f t="shared" ca="1" si="186"/>
        <v>-55.800734342287562</v>
      </c>
      <c r="I433" s="357">
        <f t="shared" ca="1" si="187"/>
        <v>56.0256710221025</v>
      </c>
      <c r="J433" s="359">
        <f t="shared" ca="1" si="188"/>
        <v>184.26379383972827</v>
      </c>
      <c r="K433" s="360">
        <f t="shared" ca="1" si="189"/>
        <v>-5.4170682373876025</v>
      </c>
      <c r="L433" s="357">
        <f t="shared" ca="1" si="174"/>
        <v>184.34340332243625</v>
      </c>
      <c r="M433" s="359">
        <f t="shared" ca="1" si="190"/>
        <v>-1.4811573242511304</v>
      </c>
      <c r="N433" s="357">
        <f t="shared" ca="1" si="191"/>
        <v>-84.86406347447975</v>
      </c>
      <c r="O433" s="343"/>
      <c r="P433" s="363">
        <f t="shared" ca="1" si="192"/>
        <v>23</v>
      </c>
      <c r="Q433" s="357">
        <f t="shared" ca="1" si="193"/>
        <v>0</v>
      </c>
      <c r="R433" s="359">
        <f t="shared" ca="1" si="194"/>
        <v>0</v>
      </c>
      <c r="S433" s="360">
        <f t="shared" ca="1" si="195"/>
        <v>0.42898953648292248</v>
      </c>
      <c r="T433" s="357">
        <f t="shared" ca="1" si="175"/>
        <v>4.2083873528974696</v>
      </c>
      <c r="U433" s="364">
        <f t="shared" ca="1" si="176"/>
        <v>0</v>
      </c>
      <c r="V433" s="359">
        <f t="shared" ca="1" si="177"/>
        <v>1.2256637706436235</v>
      </c>
      <c r="W433" s="357">
        <f t="shared" ca="1" si="178"/>
        <v>3.3912845251415695</v>
      </c>
      <c r="X433" s="343"/>
      <c r="Y433" s="367" t="str">
        <f t="shared" ca="1" si="196"/>
        <v/>
      </c>
      <c r="Z433" s="368" t="str">
        <f t="shared" ca="1" si="197"/>
        <v/>
      </c>
      <c r="AA433" s="369" t="str">
        <f t="shared" ca="1" si="198"/>
        <v/>
      </c>
      <c r="AB433" s="344"/>
      <c r="AC433" s="363" t="e">
        <f t="shared" ca="1" si="199"/>
        <v>#N/A</v>
      </c>
      <c r="AD433" s="376" t="e">
        <f t="shared" ca="1" si="200"/>
        <v>#N/A</v>
      </c>
      <c r="AE433" s="377" t="e">
        <f t="shared" ca="1" si="179"/>
        <v>#N/A</v>
      </c>
      <c r="AF433" s="344"/>
      <c r="AG433" s="359">
        <f t="shared" ca="1" si="201"/>
        <v>1.8653846979719511</v>
      </c>
      <c r="AH433" s="357">
        <f t="shared" ca="1" si="202"/>
        <v>-7.9052278942378109</v>
      </c>
    </row>
    <row r="434" spans="1:34">
      <c r="A434" s="402">
        <f t="shared" ca="1" si="180"/>
        <v>1E-4</v>
      </c>
      <c r="B434" s="357">
        <f t="shared" ca="1" si="181"/>
        <v>16.908099999999955</v>
      </c>
      <c r="C434" s="342"/>
      <c r="D434" s="359">
        <f t="shared" ca="1" si="182"/>
        <v>-0.70767325807458026</v>
      </c>
      <c r="E434" s="360">
        <f t="shared" ca="1" si="183"/>
        <v>-1.9364538706061385</v>
      </c>
      <c r="F434" s="357">
        <f t="shared" ca="1" si="184"/>
        <v>2.0617116755694496</v>
      </c>
      <c r="G434" s="359">
        <f t="shared" ca="1" si="185"/>
        <v>5.0152916660687037</v>
      </c>
      <c r="H434" s="360">
        <f t="shared" ca="1" si="186"/>
        <v>-55.800927987674626</v>
      </c>
      <c r="I434" s="357">
        <f t="shared" ca="1" si="187"/>
        <v>56.025857555073515</v>
      </c>
      <c r="J434" s="359">
        <f t="shared" ca="1" si="188"/>
        <v>184.26379383972827</v>
      </c>
      <c r="K434" s="360">
        <f t="shared" ca="1" si="189"/>
        <v>-5.4226483205041003</v>
      </c>
      <c r="L434" s="357">
        <f t="shared" ca="1" si="174"/>
        <v>184.34356738171729</v>
      </c>
      <c r="M434" s="359">
        <f t="shared" ca="1" si="190"/>
        <v>-1.4811588917085448</v>
      </c>
      <c r="N434" s="357">
        <f t="shared" ca="1" si="191"/>
        <v>-84.864153283174161</v>
      </c>
      <c r="O434" s="343"/>
      <c r="P434" s="363">
        <f t="shared" ca="1" si="192"/>
        <v>23</v>
      </c>
      <c r="Q434" s="357">
        <f t="shared" ca="1" si="193"/>
        <v>0</v>
      </c>
      <c r="R434" s="359">
        <f t="shared" ca="1" si="194"/>
        <v>0</v>
      </c>
      <c r="S434" s="360">
        <f t="shared" ca="1" si="195"/>
        <v>0.42898953648292248</v>
      </c>
      <c r="T434" s="357">
        <f t="shared" ca="1" si="175"/>
        <v>4.2083873528974696</v>
      </c>
      <c r="U434" s="364">
        <f t="shared" ca="1" si="176"/>
        <v>0</v>
      </c>
      <c r="V434" s="359">
        <f t="shared" ca="1" si="177"/>
        <v>1.2256644545744362</v>
      </c>
      <c r="W434" s="357">
        <f t="shared" ca="1" si="178"/>
        <v>3.3913089995761783</v>
      </c>
      <c r="X434" s="343"/>
      <c r="Y434" s="367" t="str">
        <f t="shared" ca="1" si="196"/>
        <v/>
      </c>
      <c r="Z434" s="368" t="str">
        <f t="shared" ca="1" si="197"/>
        <v/>
      </c>
      <c r="AA434" s="369" t="str">
        <f t="shared" ca="1" si="198"/>
        <v/>
      </c>
      <c r="AB434" s="344"/>
      <c r="AC434" s="363" t="e">
        <f t="shared" ca="1" si="199"/>
        <v>#N/A</v>
      </c>
      <c r="AD434" s="376" t="e">
        <f t="shared" ca="1" si="200"/>
        <v>#N/A</v>
      </c>
      <c r="AE434" s="377" t="e">
        <f t="shared" ca="1" si="179"/>
        <v>#N/A</v>
      </c>
      <c r="AF434" s="344"/>
      <c r="AG434" s="359">
        <f t="shared" ca="1" si="201"/>
        <v>1.8653290218495382</v>
      </c>
      <c r="AH434" s="357">
        <f t="shared" ca="1" si="202"/>
        <v>-7.9052849469128539</v>
      </c>
    </row>
    <row r="435" spans="1:34">
      <c r="A435" s="402">
        <f t="shared" ca="1" si="180"/>
        <v>1E-4</v>
      </c>
      <c r="B435" s="357">
        <f t="shared" ca="1" si="181"/>
        <v>16.908199999999955</v>
      </c>
      <c r="C435" s="342"/>
      <c r="D435" s="359">
        <f t="shared" ca="1" si="182"/>
        <v>-0.70766602371708809</v>
      </c>
      <c r="E435" s="360">
        <f t="shared" ca="1" si="183"/>
        <v>-1.9363959390591639</v>
      </c>
      <c r="F435" s="357">
        <f t="shared" ca="1" si="184"/>
        <v>2.061654780492693</v>
      </c>
      <c r="G435" s="359">
        <f t="shared" ca="1" si="185"/>
        <v>5.0152208994663319</v>
      </c>
      <c r="H435" s="360">
        <f t="shared" ca="1" si="186"/>
        <v>-55.801121627268529</v>
      </c>
      <c r="I435" s="357">
        <f t="shared" ca="1" si="187"/>
        <v>56.026044082477028</v>
      </c>
      <c r="J435" s="359">
        <f t="shared" ca="1" si="188"/>
        <v>184.26379383972827</v>
      </c>
      <c r="K435" s="360">
        <f t="shared" ca="1" si="189"/>
        <v>-5.4282284229848479</v>
      </c>
      <c r="L435" s="357">
        <f t="shared" ca="1" si="174"/>
        <v>184.34373161033164</v>
      </c>
      <c r="M435" s="359">
        <f t="shared" ca="1" si="190"/>
        <v>-1.4811604591334049</v>
      </c>
      <c r="N435" s="357">
        <f t="shared" ca="1" si="191"/>
        <v>-84.864243090003342</v>
      </c>
      <c r="O435" s="343"/>
      <c r="P435" s="363">
        <f t="shared" ca="1" si="192"/>
        <v>23</v>
      </c>
      <c r="Q435" s="357">
        <f t="shared" ca="1" si="193"/>
        <v>0</v>
      </c>
      <c r="R435" s="359">
        <f t="shared" ca="1" si="194"/>
        <v>0</v>
      </c>
      <c r="S435" s="360">
        <f t="shared" ca="1" si="195"/>
        <v>0.42898953648292248</v>
      </c>
      <c r="T435" s="357">
        <f t="shared" ca="1" si="175"/>
        <v>4.2083873528974696</v>
      </c>
      <c r="U435" s="364">
        <f t="shared" ca="1" si="176"/>
        <v>0</v>
      </c>
      <c r="V435" s="359">
        <f t="shared" ca="1" si="177"/>
        <v>1.2256651385080033</v>
      </c>
      <c r="W435" s="357">
        <f t="shared" ca="1" si="178"/>
        <v>3.3913334734447789</v>
      </c>
      <c r="X435" s="343"/>
      <c r="Y435" s="367" t="str">
        <f t="shared" ca="1" si="196"/>
        <v/>
      </c>
      <c r="Z435" s="368" t="str">
        <f t="shared" ca="1" si="197"/>
        <v/>
      </c>
      <c r="AA435" s="369" t="str">
        <f t="shared" ca="1" si="198"/>
        <v/>
      </c>
      <c r="AB435" s="344"/>
      <c r="AC435" s="363" t="e">
        <f t="shared" ca="1" si="199"/>
        <v>#N/A</v>
      </c>
      <c r="AD435" s="376" t="e">
        <f t="shared" ca="1" si="200"/>
        <v>#N/A</v>
      </c>
      <c r="AE435" s="377" t="e">
        <f t="shared" ca="1" si="179"/>
        <v>#N/A</v>
      </c>
      <c r="AF435" s="344"/>
      <c r="AG435" s="359">
        <f t="shared" ca="1" si="201"/>
        <v>1.8652733469939378</v>
      </c>
      <c r="AH435" s="357">
        <f t="shared" ca="1" si="202"/>
        <v>-7.9053419982684865</v>
      </c>
    </row>
    <row r="436" spans="1:34">
      <c r="A436" s="402">
        <f t="shared" ca="1" si="180"/>
        <v>1E-4</v>
      </c>
      <c r="B436" s="357">
        <f t="shared" ca="1" si="181"/>
        <v>16.908299999999954</v>
      </c>
      <c r="C436" s="342"/>
      <c r="D436" s="359">
        <f t="shared" ca="1" si="182"/>
        <v>-0.70765878931793769</v>
      </c>
      <c r="E436" s="360">
        <f t="shared" ca="1" si="183"/>
        <v>-1.9363380088526618</v>
      </c>
      <c r="F436" s="357">
        <f t="shared" ca="1" si="184"/>
        <v>2.0615978867437801</v>
      </c>
      <c r="G436" s="359">
        <f t="shared" ca="1" si="185"/>
        <v>5.0151501335874</v>
      </c>
      <c r="H436" s="360">
        <f t="shared" ca="1" si="186"/>
        <v>-55.801315261069412</v>
      </c>
      <c r="I436" s="357">
        <f t="shared" ca="1" si="187"/>
        <v>56.026230604313191</v>
      </c>
      <c r="J436" s="359">
        <f t="shared" ca="1" si="188"/>
        <v>184.26379383972827</v>
      </c>
      <c r="K436" s="360">
        <f t="shared" ca="1" si="189"/>
        <v>-5.4338085448292643</v>
      </c>
      <c r="L436" s="357">
        <f t="shared" ca="1" si="174"/>
        <v>184.34389600828052</v>
      </c>
      <c r="M436" s="359">
        <f t="shared" ca="1" si="190"/>
        <v>-1.4811620265257119</v>
      </c>
      <c r="N436" s="357">
        <f t="shared" ca="1" si="191"/>
        <v>-84.864332894967376</v>
      </c>
      <c r="O436" s="343"/>
      <c r="P436" s="363">
        <f t="shared" ca="1" si="192"/>
        <v>23</v>
      </c>
      <c r="Q436" s="357">
        <f t="shared" ca="1" si="193"/>
        <v>0</v>
      </c>
      <c r="R436" s="359">
        <f t="shared" ca="1" si="194"/>
        <v>0</v>
      </c>
      <c r="S436" s="360">
        <f t="shared" ca="1" si="195"/>
        <v>0.42898953648292248</v>
      </c>
      <c r="T436" s="357">
        <f t="shared" ca="1" si="175"/>
        <v>4.2083873528974696</v>
      </c>
      <c r="U436" s="364">
        <f t="shared" ca="1" si="176"/>
        <v>0</v>
      </c>
      <c r="V436" s="359">
        <f t="shared" ca="1" si="177"/>
        <v>1.225665822444326</v>
      </c>
      <c r="W436" s="357">
        <f t="shared" ca="1" si="178"/>
        <v>3.3913579467473847</v>
      </c>
      <c r="X436" s="343"/>
      <c r="Y436" s="367" t="str">
        <f t="shared" ca="1" si="196"/>
        <v/>
      </c>
      <c r="Z436" s="368" t="str">
        <f t="shared" ca="1" si="197"/>
        <v/>
      </c>
      <c r="AA436" s="369" t="str">
        <f t="shared" ca="1" si="198"/>
        <v/>
      </c>
      <c r="AB436" s="344"/>
      <c r="AC436" s="363" t="e">
        <f t="shared" ca="1" si="199"/>
        <v>#N/A</v>
      </c>
      <c r="AD436" s="376" t="e">
        <f t="shared" ca="1" si="200"/>
        <v>#N/A</v>
      </c>
      <c r="AE436" s="377" t="e">
        <f t="shared" ca="1" si="179"/>
        <v>#N/A</v>
      </c>
      <c r="AF436" s="344"/>
      <c r="AG436" s="359">
        <f t="shared" ca="1" si="201"/>
        <v>1.865217673405148</v>
      </c>
      <c r="AH436" s="357">
        <f t="shared" ca="1" si="202"/>
        <v>-7.9053990483047212</v>
      </c>
    </row>
    <row r="437" spans="1:34">
      <c r="A437" s="402">
        <f t="shared" ca="1" si="180"/>
        <v>1E-4</v>
      </c>
      <c r="B437" s="357">
        <f t="shared" ca="1" si="181"/>
        <v>16.908399999999954</v>
      </c>
      <c r="C437" s="342"/>
      <c r="D437" s="359">
        <f t="shared" ca="1" si="182"/>
        <v>-0.70765155487713494</v>
      </c>
      <c r="E437" s="360">
        <f t="shared" ca="1" si="183"/>
        <v>-1.9362800799866031</v>
      </c>
      <c r="F437" s="357">
        <f t="shared" ca="1" si="184"/>
        <v>2.0615409943226819</v>
      </c>
      <c r="G437" s="359">
        <f t="shared" ca="1" si="185"/>
        <v>5.0150793684319126</v>
      </c>
      <c r="H437" s="360">
        <f t="shared" ca="1" si="186"/>
        <v>-55.801508889077411</v>
      </c>
      <c r="I437" s="357">
        <f t="shared" ca="1" si="187"/>
        <v>56.026417120582117</v>
      </c>
      <c r="J437" s="359">
        <f t="shared" ca="1" si="188"/>
        <v>184.26379383972827</v>
      </c>
      <c r="K437" s="360">
        <f t="shared" ca="1" si="189"/>
        <v>-5.4393886860367715</v>
      </c>
      <c r="L437" s="357">
        <f t="shared" ca="1" si="174"/>
        <v>184.34406057556524</v>
      </c>
      <c r="M437" s="359">
        <f t="shared" ca="1" si="190"/>
        <v>-1.4811635938854668</v>
      </c>
      <c r="N437" s="357">
        <f t="shared" ca="1" si="191"/>
        <v>-84.864422698066321</v>
      </c>
      <c r="O437" s="343"/>
      <c r="P437" s="363">
        <f t="shared" ca="1" si="192"/>
        <v>23</v>
      </c>
      <c r="Q437" s="357">
        <f t="shared" ca="1" si="193"/>
        <v>0</v>
      </c>
      <c r="R437" s="359">
        <f t="shared" ca="1" si="194"/>
        <v>0</v>
      </c>
      <c r="S437" s="360">
        <f t="shared" ca="1" si="195"/>
        <v>0.42898953648292248</v>
      </c>
      <c r="T437" s="357">
        <f t="shared" ca="1" si="175"/>
        <v>4.2083873528974696</v>
      </c>
      <c r="U437" s="364">
        <f t="shared" ca="1" si="176"/>
        <v>0</v>
      </c>
      <c r="V437" s="359">
        <f t="shared" ca="1" si="177"/>
        <v>1.2256665063834038</v>
      </c>
      <c r="W437" s="357">
        <f t="shared" ca="1" si="178"/>
        <v>3.3913824194840005</v>
      </c>
      <c r="X437" s="343"/>
      <c r="Y437" s="367" t="str">
        <f t="shared" ca="1" si="196"/>
        <v/>
      </c>
      <c r="Z437" s="368" t="str">
        <f t="shared" ca="1" si="197"/>
        <v/>
      </c>
      <c r="AA437" s="369" t="str">
        <f t="shared" ca="1" si="198"/>
        <v/>
      </c>
      <c r="AB437" s="344"/>
      <c r="AC437" s="363" t="e">
        <f t="shared" ca="1" si="199"/>
        <v>#N/A</v>
      </c>
      <c r="AD437" s="376" t="e">
        <f t="shared" ca="1" si="200"/>
        <v>#N/A</v>
      </c>
      <c r="AE437" s="377" t="e">
        <f t="shared" ca="1" si="179"/>
        <v>#N/A</v>
      </c>
      <c r="AF437" s="344"/>
      <c r="AG437" s="359">
        <f t="shared" ca="1" si="201"/>
        <v>1.8651620010831316</v>
      </c>
      <c r="AH437" s="357">
        <f t="shared" ca="1" si="202"/>
        <v>-7.9054560970215881</v>
      </c>
    </row>
    <row r="438" spans="1:34">
      <c r="A438" s="402">
        <f t="shared" ca="1" si="180"/>
        <v>1E-4</v>
      </c>
      <c r="B438" s="357">
        <f t="shared" ca="1" si="181"/>
        <v>16.908499999999954</v>
      </c>
      <c r="C438" s="342"/>
      <c r="D438" s="359">
        <f t="shared" ca="1" si="182"/>
        <v>-0.70764432039468561</v>
      </c>
      <c r="E438" s="360">
        <f t="shared" ca="1" si="183"/>
        <v>-1.9362221524609744</v>
      </c>
      <c r="F438" s="357">
        <f t="shared" ca="1" si="184"/>
        <v>2.061484103229386</v>
      </c>
      <c r="G438" s="359">
        <f t="shared" ca="1" si="185"/>
        <v>5.0150086039998731</v>
      </c>
      <c r="H438" s="360">
        <f t="shared" ca="1" si="186"/>
        <v>-55.80170251129266</v>
      </c>
      <c r="I438" s="357">
        <f t="shared" ca="1" si="187"/>
        <v>56.026603631283933</v>
      </c>
      <c r="J438" s="359">
        <f t="shared" ca="1" si="188"/>
        <v>184.26379383972827</v>
      </c>
      <c r="K438" s="360">
        <f t="shared" ca="1" si="189"/>
        <v>-5.4449688466067903</v>
      </c>
      <c r="L438" s="357">
        <f t="shared" ca="1" si="174"/>
        <v>184.34422531218709</v>
      </c>
      <c r="M438" s="359">
        <f t="shared" ca="1" si="190"/>
        <v>-1.4811651612126704</v>
      </c>
      <c r="N438" s="357">
        <f t="shared" ca="1" si="191"/>
        <v>-84.86451249930019</v>
      </c>
      <c r="O438" s="343"/>
      <c r="P438" s="363">
        <f t="shared" ca="1" si="192"/>
        <v>23</v>
      </c>
      <c r="Q438" s="357">
        <f t="shared" ca="1" si="193"/>
        <v>0</v>
      </c>
      <c r="R438" s="359">
        <f t="shared" ca="1" si="194"/>
        <v>0</v>
      </c>
      <c r="S438" s="360">
        <f t="shared" ca="1" si="195"/>
        <v>0.42898953648292248</v>
      </c>
      <c r="T438" s="357">
        <f t="shared" ca="1" si="175"/>
        <v>4.2083873528974696</v>
      </c>
      <c r="U438" s="364">
        <f t="shared" ca="1" si="176"/>
        <v>0</v>
      </c>
      <c r="V438" s="359">
        <f t="shared" ca="1" si="177"/>
        <v>1.2256671903252363</v>
      </c>
      <c r="W438" s="357">
        <f t="shared" ca="1" si="178"/>
        <v>3.3914068916546332</v>
      </c>
      <c r="X438" s="343"/>
      <c r="Y438" s="367" t="str">
        <f t="shared" ca="1" si="196"/>
        <v/>
      </c>
      <c r="Z438" s="368" t="str">
        <f t="shared" ca="1" si="197"/>
        <v/>
      </c>
      <c r="AA438" s="369" t="str">
        <f t="shared" ca="1" si="198"/>
        <v/>
      </c>
      <c r="AB438" s="344"/>
      <c r="AC438" s="363" t="e">
        <f t="shared" ca="1" si="199"/>
        <v>#N/A</v>
      </c>
      <c r="AD438" s="376" t="e">
        <f t="shared" ca="1" si="200"/>
        <v>#N/A</v>
      </c>
      <c r="AE438" s="377" t="e">
        <f t="shared" ca="1" si="179"/>
        <v>#N/A</v>
      </c>
      <c r="AF438" s="344"/>
      <c r="AG438" s="359">
        <f t="shared" ca="1" si="201"/>
        <v>1.8651063300278814</v>
      </c>
      <c r="AH438" s="357">
        <f t="shared" ca="1" si="202"/>
        <v>-7.9055131444190998</v>
      </c>
    </row>
    <row r="439" spans="1:34">
      <c r="A439" s="402">
        <f t="shared" ca="1" si="180"/>
        <v>1E-4</v>
      </c>
      <c r="B439" s="357">
        <f t="shared" ca="1" si="181"/>
        <v>16.908599999999954</v>
      </c>
      <c r="C439" s="342"/>
      <c r="D439" s="359">
        <f t="shared" ca="1" si="182"/>
        <v>-0.70763708587059582</v>
      </c>
      <c r="E439" s="360">
        <f t="shared" ca="1" si="183"/>
        <v>-1.9361642262757597</v>
      </c>
      <c r="F439" s="357">
        <f t="shared" ca="1" si="184"/>
        <v>2.061427213463876</v>
      </c>
      <c r="G439" s="359">
        <f t="shared" ca="1" si="185"/>
        <v>5.0149378402912861</v>
      </c>
      <c r="H439" s="360">
        <f t="shared" ca="1" si="186"/>
        <v>-55.801896127715288</v>
      </c>
      <c r="I439" s="357">
        <f t="shared" ca="1" si="187"/>
        <v>56.026790136418768</v>
      </c>
      <c r="J439" s="359">
        <f t="shared" ca="1" si="188"/>
        <v>184.26379383972827</v>
      </c>
      <c r="K439" s="360">
        <f t="shared" ca="1" si="189"/>
        <v>-5.4505490265387406</v>
      </c>
      <c r="L439" s="357">
        <f t="shared" ca="1" si="174"/>
        <v>184.34439021814737</v>
      </c>
      <c r="M439" s="359">
        <f t="shared" ca="1" si="190"/>
        <v>-1.4811667285073236</v>
      </c>
      <c r="N439" s="357">
        <f t="shared" ca="1" si="191"/>
        <v>-84.86460229866907</v>
      </c>
      <c r="O439" s="343"/>
      <c r="P439" s="363">
        <f t="shared" ca="1" si="192"/>
        <v>23</v>
      </c>
      <c r="Q439" s="357">
        <f t="shared" ca="1" si="193"/>
        <v>0</v>
      </c>
      <c r="R439" s="359">
        <f t="shared" ca="1" si="194"/>
        <v>0</v>
      </c>
      <c r="S439" s="360">
        <f t="shared" ca="1" si="195"/>
        <v>0.42898953648292248</v>
      </c>
      <c r="T439" s="357">
        <f t="shared" ca="1" si="175"/>
        <v>4.2083873528974696</v>
      </c>
      <c r="U439" s="364">
        <f t="shared" ca="1" si="176"/>
        <v>0</v>
      </c>
      <c r="V439" s="359">
        <f t="shared" ca="1" si="177"/>
        <v>1.2256678742698237</v>
      </c>
      <c r="W439" s="357">
        <f t="shared" ca="1" si="178"/>
        <v>3.391431363259291</v>
      </c>
      <c r="X439" s="343"/>
      <c r="Y439" s="367" t="str">
        <f t="shared" ca="1" si="196"/>
        <v/>
      </c>
      <c r="Z439" s="368" t="str">
        <f t="shared" ca="1" si="197"/>
        <v/>
      </c>
      <c r="AA439" s="369" t="str">
        <f t="shared" ca="1" si="198"/>
        <v/>
      </c>
      <c r="AB439" s="344"/>
      <c r="AC439" s="363" t="e">
        <f t="shared" ca="1" si="199"/>
        <v>#N/A</v>
      </c>
      <c r="AD439" s="376" t="e">
        <f t="shared" ca="1" si="200"/>
        <v>#N/A</v>
      </c>
      <c r="AE439" s="377" t="e">
        <f t="shared" ca="1" si="179"/>
        <v>#N/A</v>
      </c>
      <c r="AF439" s="344"/>
      <c r="AG439" s="359">
        <f t="shared" ca="1" si="201"/>
        <v>1.8650506602393868</v>
      </c>
      <c r="AH439" s="357">
        <f t="shared" ca="1" si="202"/>
        <v>-7.9055701904972704</v>
      </c>
    </row>
    <row r="440" spans="1:34">
      <c r="A440" s="402">
        <f t="shared" ca="1" si="180"/>
        <v>1E-4</v>
      </c>
      <c r="B440" s="357">
        <f t="shared" ca="1" si="181"/>
        <v>16.908699999999953</v>
      </c>
      <c r="C440" s="342"/>
      <c r="D440" s="359">
        <f t="shared" ca="1" si="182"/>
        <v>-0.70762985130487244</v>
      </c>
      <c r="E440" s="360">
        <f t="shared" ca="1" si="183"/>
        <v>-1.9361063014309394</v>
      </c>
      <c r="F440" s="357">
        <f t="shared" ca="1" si="184"/>
        <v>2.0613703250261337</v>
      </c>
      <c r="G440" s="359">
        <f t="shared" ca="1" si="185"/>
        <v>5.0148670773061559</v>
      </c>
      <c r="H440" s="360">
        <f t="shared" ca="1" si="186"/>
        <v>-55.80208973834543</v>
      </c>
      <c r="I440" s="357">
        <f t="shared" ca="1" si="187"/>
        <v>56.026976635986749</v>
      </c>
      <c r="J440" s="359">
        <f t="shared" ca="1" si="188"/>
        <v>184.26379383972827</v>
      </c>
      <c r="K440" s="360">
        <f t="shared" ca="1" si="189"/>
        <v>-5.4561292258320435</v>
      </c>
      <c r="L440" s="357">
        <f t="shared" ca="1" si="174"/>
        <v>184.34455529344734</v>
      </c>
      <c r="M440" s="359">
        <f t="shared" ca="1" si="190"/>
        <v>-1.4811682957694274</v>
      </c>
      <c r="N440" s="357">
        <f t="shared" ca="1" si="191"/>
        <v>-84.864692096173016</v>
      </c>
      <c r="O440" s="343"/>
      <c r="P440" s="363">
        <f t="shared" ca="1" si="192"/>
        <v>23</v>
      </c>
      <c r="Q440" s="357">
        <f t="shared" ca="1" si="193"/>
        <v>0</v>
      </c>
      <c r="R440" s="359">
        <f t="shared" ca="1" si="194"/>
        <v>0</v>
      </c>
      <c r="S440" s="360">
        <f t="shared" ca="1" si="195"/>
        <v>0.42898953648292248</v>
      </c>
      <c r="T440" s="357">
        <f t="shared" ca="1" si="175"/>
        <v>4.2083873528974696</v>
      </c>
      <c r="U440" s="364">
        <f t="shared" ca="1" si="176"/>
        <v>0</v>
      </c>
      <c r="V440" s="359">
        <f t="shared" ca="1" si="177"/>
        <v>1.225668558217166</v>
      </c>
      <c r="W440" s="357">
        <f t="shared" ca="1" si="178"/>
        <v>3.3914558342979819</v>
      </c>
      <c r="X440" s="343"/>
      <c r="Y440" s="367" t="str">
        <f t="shared" ca="1" si="196"/>
        <v/>
      </c>
      <c r="Z440" s="368" t="str">
        <f t="shared" ca="1" si="197"/>
        <v/>
      </c>
      <c r="AA440" s="369" t="str">
        <f t="shared" ca="1" si="198"/>
        <v/>
      </c>
      <c r="AB440" s="344"/>
      <c r="AC440" s="363" t="e">
        <f t="shared" ca="1" si="199"/>
        <v>#N/A</v>
      </c>
      <c r="AD440" s="376" t="e">
        <f t="shared" ca="1" si="200"/>
        <v>#N/A</v>
      </c>
      <c r="AE440" s="377" t="e">
        <f t="shared" ca="1" si="179"/>
        <v>#N/A</v>
      </c>
      <c r="AF440" s="344"/>
      <c r="AG440" s="359">
        <f t="shared" ca="1" si="201"/>
        <v>1.8649949917176309</v>
      </c>
      <c r="AH440" s="357">
        <f t="shared" ca="1" si="202"/>
        <v>-7.9056272352561203</v>
      </c>
    </row>
    <row r="441" spans="1:34">
      <c r="A441" s="402">
        <f t="shared" ca="1" si="180"/>
        <v>1E-4</v>
      </c>
      <c r="B441" s="357">
        <f t="shared" ca="1" si="181"/>
        <v>16.908799999999953</v>
      </c>
      <c r="C441" s="342"/>
      <c r="D441" s="359">
        <f t="shared" ca="1" si="182"/>
        <v>-0.70762261669752013</v>
      </c>
      <c r="E441" s="360">
        <f t="shared" ca="1" si="183"/>
        <v>-1.9360483779264941</v>
      </c>
      <c r="F441" s="357">
        <f t="shared" ca="1" si="184"/>
        <v>2.0613134379161395</v>
      </c>
      <c r="G441" s="359">
        <f t="shared" ca="1" si="185"/>
        <v>5.0147963150444861</v>
      </c>
      <c r="H441" s="360">
        <f t="shared" ca="1" si="186"/>
        <v>-55.80228334318322</v>
      </c>
      <c r="I441" s="357">
        <f t="shared" ca="1" si="187"/>
        <v>56.027163129988004</v>
      </c>
      <c r="J441" s="359">
        <f t="shared" ca="1" si="188"/>
        <v>184.26379383972827</v>
      </c>
      <c r="K441" s="360">
        <f t="shared" ca="1" si="189"/>
        <v>-5.4617094444861198</v>
      </c>
      <c r="L441" s="357">
        <f t="shared" ca="1" si="174"/>
        <v>184.3447205380883</v>
      </c>
      <c r="M441" s="359">
        <f t="shared" ca="1" si="190"/>
        <v>-1.4811698629989829</v>
      </c>
      <c r="N441" s="357">
        <f t="shared" ca="1" si="191"/>
        <v>-84.864781891812072</v>
      </c>
      <c r="O441" s="343"/>
      <c r="P441" s="363">
        <f t="shared" ca="1" si="192"/>
        <v>23</v>
      </c>
      <c r="Q441" s="357">
        <f t="shared" ca="1" si="193"/>
        <v>0</v>
      </c>
      <c r="R441" s="359">
        <f t="shared" ca="1" si="194"/>
        <v>0</v>
      </c>
      <c r="S441" s="360">
        <f t="shared" ca="1" si="195"/>
        <v>0.42898953648292248</v>
      </c>
      <c r="T441" s="357">
        <f t="shared" ca="1" si="175"/>
        <v>4.2083873528974696</v>
      </c>
      <c r="U441" s="364">
        <f t="shared" ca="1" si="176"/>
        <v>0</v>
      </c>
      <c r="V441" s="359">
        <f t="shared" ca="1" si="177"/>
        <v>1.225669242167263</v>
      </c>
      <c r="W441" s="357">
        <f t="shared" ca="1" si="178"/>
        <v>3.391480304770714</v>
      </c>
      <c r="X441" s="343"/>
      <c r="Y441" s="367" t="str">
        <f t="shared" ca="1" si="196"/>
        <v/>
      </c>
      <c r="Z441" s="368" t="str">
        <f t="shared" ca="1" si="197"/>
        <v/>
      </c>
      <c r="AA441" s="369" t="str">
        <f t="shared" ca="1" si="198"/>
        <v/>
      </c>
      <c r="AB441" s="344"/>
      <c r="AC441" s="363" t="e">
        <f t="shared" ca="1" si="199"/>
        <v>#N/A</v>
      </c>
      <c r="AD441" s="376" t="e">
        <f t="shared" ca="1" si="200"/>
        <v>#N/A</v>
      </c>
      <c r="AE441" s="377" t="e">
        <f t="shared" ca="1" si="179"/>
        <v>#N/A</v>
      </c>
      <c r="AF441" s="344"/>
      <c r="AG441" s="359">
        <f t="shared" ca="1" si="201"/>
        <v>1.8649393244625951</v>
      </c>
      <c r="AH441" s="357">
        <f t="shared" ca="1" si="202"/>
        <v>-7.9056842786956683</v>
      </c>
    </row>
    <row r="442" spans="1:34">
      <c r="A442" s="402">
        <f t="shared" ca="1" si="180"/>
        <v>1E-4</v>
      </c>
      <c r="B442" s="357">
        <f t="shared" ca="1" si="181"/>
        <v>16.908899999999953</v>
      </c>
      <c r="C442" s="342"/>
      <c r="D442" s="359">
        <f t="shared" ca="1" si="182"/>
        <v>-0.70761538204854524</v>
      </c>
      <c r="E442" s="360">
        <f t="shared" ca="1" si="183"/>
        <v>-1.9359904557624059</v>
      </c>
      <c r="F442" s="357">
        <f t="shared" ca="1" si="184"/>
        <v>2.0612565521338766</v>
      </c>
      <c r="G442" s="359">
        <f t="shared" ca="1" si="185"/>
        <v>5.0147255535062811</v>
      </c>
      <c r="H442" s="360">
        <f t="shared" ca="1" si="186"/>
        <v>-55.802476942228793</v>
      </c>
      <c r="I442" s="357">
        <f t="shared" ca="1" si="187"/>
        <v>56.027349618422654</v>
      </c>
      <c r="J442" s="359">
        <f t="shared" ca="1" si="188"/>
        <v>184.26379383972827</v>
      </c>
      <c r="K442" s="360">
        <f t="shared" ca="1" si="189"/>
        <v>-5.4672896825003905</v>
      </c>
      <c r="L442" s="357">
        <f t="shared" ca="1" si="174"/>
        <v>184.34488595207151</v>
      </c>
      <c r="M442" s="359">
        <f t="shared" ca="1" si="190"/>
        <v>-1.4811714301959906</v>
      </c>
      <c r="N442" s="357">
        <f t="shared" ca="1" si="191"/>
        <v>-84.86487168558628</v>
      </c>
      <c r="O442" s="343"/>
      <c r="P442" s="363">
        <f t="shared" ca="1" si="192"/>
        <v>23</v>
      </c>
      <c r="Q442" s="357">
        <f t="shared" ca="1" si="193"/>
        <v>0</v>
      </c>
      <c r="R442" s="359">
        <f t="shared" ca="1" si="194"/>
        <v>0</v>
      </c>
      <c r="S442" s="360">
        <f t="shared" ca="1" si="195"/>
        <v>0.42898953648292248</v>
      </c>
      <c r="T442" s="357">
        <f t="shared" ca="1" si="175"/>
        <v>4.2083873528974696</v>
      </c>
      <c r="U442" s="364">
        <f t="shared" ca="1" si="176"/>
        <v>0</v>
      </c>
      <c r="V442" s="359">
        <f t="shared" ca="1" si="177"/>
        <v>1.2256699261201145</v>
      </c>
      <c r="W442" s="357">
        <f t="shared" ca="1" si="178"/>
        <v>3.3915047746774927</v>
      </c>
      <c r="X442" s="343"/>
      <c r="Y442" s="367" t="str">
        <f t="shared" ca="1" si="196"/>
        <v/>
      </c>
      <c r="Z442" s="368" t="str">
        <f t="shared" ca="1" si="197"/>
        <v/>
      </c>
      <c r="AA442" s="369" t="str">
        <f t="shared" ca="1" si="198"/>
        <v/>
      </c>
      <c r="AB442" s="344"/>
      <c r="AC442" s="363" t="e">
        <f t="shared" ca="1" si="199"/>
        <v>#N/A</v>
      </c>
      <c r="AD442" s="376" t="e">
        <f t="shared" ca="1" si="200"/>
        <v>#N/A</v>
      </c>
      <c r="AE442" s="377" t="e">
        <f t="shared" ca="1" si="179"/>
        <v>#N/A</v>
      </c>
      <c r="AF442" s="344"/>
      <c r="AG442" s="359">
        <f t="shared" ca="1" si="201"/>
        <v>1.8648836584742616</v>
      </c>
      <c r="AH442" s="357">
        <f t="shared" ca="1" si="202"/>
        <v>-7.9057413208159319</v>
      </c>
    </row>
    <row r="443" spans="1:34">
      <c r="A443" s="402">
        <f t="shared" ca="1" si="180"/>
        <v>1E-4</v>
      </c>
      <c r="B443" s="357">
        <f t="shared" ca="1" si="181"/>
        <v>16.908999999999953</v>
      </c>
      <c r="C443" s="342"/>
      <c r="D443" s="359">
        <f t="shared" ca="1" si="182"/>
        <v>-0.70760814735795552</v>
      </c>
      <c r="E443" s="360">
        <f t="shared" ca="1" si="183"/>
        <v>-1.9359325349386625</v>
      </c>
      <c r="F443" s="357">
        <f t="shared" ca="1" si="184"/>
        <v>2.0611996676793334</v>
      </c>
      <c r="G443" s="359">
        <f t="shared" ca="1" si="185"/>
        <v>5.0146547926915455</v>
      </c>
      <c r="H443" s="360">
        <f t="shared" ca="1" si="186"/>
        <v>-55.802670535482285</v>
      </c>
      <c r="I443" s="357">
        <f t="shared" ca="1" si="187"/>
        <v>56.027536101290828</v>
      </c>
      <c r="J443" s="359">
        <f t="shared" ca="1" si="188"/>
        <v>184.26379383972827</v>
      </c>
      <c r="K443" s="360">
        <f t="shared" ca="1" si="189"/>
        <v>-5.4728699398742764</v>
      </c>
      <c r="L443" s="357">
        <f t="shared" ca="1" si="174"/>
        <v>184.34505153539831</v>
      </c>
      <c r="M443" s="359">
        <f t="shared" ca="1" si="190"/>
        <v>-1.4811729973604519</v>
      </c>
      <c r="N443" s="357">
        <f t="shared" ca="1" si="191"/>
        <v>-84.864961477495726</v>
      </c>
      <c r="O443" s="343"/>
      <c r="P443" s="363">
        <f t="shared" ca="1" si="192"/>
        <v>23</v>
      </c>
      <c r="Q443" s="357">
        <f t="shared" ca="1" si="193"/>
        <v>0</v>
      </c>
      <c r="R443" s="359">
        <f t="shared" ca="1" si="194"/>
        <v>0</v>
      </c>
      <c r="S443" s="360">
        <f t="shared" ca="1" si="195"/>
        <v>0.42898953648292248</v>
      </c>
      <c r="T443" s="357">
        <f t="shared" ca="1" si="175"/>
        <v>4.2083873528974696</v>
      </c>
      <c r="U443" s="364">
        <f t="shared" ca="1" si="176"/>
        <v>0</v>
      </c>
      <c r="V443" s="359">
        <f t="shared" ca="1" si="177"/>
        <v>1.2256706100757209</v>
      </c>
      <c r="W443" s="357">
        <f t="shared" ca="1" si="178"/>
        <v>3.3915292440183276</v>
      </c>
      <c r="X443" s="343"/>
      <c r="Y443" s="367" t="str">
        <f t="shared" ca="1" si="196"/>
        <v/>
      </c>
      <c r="Z443" s="368" t="str">
        <f t="shared" ca="1" si="197"/>
        <v/>
      </c>
      <c r="AA443" s="369" t="str">
        <f t="shared" ca="1" si="198"/>
        <v/>
      </c>
      <c r="AB443" s="344"/>
      <c r="AC443" s="363" t="e">
        <f t="shared" ca="1" si="199"/>
        <v>#N/A</v>
      </c>
      <c r="AD443" s="376" t="e">
        <f t="shared" ca="1" si="200"/>
        <v>#N/A</v>
      </c>
      <c r="AE443" s="377" t="e">
        <f t="shared" ca="1" si="179"/>
        <v>#N/A</v>
      </c>
      <c r="AF443" s="344"/>
      <c r="AG443" s="359">
        <f t="shared" ca="1" si="201"/>
        <v>1.864827993752626</v>
      </c>
      <c r="AH443" s="357">
        <f t="shared" ca="1" si="202"/>
        <v>-7.9057983616169247</v>
      </c>
    </row>
    <row r="444" spans="1:34">
      <c r="A444" s="402">
        <f t="shared" ca="1" si="180"/>
        <v>1E-4</v>
      </c>
      <c r="B444" s="357">
        <f t="shared" ca="1" si="181"/>
        <v>16.909099999999953</v>
      </c>
      <c r="C444" s="342"/>
      <c r="D444" s="359">
        <f t="shared" ca="1" si="182"/>
        <v>-0.70760091262575453</v>
      </c>
      <c r="E444" s="360">
        <f t="shared" ca="1" si="183"/>
        <v>-1.935874615455238</v>
      </c>
      <c r="F444" s="357">
        <f t="shared" ca="1" si="184"/>
        <v>2.0611427845524837</v>
      </c>
      <c r="G444" s="359">
        <f t="shared" ca="1" si="185"/>
        <v>5.0145840326002826</v>
      </c>
      <c r="H444" s="360">
        <f t="shared" ca="1" si="186"/>
        <v>-55.802864122943831</v>
      </c>
      <c r="I444" s="357">
        <f t="shared" ca="1" si="187"/>
        <v>56.027722578592659</v>
      </c>
      <c r="J444" s="359">
        <f t="shared" ca="1" si="188"/>
        <v>184.26379383972827</v>
      </c>
      <c r="K444" s="360">
        <f t="shared" ca="1" si="189"/>
        <v>-5.4784502166071976</v>
      </c>
      <c r="L444" s="357">
        <f t="shared" ca="1" si="174"/>
        <v>184.34521728806996</v>
      </c>
      <c r="M444" s="359">
        <f t="shared" ca="1" si="190"/>
        <v>-1.4811745644923675</v>
      </c>
      <c r="N444" s="357">
        <f t="shared" ca="1" si="191"/>
        <v>-84.865051267540423</v>
      </c>
      <c r="O444" s="343"/>
      <c r="P444" s="363">
        <f t="shared" ca="1" si="192"/>
        <v>23</v>
      </c>
      <c r="Q444" s="357">
        <f t="shared" ca="1" si="193"/>
        <v>0</v>
      </c>
      <c r="R444" s="359">
        <f t="shared" ca="1" si="194"/>
        <v>0</v>
      </c>
      <c r="S444" s="360">
        <f t="shared" ca="1" si="195"/>
        <v>0.42898953648292248</v>
      </c>
      <c r="T444" s="357">
        <f t="shared" ca="1" si="175"/>
        <v>4.2083873528974696</v>
      </c>
      <c r="U444" s="364">
        <f t="shared" ca="1" si="176"/>
        <v>0</v>
      </c>
      <c r="V444" s="359">
        <f t="shared" ca="1" si="177"/>
        <v>1.2256712940340819</v>
      </c>
      <c r="W444" s="357">
        <f t="shared" ca="1" si="178"/>
        <v>3.3915537127932263</v>
      </c>
      <c r="X444" s="343"/>
      <c r="Y444" s="367" t="str">
        <f t="shared" ca="1" si="196"/>
        <v/>
      </c>
      <c r="Z444" s="368" t="str">
        <f t="shared" ca="1" si="197"/>
        <v/>
      </c>
      <c r="AA444" s="369" t="str">
        <f t="shared" ca="1" si="198"/>
        <v/>
      </c>
      <c r="AB444" s="344"/>
      <c r="AC444" s="363" t="e">
        <f t="shared" ca="1" si="199"/>
        <v>#N/A</v>
      </c>
      <c r="AD444" s="376" t="e">
        <f t="shared" ca="1" si="200"/>
        <v>#N/A</v>
      </c>
      <c r="AE444" s="377" t="e">
        <f t="shared" ca="1" si="179"/>
        <v>#N/A</v>
      </c>
      <c r="AF444" s="344"/>
      <c r="AG444" s="359">
        <f t="shared" ca="1" si="201"/>
        <v>1.8647723302976615</v>
      </c>
      <c r="AH444" s="357">
        <f t="shared" ca="1" si="202"/>
        <v>-7.9058554010986697</v>
      </c>
    </row>
    <row r="445" spans="1:34">
      <c r="A445" s="402">
        <f t="shared" ca="1" si="180"/>
        <v>1E-4</v>
      </c>
      <c r="B445" s="357">
        <f t="shared" ca="1" si="181"/>
        <v>16.909199999999952</v>
      </c>
      <c r="C445" s="342"/>
      <c r="D445" s="359">
        <f t="shared" ca="1" si="182"/>
        <v>-0.70759367785195015</v>
      </c>
      <c r="E445" s="360">
        <f t="shared" ca="1" si="183"/>
        <v>-1.9358166973121165</v>
      </c>
      <c r="F445" s="357">
        <f t="shared" ca="1" si="184"/>
        <v>2.0610859027533133</v>
      </c>
      <c r="G445" s="359">
        <f t="shared" ca="1" si="185"/>
        <v>5.0145132732324971</v>
      </c>
      <c r="H445" s="360">
        <f t="shared" ca="1" si="186"/>
        <v>-55.803057704613565</v>
      </c>
      <c r="I445" s="357">
        <f t="shared" ca="1" si="187"/>
        <v>56.027909050328269</v>
      </c>
      <c r="J445" s="359">
        <f t="shared" ca="1" si="188"/>
        <v>184.26379383972827</v>
      </c>
      <c r="K445" s="360">
        <f t="shared" ca="1" si="189"/>
        <v>-5.4840305126985758</v>
      </c>
      <c r="L445" s="357">
        <f t="shared" ca="1" si="174"/>
        <v>184.34538321008773</v>
      </c>
      <c r="M445" s="359">
        <f t="shared" ca="1" si="190"/>
        <v>-1.4811761315917384</v>
      </c>
      <c r="N445" s="357">
        <f t="shared" ca="1" si="191"/>
        <v>-84.865141055720457</v>
      </c>
      <c r="O445" s="343"/>
      <c r="P445" s="363">
        <f t="shared" ca="1" si="192"/>
        <v>23</v>
      </c>
      <c r="Q445" s="357">
        <f t="shared" ca="1" si="193"/>
        <v>0</v>
      </c>
      <c r="R445" s="359">
        <f t="shared" ca="1" si="194"/>
        <v>0</v>
      </c>
      <c r="S445" s="360">
        <f t="shared" ca="1" si="195"/>
        <v>0.42898953648292248</v>
      </c>
      <c r="T445" s="357">
        <f t="shared" ca="1" si="175"/>
        <v>4.2083873528974696</v>
      </c>
      <c r="U445" s="364">
        <f t="shared" ca="1" si="176"/>
        <v>0</v>
      </c>
      <c r="V445" s="359">
        <f t="shared" ca="1" si="177"/>
        <v>1.2256719779951974</v>
      </c>
      <c r="W445" s="357">
        <f t="shared" ca="1" si="178"/>
        <v>3.3915781810021954</v>
      </c>
      <c r="X445" s="343"/>
      <c r="Y445" s="367" t="str">
        <f t="shared" ca="1" si="196"/>
        <v/>
      </c>
      <c r="Z445" s="368" t="str">
        <f t="shared" ca="1" si="197"/>
        <v/>
      </c>
      <c r="AA445" s="369" t="str">
        <f t="shared" ca="1" si="198"/>
        <v/>
      </c>
      <c r="AB445" s="344"/>
      <c r="AC445" s="363" t="e">
        <f t="shared" ca="1" si="199"/>
        <v>#N/A</v>
      </c>
      <c r="AD445" s="376" t="e">
        <f t="shared" ca="1" si="200"/>
        <v>#N/A</v>
      </c>
      <c r="AE445" s="377" t="e">
        <f t="shared" ca="1" si="179"/>
        <v>#N/A</v>
      </c>
      <c r="AF445" s="344"/>
      <c r="AG445" s="359">
        <f t="shared" ca="1" si="201"/>
        <v>1.864716668109355</v>
      </c>
      <c r="AH445" s="357">
        <f t="shared" ca="1" si="202"/>
        <v>-7.9059124392611837</v>
      </c>
    </row>
    <row r="446" spans="1:34">
      <c r="A446" s="402">
        <f t="shared" ca="1" si="180"/>
        <v>1E-4</v>
      </c>
      <c r="B446" s="357">
        <f t="shared" ca="1" si="181"/>
        <v>16.909299999999952</v>
      </c>
      <c r="C446" s="342"/>
      <c r="D446" s="359">
        <f t="shared" ca="1" si="182"/>
        <v>-0.70758644303654705</v>
      </c>
      <c r="E446" s="360">
        <f t="shared" ca="1" si="183"/>
        <v>-1.935758780509282</v>
      </c>
      <c r="F446" s="357">
        <f t="shared" ca="1" si="184"/>
        <v>2.0610290222818053</v>
      </c>
      <c r="G446" s="359">
        <f t="shared" ca="1" si="185"/>
        <v>5.0144425145881932</v>
      </c>
      <c r="H446" s="360">
        <f t="shared" ca="1" si="186"/>
        <v>-55.803251280491615</v>
      </c>
      <c r="I446" s="357">
        <f t="shared" ca="1" si="187"/>
        <v>56.028095516497778</v>
      </c>
      <c r="J446" s="359">
        <f t="shared" ca="1" si="188"/>
        <v>184.26379383972827</v>
      </c>
      <c r="K446" s="360">
        <f t="shared" ca="1" si="189"/>
        <v>-5.4896108281478311</v>
      </c>
      <c r="L446" s="357">
        <f t="shared" ca="1" si="174"/>
        <v>184.34554930145291</v>
      </c>
      <c r="M446" s="359">
        <f t="shared" ca="1" si="190"/>
        <v>-1.4811776986585656</v>
      </c>
      <c r="N446" s="357">
        <f t="shared" ca="1" si="191"/>
        <v>-84.865230842035871</v>
      </c>
      <c r="O446" s="343"/>
      <c r="P446" s="363">
        <f t="shared" ca="1" si="192"/>
        <v>23</v>
      </c>
      <c r="Q446" s="357">
        <f t="shared" ca="1" si="193"/>
        <v>0</v>
      </c>
      <c r="R446" s="359">
        <f t="shared" ca="1" si="194"/>
        <v>0</v>
      </c>
      <c r="S446" s="360">
        <f t="shared" ca="1" si="195"/>
        <v>0.42898953648292248</v>
      </c>
      <c r="T446" s="357">
        <f t="shared" ca="1" si="175"/>
        <v>4.2083873528974696</v>
      </c>
      <c r="U446" s="364">
        <f t="shared" ca="1" si="176"/>
        <v>0</v>
      </c>
      <c r="V446" s="359">
        <f t="shared" ca="1" si="177"/>
        <v>1.2256726619590668</v>
      </c>
      <c r="W446" s="357">
        <f t="shared" ca="1" si="178"/>
        <v>3.39160264864524</v>
      </c>
      <c r="X446" s="343"/>
      <c r="Y446" s="367" t="str">
        <f t="shared" ca="1" si="196"/>
        <v/>
      </c>
      <c r="Z446" s="368" t="str">
        <f t="shared" ca="1" si="197"/>
        <v/>
      </c>
      <c r="AA446" s="369" t="str">
        <f t="shared" ca="1" si="198"/>
        <v/>
      </c>
      <c r="AB446" s="344"/>
      <c r="AC446" s="363" t="e">
        <f t="shared" ca="1" si="199"/>
        <v>#N/A</v>
      </c>
      <c r="AD446" s="376" t="e">
        <f t="shared" ca="1" si="200"/>
        <v>#N/A</v>
      </c>
      <c r="AE446" s="377" t="e">
        <f t="shared" ca="1" si="179"/>
        <v>#N/A</v>
      </c>
      <c r="AF446" s="344"/>
      <c r="AG446" s="359">
        <f t="shared" ca="1" si="201"/>
        <v>1.8646610071876939</v>
      </c>
      <c r="AH446" s="357">
        <f t="shared" ca="1" si="202"/>
        <v>-7.9059694761044828</v>
      </c>
    </row>
    <row r="447" spans="1:34">
      <c r="A447" s="402">
        <f t="shared" ca="1" si="180"/>
        <v>1E-4</v>
      </c>
      <c r="B447" s="357">
        <f t="shared" ca="1" si="181"/>
        <v>16.909399999999952</v>
      </c>
      <c r="C447" s="342"/>
      <c r="D447" s="359">
        <f t="shared" ca="1" si="182"/>
        <v>-0.70757920817955111</v>
      </c>
      <c r="E447" s="360">
        <f t="shared" ca="1" si="183"/>
        <v>-1.9357008650467229</v>
      </c>
      <c r="F447" s="357">
        <f t="shared" ca="1" si="184"/>
        <v>2.0609721431379495</v>
      </c>
      <c r="G447" s="359">
        <f t="shared" ca="1" si="185"/>
        <v>5.0143717566673756</v>
      </c>
      <c r="H447" s="360">
        <f t="shared" ca="1" si="186"/>
        <v>-55.803444850578117</v>
      </c>
      <c r="I447" s="357">
        <f t="shared" ca="1" si="187"/>
        <v>56.028281977101322</v>
      </c>
      <c r="J447" s="359">
        <f t="shared" ca="1" si="188"/>
        <v>184.26379383972827</v>
      </c>
      <c r="K447" s="360">
        <f t="shared" ca="1" si="189"/>
        <v>-5.4951911629543844</v>
      </c>
      <c r="L447" s="357">
        <f t="shared" ca="1" si="174"/>
        <v>184.34571556216676</v>
      </c>
      <c r="M447" s="359">
        <f t="shared" ca="1" si="190"/>
        <v>-1.48117926569285</v>
      </c>
      <c r="N447" s="357">
        <f t="shared" ca="1" si="191"/>
        <v>-84.865320626486707</v>
      </c>
      <c r="O447" s="343"/>
      <c r="P447" s="363">
        <f t="shared" ca="1" si="192"/>
        <v>23</v>
      </c>
      <c r="Q447" s="357">
        <f t="shared" ca="1" si="193"/>
        <v>0</v>
      </c>
      <c r="R447" s="359">
        <f t="shared" ca="1" si="194"/>
        <v>0</v>
      </c>
      <c r="S447" s="360">
        <f t="shared" ca="1" si="195"/>
        <v>0.42898953648292248</v>
      </c>
      <c r="T447" s="357">
        <f t="shared" ca="1" si="175"/>
        <v>4.2083873528974696</v>
      </c>
      <c r="U447" s="364">
        <f t="shared" ca="1" si="176"/>
        <v>0</v>
      </c>
      <c r="V447" s="359">
        <f t="shared" ca="1" si="177"/>
        <v>1.225673345925691</v>
      </c>
      <c r="W447" s="357">
        <f t="shared" ca="1" si="178"/>
        <v>3.3916271157223732</v>
      </c>
      <c r="X447" s="343"/>
      <c r="Y447" s="367" t="str">
        <f t="shared" ca="1" si="196"/>
        <v/>
      </c>
      <c r="Z447" s="368" t="str">
        <f t="shared" ca="1" si="197"/>
        <v/>
      </c>
      <c r="AA447" s="369" t="str">
        <f t="shared" ca="1" si="198"/>
        <v/>
      </c>
      <c r="AB447" s="344"/>
      <c r="AC447" s="363" t="e">
        <f t="shared" ca="1" si="199"/>
        <v>#N/A</v>
      </c>
      <c r="AD447" s="376" t="e">
        <f t="shared" ca="1" si="200"/>
        <v>#N/A</v>
      </c>
      <c r="AE447" s="377" t="e">
        <f t="shared" ca="1" si="179"/>
        <v>#N/A</v>
      </c>
      <c r="AF447" s="344"/>
      <c r="AG447" s="359">
        <f t="shared" ca="1" si="201"/>
        <v>1.8646053475326712</v>
      </c>
      <c r="AH447" s="357">
        <f t="shared" ca="1" si="202"/>
        <v>-7.9060265116285775</v>
      </c>
    </row>
    <row r="448" spans="1:34">
      <c r="A448" s="402">
        <f t="shared" ca="1" si="180"/>
        <v>1E-4</v>
      </c>
      <c r="B448" s="357">
        <f t="shared" ca="1" si="181"/>
        <v>16.909499999999952</v>
      </c>
      <c r="C448" s="342"/>
      <c r="D448" s="359">
        <f t="shared" ca="1" si="182"/>
        <v>-0.70757197328096966</v>
      </c>
      <c r="E448" s="360">
        <f t="shared" ca="1" si="183"/>
        <v>-1.9356429509244073</v>
      </c>
      <c r="F448" s="357">
        <f t="shared" ca="1" si="184"/>
        <v>2.0609152653217144</v>
      </c>
      <c r="G448" s="359">
        <f t="shared" ca="1" si="185"/>
        <v>5.0143009994700476</v>
      </c>
      <c r="H448" s="360">
        <f t="shared" ca="1" si="186"/>
        <v>-55.803638414873213</v>
      </c>
      <c r="I448" s="357">
        <f t="shared" ca="1" si="187"/>
        <v>56.028468432139029</v>
      </c>
      <c r="J448" s="359">
        <f t="shared" ca="1" si="188"/>
        <v>184.26379383972827</v>
      </c>
      <c r="K448" s="360">
        <f t="shared" ca="1" si="189"/>
        <v>-5.5007715171176566</v>
      </c>
      <c r="L448" s="357">
        <f t="shared" ca="1" si="174"/>
        <v>184.34588199223063</v>
      </c>
      <c r="M448" s="359">
        <f t="shared" ca="1" si="190"/>
        <v>-1.4811808326945923</v>
      </c>
      <c r="N448" s="357">
        <f t="shared" ca="1" si="191"/>
        <v>-84.865410409073036</v>
      </c>
      <c r="O448" s="343"/>
      <c r="P448" s="363">
        <f t="shared" ca="1" si="192"/>
        <v>23</v>
      </c>
      <c r="Q448" s="357">
        <f t="shared" ca="1" si="193"/>
        <v>0</v>
      </c>
      <c r="R448" s="359">
        <f t="shared" ca="1" si="194"/>
        <v>0</v>
      </c>
      <c r="S448" s="360">
        <f t="shared" ca="1" si="195"/>
        <v>0.42898953648292248</v>
      </c>
      <c r="T448" s="357">
        <f t="shared" ca="1" si="175"/>
        <v>4.2083873528974696</v>
      </c>
      <c r="U448" s="364">
        <f t="shared" ca="1" si="176"/>
        <v>0</v>
      </c>
      <c r="V448" s="359">
        <f t="shared" ca="1" si="177"/>
        <v>1.2256740298950692</v>
      </c>
      <c r="W448" s="357">
        <f t="shared" ca="1" si="178"/>
        <v>3.3916515822335991</v>
      </c>
      <c r="X448" s="343"/>
      <c r="Y448" s="367" t="str">
        <f t="shared" ca="1" si="196"/>
        <v/>
      </c>
      <c r="Z448" s="368" t="str">
        <f t="shared" ca="1" si="197"/>
        <v/>
      </c>
      <c r="AA448" s="369" t="str">
        <f t="shared" ca="1" si="198"/>
        <v/>
      </c>
      <c r="AB448" s="344"/>
      <c r="AC448" s="363" t="e">
        <f t="shared" ca="1" si="199"/>
        <v>#N/A</v>
      </c>
      <c r="AD448" s="376" t="e">
        <f t="shared" ca="1" si="200"/>
        <v>#N/A</v>
      </c>
      <c r="AE448" s="377" t="e">
        <f t="shared" ca="1" si="179"/>
        <v>#N/A</v>
      </c>
      <c r="AF448" s="344"/>
      <c r="AG448" s="359">
        <f t="shared" ca="1" si="201"/>
        <v>1.8645496891442548</v>
      </c>
      <c r="AH448" s="357">
        <f t="shared" ca="1" si="202"/>
        <v>-7.9060835458334999</v>
      </c>
    </row>
    <row r="449" spans="1:34">
      <c r="A449" s="402">
        <f t="shared" ca="1" si="180"/>
        <v>1E-4</v>
      </c>
      <c r="B449" s="357">
        <f t="shared" ca="1" si="181"/>
        <v>16.909599999999951</v>
      </c>
      <c r="C449" s="342"/>
      <c r="D449" s="359">
        <f t="shared" ca="1" si="182"/>
        <v>-0.70756473834080857</v>
      </c>
      <c r="E449" s="360">
        <f t="shared" ca="1" si="183"/>
        <v>-1.9355850381423272</v>
      </c>
      <c r="F449" s="357">
        <f t="shared" ca="1" si="184"/>
        <v>2.0608583888330929</v>
      </c>
      <c r="G449" s="359">
        <f t="shared" ca="1" si="185"/>
        <v>5.0142302429962138</v>
      </c>
      <c r="H449" s="360">
        <f t="shared" ca="1" si="186"/>
        <v>-55.803831973377029</v>
      </c>
      <c r="I449" s="357">
        <f t="shared" ca="1" si="187"/>
        <v>56.028654881611018</v>
      </c>
      <c r="J449" s="359">
        <f t="shared" ca="1" si="188"/>
        <v>184.26379383972827</v>
      </c>
      <c r="K449" s="360">
        <f t="shared" ca="1" si="189"/>
        <v>-5.5063518906370694</v>
      </c>
      <c r="L449" s="357">
        <f t="shared" ca="1" si="174"/>
        <v>184.34604859164571</v>
      </c>
      <c r="M449" s="359">
        <f t="shared" ca="1" si="190"/>
        <v>-1.4811823996637938</v>
      </c>
      <c r="N449" s="357">
        <f t="shared" ca="1" si="191"/>
        <v>-84.865500189794915</v>
      </c>
      <c r="O449" s="343"/>
      <c r="P449" s="363">
        <f t="shared" ca="1" si="192"/>
        <v>23</v>
      </c>
      <c r="Q449" s="357">
        <f t="shared" ca="1" si="193"/>
        <v>0</v>
      </c>
      <c r="R449" s="359">
        <f t="shared" ca="1" si="194"/>
        <v>0</v>
      </c>
      <c r="S449" s="360">
        <f t="shared" ca="1" si="195"/>
        <v>0.42898953648292248</v>
      </c>
      <c r="T449" s="357">
        <f t="shared" ca="1" si="175"/>
        <v>4.2083873528974696</v>
      </c>
      <c r="U449" s="364">
        <f t="shared" ca="1" si="176"/>
        <v>0</v>
      </c>
      <c r="V449" s="359">
        <f t="shared" ca="1" si="177"/>
        <v>1.2256747138672017</v>
      </c>
      <c r="W449" s="357">
        <f t="shared" ca="1" si="178"/>
        <v>3.3916760481789261</v>
      </c>
      <c r="X449" s="343"/>
      <c r="Y449" s="367" t="str">
        <f t="shared" ca="1" si="196"/>
        <v/>
      </c>
      <c r="Z449" s="368" t="str">
        <f t="shared" ca="1" si="197"/>
        <v/>
      </c>
      <c r="AA449" s="369" t="str">
        <f t="shared" ca="1" si="198"/>
        <v/>
      </c>
      <c r="AB449" s="344"/>
      <c r="AC449" s="363" t="e">
        <f t="shared" ca="1" si="199"/>
        <v>#N/A</v>
      </c>
      <c r="AD449" s="376" t="e">
        <f t="shared" ca="1" si="200"/>
        <v>#N/A</v>
      </c>
      <c r="AE449" s="377" t="e">
        <f t="shared" ca="1" si="179"/>
        <v>#N/A</v>
      </c>
      <c r="AF449" s="344"/>
      <c r="AG449" s="359">
        <f t="shared" ca="1" si="201"/>
        <v>1.8644940320224386</v>
      </c>
      <c r="AH449" s="357">
        <f t="shared" ca="1" si="202"/>
        <v>-7.906140578719258</v>
      </c>
    </row>
    <row r="450" spans="1:34">
      <c r="A450" s="402">
        <f t="shared" ca="1" si="180"/>
        <v>1E-4</v>
      </c>
      <c r="B450" s="357">
        <f t="shared" ca="1" si="181"/>
        <v>16.909699999999951</v>
      </c>
      <c r="C450" s="342"/>
      <c r="D450" s="359">
        <f t="shared" ca="1" si="182"/>
        <v>-0.70755750335907286</v>
      </c>
      <c r="E450" s="360">
        <f t="shared" ca="1" si="183"/>
        <v>-1.9355271267004603</v>
      </c>
      <c r="F450" s="357">
        <f t="shared" ca="1" si="184"/>
        <v>2.0608015136720628</v>
      </c>
      <c r="G450" s="359">
        <f t="shared" ca="1" si="185"/>
        <v>5.0141594872458777</v>
      </c>
      <c r="H450" s="360">
        <f t="shared" ca="1" si="186"/>
        <v>-55.804025526089703</v>
      </c>
      <c r="I450" s="357">
        <f t="shared" ca="1" si="187"/>
        <v>56.028841325517419</v>
      </c>
      <c r="J450" s="359">
        <f t="shared" ca="1" si="188"/>
        <v>184.26379383972827</v>
      </c>
      <c r="K450" s="360">
        <f t="shared" ca="1" si="189"/>
        <v>-5.511932283512043</v>
      </c>
      <c r="L450" s="357">
        <f t="shared" ca="1" si="174"/>
        <v>184.34621536041337</v>
      </c>
      <c r="M450" s="359">
        <f t="shared" ca="1" si="190"/>
        <v>-1.4811839666004551</v>
      </c>
      <c r="N450" s="357">
        <f t="shared" ca="1" si="191"/>
        <v>-84.865589968652372</v>
      </c>
      <c r="O450" s="343"/>
      <c r="P450" s="363">
        <f t="shared" ca="1" si="192"/>
        <v>23</v>
      </c>
      <c r="Q450" s="357">
        <f t="shared" ca="1" si="193"/>
        <v>0</v>
      </c>
      <c r="R450" s="359">
        <f t="shared" ca="1" si="194"/>
        <v>0</v>
      </c>
      <c r="S450" s="360">
        <f t="shared" ca="1" si="195"/>
        <v>0.42898953648292248</v>
      </c>
      <c r="T450" s="357">
        <f t="shared" ca="1" si="175"/>
        <v>4.2083873528974696</v>
      </c>
      <c r="U450" s="364">
        <f t="shared" ca="1" si="176"/>
        <v>0</v>
      </c>
      <c r="V450" s="359">
        <f t="shared" ca="1" si="177"/>
        <v>1.2256753978420889</v>
      </c>
      <c r="W450" s="357">
        <f t="shared" ca="1" si="178"/>
        <v>3.3917005135583627</v>
      </c>
      <c r="X450" s="343"/>
      <c r="Y450" s="367" t="str">
        <f t="shared" ca="1" si="196"/>
        <v/>
      </c>
      <c r="Z450" s="368" t="str">
        <f t="shared" ca="1" si="197"/>
        <v/>
      </c>
      <c r="AA450" s="369" t="str">
        <f t="shared" ca="1" si="198"/>
        <v/>
      </c>
      <c r="AB450" s="344"/>
      <c r="AC450" s="363" t="e">
        <f t="shared" ca="1" si="199"/>
        <v>#N/A</v>
      </c>
      <c r="AD450" s="376" t="e">
        <f t="shared" ca="1" si="200"/>
        <v>#N/A</v>
      </c>
      <c r="AE450" s="377" t="e">
        <f t="shared" ca="1" si="179"/>
        <v>#N/A</v>
      </c>
      <c r="AF450" s="344"/>
      <c r="AG450" s="359">
        <f t="shared" ca="1" si="201"/>
        <v>1.8644383761672065</v>
      </c>
      <c r="AH450" s="357">
        <f t="shared" ca="1" si="202"/>
        <v>-7.9061976102858731</v>
      </c>
    </row>
    <row r="451" spans="1:34">
      <c r="A451" s="402">
        <f t="shared" ca="1" si="180"/>
        <v>1E-4</v>
      </c>
      <c r="B451" s="357">
        <f t="shared" ca="1" si="181"/>
        <v>16.909799999999951</v>
      </c>
      <c r="C451" s="342"/>
      <c r="D451" s="359">
        <f t="shared" ca="1" si="182"/>
        <v>-0.7075502683357705</v>
      </c>
      <c r="E451" s="360">
        <f t="shared" ca="1" si="183"/>
        <v>-1.9354692165987872</v>
      </c>
      <c r="F451" s="357">
        <f t="shared" ca="1" si="184"/>
        <v>2.0607446398386058</v>
      </c>
      <c r="G451" s="359">
        <f t="shared" ca="1" si="185"/>
        <v>5.0140887322190437</v>
      </c>
      <c r="H451" s="360">
        <f t="shared" ca="1" si="186"/>
        <v>-55.80421907301136</v>
      </c>
      <c r="I451" s="357">
        <f t="shared" ca="1" si="187"/>
        <v>56.029027763858359</v>
      </c>
      <c r="J451" s="359">
        <f t="shared" ca="1" si="188"/>
        <v>184.26379383972827</v>
      </c>
      <c r="K451" s="360">
        <f t="shared" ca="1" si="189"/>
        <v>-5.5175126957419982</v>
      </c>
      <c r="L451" s="357">
        <f t="shared" ca="1" si="174"/>
        <v>184.34638229853485</v>
      </c>
      <c r="M451" s="359">
        <f t="shared" ca="1" si="190"/>
        <v>-1.4811855335045776</v>
      </c>
      <c r="N451" s="357">
        <f t="shared" ca="1" si="191"/>
        <v>-84.865679745645494</v>
      </c>
      <c r="O451" s="343"/>
      <c r="P451" s="363">
        <f t="shared" ca="1" si="192"/>
        <v>23</v>
      </c>
      <c r="Q451" s="357">
        <f t="shared" ca="1" si="193"/>
        <v>0</v>
      </c>
      <c r="R451" s="359">
        <f t="shared" ca="1" si="194"/>
        <v>0</v>
      </c>
      <c r="S451" s="360">
        <f t="shared" ca="1" si="195"/>
        <v>0.42898953648292248</v>
      </c>
      <c r="T451" s="357">
        <f t="shared" ca="1" si="175"/>
        <v>4.2083873528974696</v>
      </c>
      <c r="U451" s="364">
        <f t="shared" ca="1" si="176"/>
        <v>0</v>
      </c>
      <c r="V451" s="359">
        <f t="shared" ca="1" si="177"/>
        <v>1.2256760818197299</v>
      </c>
      <c r="W451" s="357">
        <f t="shared" ca="1" si="178"/>
        <v>3.3917249783719146</v>
      </c>
      <c r="X451" s="343"/>
      <c r="Y451" s="367" t="str">
        <f t="shared" ca="1" si="196"/>
        <v/>
      </c>
      <c r="Z451" s="368" t="str">
        <f t="shared" ca="1" si="197"/>
        <v/>
      </c>
      <c r="AA451" s="369" t="str">
        <f t="shared" ca="1" si="198"/>
        <v/>
      </c>
      <c r="AB451" s="344"/>
      <c r="AC451" s="363" t="e">
        <f t="shared" ca="1" si="199"/>
        <v>#N/A</v>
      </c>
      <c r="AD451" s="376" t="e">
        <f t="shared" ca="1" si="200"/>
        <v>#N/A</v>
      </c>
      <c r="AE451" s="377" t="e">
        <f t="shared" ca="1" si="179"/>
        <v>#N/A</v>
      </c>
      <c r="AF451" s="344"/>
      <c r="AG451" s="359">
        <f t="shared" ca="1" si="201"/>
        <v>1.86438272157854</v>
      </c>
      <c r="AH451" s="357">
        <f t="shared" ca="1" si="202"/>
        <v>-7.9062546405333638</v>
      </c>
    </row>
    <row r="452" spans="1:34">
      <c r="A452" s="402">
        <f t="shared" ca="1" si="180"/>
        <v>1E-4</v>
      </c>
      <c r="B452" s="357">
        <f t="shared" ca="1" si="181"/>
        <v>16.909899999999951</v>
      </c>
      <c r="C452" s="342"/>
      <c r="D452" s="359">
        <f t="shared" ca="1" si="182"/>
        <v>-0.70754303327090418</v>
      </c>
      <c r="E452" s="360">
        <f t="shared" ca="1" si="183"/>
        <v>-1.9354113078372954</v>
      </c>
      <c r="F452" s="357">
        <f t="shared" ca="1" si="184"/>
        <v>2.0606877673327082</v>
      </c>
      <c r="G452" s="359">
        <f t="shared" ca="1" si="185"/>
        <v>5.0140179779157164</v>
      </c>
      <c r="H452" s="360">
        <f t="shared" ca="1" si="186"/>
        <v>-55.804412614142144</v>
      </c>
      <c r="I452" s="357">
        <f t="shared" ca="1" si="187"/>
        <v>56.029214196633966</v>
      </c>
      <c r="J452" s="359">
        <f t="shared" ca="1" si="188"/>
        <v>184.26379383972827</v>
      </c>
      <c r="K452" s="360">
        <f t="shared" ca="1" si="189"/>
        <v>-5.5230931273263559</v>
      </c>
      <c r="L452" s="357">
        <f t="shared" ref="L452:L515" ca="1" si="203">SQRT(pos_x^2+pos_z^2)</f>
        <v>184.34654940601141</v>
      </c>
      <c r="M452" s="359">
        <f t="shared" ca="1" si="190"/>
        <v>-1.4811871003761616</v>
      </c>
      <c r="N452" s="357">
        <f t="shared" ca="1" si="191"/>
        <v>-84.865769520774293</v>
      </c>
      <c r="O452" s="343"/>
      <c r="P452" s="363">
        <f t="shared" ca="1" si="192"/>
        <v>23</v>
      </c>
      <c r="Q452" s="357">
        <f t="shared" ca="1" si="193"/>
        <v>0</v>
      </c>
      <c r="R452" s="359">
        <f t="shared" ca="1" si="194"/>
        <v>0</v>
      </c>
      <c r="S452" s="360">
        <f t="shared" ca="1" si="195"/>
        <v>0.42898953648292248</v>
      </c>
      <c r="T452" s="357">
        <f t="shared" ref="T452:T515" ca="1" si="204">m*g</f>
        <v>4.2083873528974696</v>
      </c>
      <c r="U452" s="364">
        <f t="shared" ref="U452:U515" ca="1" si="205">IF(pos_xz&lt;L_rampe,Poids*COS(Beta),0)</f>
        <v>0</v>
      </c>
      <c r="V452" s="359">
        <f t="shared" ref="V452:V515" ca="1" si="206">Rho_moyen*(20000-Alt_rampe-pos_z)/(20000+Alt_rampe+pos_z)</f>
        <v>1.2256767658001244</v>
      </c>
      <c r="W452" s="357">
        <f t="shared" ref="W452:W515" ca="1" si="207">1/2*Rho*Sref*Cx*vit_xz^2</f>
        <v>3.3917494426195898</v>
      </c>
      <c r="X452" s="343"/>
      <c r="Y452" s="367" t="str">
        <f t="shared" ca="1" si="196"/>
        <v/>
      </c>
      <c r="Z452" s="368" t="str">
        <f t="shared" ca="1" si="197"/>
        <v/>
      </c>
      <c r="AA452" s="369" t="str">
        <f t="shared" ca="1" si="198"/>
        <v/>
      </c>
      <c r="AB452" s="344"/>
      <c r="AC452" s="363" t="e">
        <f t="shared" ca="1" si="199"/>
        <v>#N/A</v>
      </c>
      <c r="AD452" s="376" t="e">
        <f t="shared" ca="1" si="200"/>
        <v>#N/A</v>
      </c>
      <c r="AE452" s="377" t="e">
        <f t="shared" ref="AE452:AE515" ca="1" si="208">IF(t&lt;T_para, pos_z, NA())</f>
        <v>#N/A</v>
      </c>
      <c r="AF452" s="344"/>
      <c r="AG452" s="359">
        <f t="shared" ca="1" si="201"/>
        <v>1.8643270682564292</v>
      </c>
      <c r="AH452" s="357">
        <f t="shared" ca="1" si="202"/>
        <v>-7.9063116694617435</v>
      </c>
    </row>
    <row r="453" spans="1:34">
      <c r="A453" s="402">
        <f t="shared" ref="A453:A516" ca="1" si="209">IF(B452+0.01&lt;=T_ini+ROUNDUP(Temps_fin_propu,0), 0.01, IF(K452&gt;0, 0.1, 0.0001))</f>
        <v>1E-4</v>
      </c>
      <c r="B453" s="357">
        <f t="shared" ref="B453:B516" ca="1" si="210">B452+pas</f>
        <v>16.90999999999995</v>
      </c>
      <c r="C453" s="342"/>
      <c r="D453" s="359">
        <f t="shared" ref="D453:D516" ca="1" si="211">IF(AND(L452&lt;L_rampe,Poussee&lt;Poids*SIN(M452)),0,(-W452+Poussee)/m*COS(M452)-U452/m*SIN(M452))</f>
        <v>-0.70753579816448398</v>
      </c>
      <c r="E453" s="360">
        <f t="shared" ref="E453:E516" ca="1" si="212">IF(AND(L452&lt;L_rampe,Poussee&lt;Poids*SIN(M452)),0,(-W452+Poussee)/m*SIN(M452)+U452/m*COS(M452)-Poids/m)</f>
        <v>-1.9353534004159636</v>
      </c>
      <c r="F453" s="357">
        <f t="shared" ref="F453:F516" ca="1" si="213">SQRT(acc_x^2+acc_z^2)</f>
        <v>2.0606308961543518</v>
      </c>
      <c r="G453" s="359">
        <f t="shared" ref="G453:G516" ca="1" si="214">G452+acc_x*pas</f>
        <v>5.0139472243359</v>
      </c>
      <c r="H453" s="360">
        <f t="shared" ref="H453:H516" ca="1" si="215">H452+acc_z*pas</f>
        <v>-55.804606149482183</v>
      </c>
      <c r="I453" s="357">
        <f t="shared" ref="I453:I516" ca="1" si="216">SQRT(vit_x^2+vit_z^2)</f>
        <v>56.029400623844353</v>
      </c>
      <c r="J453" s="359">
        <f t="shared" ref="J453:J516" ca="1" si="217">J452+0.5*(vit_x+G452)*pas*(K452&gt;=0)</f>
        <v>184.26379383972827</v>
      </c>
      <c r="K453" s="360">
        <f t="shared" ref="K453:K516" ca="1" si="218">K452+0.5*(vit_z+H452)*pas</f>
        <v>-5.5286735782645371</v>
      </c>
      <c r="L453" s="357">
        <f t="shared" ca="1" si="203"/>
        <v>184.34671668284435</v>
      </c>
      <c r="M453" s="359">
        <f t="shared" ref="M453:M516" ca="1" si="219">IF(AND(L452&gt;L_rampe,G453&gt;0),ATAN2(G453,H453),$M$4)</f>
        <v>-1.4811886672152086</v>
      </c>
      <c r="N453" s="357">
        <f t="shared" ref="N453:N516" ca="1" si="220">DEGREES(Beta)</f>
        <v>-84.865859294038856</v>
      </c>
      <c r="O453" s="343"/>
      <c r="P453" s="363">
        <f t="shared" ref="P453:P516" ca="1" si="221">MATCH(t-pas/2-T_ini,CdP_t)</f>
        <v>23</v>
      </c>
      <c r="Q453" s="357">
        <f t="shared" ref="Q453:Q516" ca="1" si="222">(INDEX(CdP,2,i_P+1)-INDEX(CdP,2,i_P+0))/(INDEX(CdP,1,i_P+1)-INDEX(CdP,1,i_P+0))*(t-pas/2-T_ini-INDEX(CdP,1,i_P+0))+INDEX(CdP,2,i_P+0)</f>
        <v>0</v>
      </c>
      <c r="R453" s="359">
        <f t="shared" ref="R453:R516" ca="1" si="223">Poussee/(g*ISP)</f>
        <v>0</v>
      </c>
      <c r="S453" s="360">
        <f t="shared" ref="S453:S516" ca="1" si="224">S452-Débit*pas</f>
        <v>0.42898953648292248</v>
      </c>
      <c r="T453" s="357">
        <f t="shared" ca="1" si="204"/>
        <v>4.2083873528974696</v>
      </c>
      <c r="U453" s="364">
        <f t="shared" ca="1" si="205"/>
        <v>0</v>
      </c>
      <c r="V453" s="359">
        <f t="shared" ca="1" si="206"/>
        <v>1.2256774497832734</v>
      </c>
      <c r="W453" s="357">
        <f t="shared" ca="1" si="207"/>
        <v>3.391773906301395</v>
      </c>
      <c r="X453" s="343"/>
      <c r="Y453" s="367" t="str">
        <f t="shared" ref="Y453:Y516" ca="1" si="225">IF(AND(pos_z&lt;=0,K452&gt;0),"Impact balistique","") &amp; IF(AND(H454&lt;0,vit_z&gt;=0),"Apogée","") &amp; IF(AND(Poussee=0,Q452&gt;0),"Fin de propulsion","") &amp; IF(AND(L454&gt;L_rampe,pos_xz&lt;=L_rampe),"Sortie de rampe","")</f>
        <v/>
      </c>
      <c r="Z453" s="368" t="str">
        <f t="shared" ref="Z453:Z516" ca="1" si="226">IF(ABS(t-T_para)&lt;pas/2,"Para","")</f>
        <v/>
      </c>
      <c r="AA453" s="369" t="str">
        <f t="shared" ref="AA453:AA516" ca="1" si="227">IF(ABS(t-T_satellite)&lt;pas/2,"Satellite","")</f>
        <v/>
      </c>
      <c r="AB453" s="344"/>
      <c r="AC453" s="363" t="e">
        <f t="shared" ref="AC453:AC516" ca="1" si="228">IF(ABS(t-ROUND(t,0))&lt;0.001,t,NA())</f>
        <v>#N/A</v>
      </c>
      <c r="AD453" s="376" t="e">
        <f t="shared" ref="AD453:AD516" ca="1" si="229">IF(ABS(t-ROUND(t,0))&lt;0.001,pos_x,NA())</f>
        <v>#N/A</v>
      </c>
      <c r="AE453" s="377" t="e">
        <f t="shared" ca="1" si="208"/>
        <v>#N/A</v>
      </c>
      <c r="AF453" s="344"/>
      <c r="AG453" s="359">
        <f t="shared" ref="AG453:AG516" ca="1" si="230">IF(AND(L452&lt;L_rampe,Poussee&lt;Poids*SIN(M452)),0,(-W452+Poussee)/m-Poids*SIN(M452)/m)</f>
        <v>1.8642714162008547</v>
      </c>
      <c r="AH453" s="357">
        <f t="shared" ref="AH453:AH516" ca="1" si="231">IF(AND(L452&lt;L_rampe,Poussee&lt;Poids*SIN(M452)), g*SIN(M452), (-W452+Poussee)/m)</f>
        <v>-7.9063686970710316</v>
      </c>
    </row>
    <row r="454" spans="1:34">
      <c r="A454" s="402">
        <f t="shared" ca="1" si="209"/>
        <v>1E-4</v>
      </c>
      <c r="B454" s="357">
        <f t="shared" ca="1" si="210"/>
        <v>16.91009999999995</v>
      </c>
      <c r="C454" s="342"/>
      <c r="D454" s="359">
        <f t="shared" ca="1" si="211"/>
        <v>-0.70752856301651246</v>
      </c>
      <c r="E454" s="360">
        <f t="shared" ca="1" si="212"/>
        <v>-1.9352954943347784</v>
      </c>
      <c r="F454" s="357">
        <f t="shared" ca="1" si="213"/>
        <v>2.0605740263035215</v>
      </c>
      <c r="G454" s="359">
        <f t="shared" ca="1" si="214"/>
        <v>5.0138764714795983</v>
      </c>
      <c r="H454" s="360">
        <f t="shared" ca="1" si="215"/>
        <v>-55.804799679031618</v>
      </c>
      <c r="I454" s="357">
        <f t="shared" ca="1" si="216"/>
        <v>56.02958704548967</v>
      </c>
      <c r="J454" s="359">
        <f t="shared" ca="1" si="217"/>
        <v>184.26379383972827</v>
      </c>
      <c r="K454" s="360">
        <f t="shared" ca="1" si="218"/>
        <v>-5.5342540485559626</v>
      </c>
      <c r="L454" s="357">
        <f t="shared" ca="1" si="203"/>
        <v>184.34688412903495</v>
      </c>
      <c r="M454" s="359">
        <f t="shared" ca="1" si="219"/>
        <v>-1.4811902340217193</v>
      </c>
      <c r="N454" s="357">
        <f t="shared" ca="1" si="220"/>
        <v>-84.865949065439239</v>
      </c>
      <c r="O454" s="343"/>
      <c r="P454" s="363">
        <f t="shared" ca="1" si="221"/>
        <v>23</v>
      </c>
      <c r="Q454" s="357">
        <f t="shared" ca="1" si="222"/>
        <v>0</v>
      </c>
      <c r="R454" s="359">
        <f t="shared" ca="1" si="223"/>
        <v>0</v>
      </c>
      <c r="S454" s="360">
        <f t="shared" ca="1" si="224"/>
        <v>0.42898953648292248</v>
      </c>
      <c r="T454" s="357">
        <f t="shared" ca="1" si="204"/>
        <v>4.2083873528974696</v>
      </c>
      <c r="U454" s="364">
        <f t="shared" ca="1" si="205"/>
        <v>0</v>
      </c>
      <c r="V454" s="359">
        <f t="shared" ca="1" si="206"/>
        <v>1.2256781337691758</v>
      </c>
      <c r="W454" s="357">
        <f t="shared" ca="1" si="207"/>
        <v>3.3917983694173404</v>
      </c>
      <c r="X454" s="343"/>
      <c r="Y454" s="367" t="str">
        <f t="shared" ca="1" si="225"/>
        <v/>
      </c>
      <c r="Z454" s="368" t="str">
        <f t="shared" ca="1" si="226"/>
        <v/>
      </c>
      <c r="AA454" s="369" t="str">
        <f t="shared" ca="1" si="227"/>
        <v/>
      </c>
      <c r="AB454" s="344"/>
      <c r="AC454" s="363" t="e">
        <f t="shared" ca="1" si="228"/>
        <v>#N/A</v>
      </c>
      <c r="AD454" s="376" t="e">
        <f t="shared" ca="1" si="229"/>
        <v>#N/A</v>
      </c>
      <c r="AE454" s="377" t="e">
        <f t="shared" ca="1" si="208"/>
        <v>#N/A</v>
      </c>
      <c r="AF454" s="344"/>
      <c r="AG454" s="359">
        <f t="shared" ca="1" si="230"/>
        <v>1.8642157654118048</v>
      </c>
      <c r="AH454" s="357">
        <f t="shared" ca="1" si="231"/>
        <v>-7.9064257233612434</v>
      </c>
    </row>
    <row r="455" spans="1:34">
      <c r="A455" s="402">
        <f t="shared" ca="1" si="209"/>
        <v>1E-4</v>
      </c>
      <c r="B455" s="357">
        <f t="shared" ca="1" si="210"/>
        <v>16.91019999999995</v>
      </c>
      <c r="C455" s="342"/>
      <c r="D455" s="359">
        <f t="shared" ca="1" si="211"/>
        <v>-0.70752132782699684</v>
      </c>
      <c r="E455" s="360">
        <f t="shared" ca="1" si="212"/>
        <v>-1.9352375895937142</v>
      </c>
      <c r="F455" s="357">
        <f t="shared" ca="1" si="213"/>
        <v>2.0605171577801933</v>
      </c>
      <c r="G455" s="359">
        <f t="shared" ca="1" si="214"/>
        <v>5.0138057193468155</v>
      </c>
      <c r="H455" s="360">
        <f t="shared" ca="1" si="215"/>
        <v>-55.804993202790577</v>
      </c>
      <c r="I455" s="357">
        <f t="shared" ca="1" si="216"/>
        <v>56.029773461570031</v>
      </c>
      <c r="J455" s="359">
        <f t="shared" ca="1" si="217"/>
        <v>184.26379383972827</v>
      </c>
      <c r="K455" s="360">
        <f t="shared" ca="1" si="218"/>
        <v>-5.5398345382000533</v>
      </c>
      <c r="L455" s="357">
        <f t="shared" ca="1" si="203"/>
        <v>184.34705174458449</v>
      </c>
      <c r="M455" s="359">
        <f t="shared" ca="1" si="219"/>
        <v>-1.4811918007956946</v>
      </c>
      <c r="N455" s="357">
        <f t="shared" ca="1" si="220"/>
        <v>-84.86603883497547</v>
      </c>
      <c r="O455" s="343"/>
      <c r="P455" s="363">
        <f t="shared" ca="1" si="221"/>
        <v>23</v>
      </c>
      <c r="Q455" s="357">
        <f t="shared" ca="1" si="222"/>
        <v>0</v>
      </c>
      <c r="R455" s="359">
        <f t="shared" ca="1" si="223"/>
        <v>0</v>
      </c>
      <c r="S455" s="360">
        <f t="shared" ca="1" si="224"/>
        <v>0.42898953648292248</v>
      </c>
      <c r="T455" s="357">
        <f t="shared" ca="1" si="204"/>
        <v>4.2083873528974696</v>
      </c>
      <c r="U455" s="364">
        <f t="shared" ca="1" si="205"/>
        <v>0</v>
      </c>
      <c r="V455" s="359">
        <f t="shared" ca="1" si="206"/>
        <v>1.2256788177578328</v>
      </c>
      <c r="W455" s="357">
        <f t="shared" ca="1" si="207"/>
        <v>3.3918228319674331</v>
      </c>
      <c r="X455" s="343"/>
      <c r="Y455" s="367" t="str">
        <f t="shared" ca="1" si="225"/>
        <v/>
      </c>
      <c r="Z455" s="368" t="str">
        <f t="shared" ca="1" si="226"/>
        <v/>
      </c>
      <c r="AA455" s="369" t="str">
        <f t="shared" ca="1" si="227"/>
        <v/>
      </c>
      <c r="AB455" s="344"/>
      <c r="AC455" s="363" t="e">
        <f t="shared" ca="1" si="228"/>
        <v>#N/A</v>
      </c>
      <c r="AD455" s="376" t="e">
        <f t="shared" ca="1" si="229"/>
        <v>#N/A</v>
      </c>
      <c r="AE455" s="377" t="e">
        <f t="shared" ca="1" si="208"/>
        <v>#N/A</v>
      </c>
      <c r="AF455" s="344"/>
      <c r="AG455" s="359">
        <f t="shared" ca="1" si="230"/>
        <v>1.8641601158892591</v>
      </c>
      <c r="AH455" s="357">
        <f t="shared" ca="1" si="231"/>
        <v>-7.9064827483324027</v>
      </c>
    </row>
    <row r="456" spans="1:34">
      <c r="A456" s="402">
        <f t="shared" ca="1" si="209"/>
        <v>1E-4</v>
      </c>
      <c r="B456" s="357">
        <f t="shared" ca="1" si="210"/>
        <v>16.91029999999995</v>
      </c>
      <c r="C456" s="342"/>
      <c r="D456" s="359">
        <f t="shared" ca="1" si="211"/>
        <v>-0.70751409259594478</v>
      </c>
      <c r="E456" s="360">
        <f t="shared" ca="1" si="212"/>
        <v>-1.9351796861927548</v>
      </c>
      <c r="F456" s="357">
        <f t="shared" ca="1" si="213"/>
        <v>2.0604602905843521</v>
      </c>
      <c r="G456" s="359">
        <f t="shared" ca="1" si="214"/>
        <v>5.0137349679375562</v>
      </c>
      <c r="H456" s="360">
        <f t="shared" ca="1" si="215"/>
        <v>-55.805186720759195</v>
      </c>
      <c r="I456" s="357">
        <f t="shared" ca="1" si="216"/>
        <v>56.029959872085563</v>
      </c>
      <c r="J456" s="359">
        <f t="shared" ca="1" si="217"/>
        <v>184.26379383972827</v>
      </c>
      <c r="K456" s="360">
        <f t="shared" ca="1" si="218"/>
        <v>-5.5454150471962311</v>
      </c>
      <c r="L456" s="357">
        <f t="shared" ca="1" si="203"/>
        <v>184.34721952949425</v>
      </c>
      <c r="M456" s="359">
        <f t="shared" ca="1" si="219"/>
        <v>-1.4811933675371354</v>
      </c>
      <c r="N456" s="357">
        <f t="shared" ca="1" si="220"/>
        <v>-84.86612860264762</v>
      </c>
      <c r="O456" s="343"/>
      <c r="P456" s="363">
        <f t="shared" ca="1" si="221"/>
        <v>23</v>
      </c>
      <c r="Q456" s="357">
        <f t="shared" ca="1" si="222"/>
        <v>0</v>
      </c>
      <c r="R456" s="359">
        <f t="shared" ca="1" si="223"/>
        <v>0</v>
      </c>
      <c r="S456" s="360">
        <f t="shared" ca="1" si="224"/>
        <v>0.42898953648292248</v>
      </c>
      <c r="T456" s="357">
        <f t="shared" ca="1" si="204"/>
        <v>4.2083873528974696</v>
      </c>
      <c r="U456" s="364">
        <f t="shared" ca="1" si="205"/>
        <v>0</v>
      </c>
      <c r="V456" s="359">
        <f t="shared" ca="1" si="206"/>
        <v>1.2256795017492428</v>
      </c>
      <c r="W456" s="357">
        <f t="shared" ca="1" si="207"/>
        <v>3.3918472939516784</v>
      </c>
      <c r="X456" s="343"/>
      <c r="Y456" s="367" t="str">
        <f t="shared" ca="1" si="225"/>
        <v/>
      </c>
      <c r="Z456" s="368" t="str">
        <f t="shared" ca="1" si="226"/>
        <v/>
      </c>
      <c r="AA456" s="369" t="str">
        <f t="shared" ca="1" si="227"/>
        <v/>
      </c>
      <c r="AB456" s="344"/>
      <c r="AC456" s="363" t="e">
        <f t="shared" ca="1" si="228"/>
        <v>#N/A</v>
      </c>
      <c r="AD456" s="376" t="e">
        <f t="shared" ca="1" si="229"/>
        <v>#N/A</v>
      </c>
      <c r="AE456" s="377" t="e">
        <f t="shared" ca="1" si="208"/>
        <v>#N/A</v>
      </c>
      <c r="AF456" s="344"/>
      <c r="AG456" s="359">
        <f t="shared" ca="1" si="230"/>
        <v>1.8641044676332044</v>
      </c>
      <c r="AH456" s="357">
        <f t="shared" ca="1" si="231"/>
        <v>-7.9065397719845247</v>
      </c>
    </row>
    <row r="457" spans="1:34">
      <c r="A457" s="402">
        <f t="shared" ca="1" si="209"/>
        <v>1E-4</v>
      </c>
      <c r="B457" s="357">
        <f t="shared" ca="1" si="210"/>
        <v>16.910399999999949</v>
      </c>
      <c r="C457" s="342"/>
      <c r="D457" s="359">
        <f t="shared" ca="1" si="211"/>
        <v>-0.70750685732336072</v>
      </c>
      <c r="E457" s="360">
        <f t="shared" ca="1" si="212"/>
        <v>-1.9351217841318871</v>
      </c>
      <c r="F457" s="357">
        <f t="shared" ca="1" si="213"/>
        <v>2.0604034247159841</v>
      </c>
      <c r="G457" s="359">
        <f t="shared" ca="1" si="214"/>
        <v>5.013664217251824</v>
      </c>
      <c r="H457" s="360">
        <f t="shared" ca="1" si="215"/>
        <v>-55.805380232937608</v>
      </c>
      <c r="I457" s="357">
        <f t="shared" ca="1" si="216"/>
        <v>56.030146277036394</v>
      </c>
      <c r="J457" s="359">
        <f t="shared" ca="1" si="217"/>
        <v>184.26379383972827</v>
      </c>
      <c r="K457" s="360">
        <f t="shared" ca="1" si="218"/>
        <v>-5.550995575543916</v>
      </c>
      <c r="L457" s="357">
        <f t="shared" ca="1" si="203"/>
        <v>184.34738748376552</v>
      </c>
      <c r="M457" s="359">
        <f t="shared" ca="1" si="219"/>
        <v>-1.4811949342460429</v>
      </c>
      <c r="N457" s="357">
        <f t="shared" ca="1" si="220"/>
        <v>-84.866218368455748</v>
      </c>
      <c r="O457" s="343"/>
      <c r="P457" s="363">
        <f t="shared" ca="1" si="221"/>
        <v>23</v>
      </c>
      <c r="Q457" s="357">
        <f t="shared" ca="1" si="222"/>
        <v>0</v>
      </c>
      <c r="R457" s="359">
        <f t="shared" ca="1" si="223"/>
        <v>0</v>
      </c>
      <c r="S457" s="360">
        <f t="shared" ca="1" si="224"/>
        <v>0.42898953648292248</v>
      </c>
      <c r="T457" s="357">
        <f t="shared" ca="1" si="204"/>
        <v>4.2083873528974696</v>
      </c>
      <c r="U457" s="364">
        <f t="shared" ca="1" si="205"/>
        <v>0</v>
      </c>
      <c r="V457" s="359">
        <f t="shared" ca="1" si="206"/>
        <v>1.2256801857434068</v>
      </c>
      <c r="W457" s="357">
        <f t="shared" ca="1" si="207"/>
        <v>3.3918717553700857</v>
      </c>
      <c r="X457" s="343"/>
      <c r="Y457" s="367" t="str">
        <f t="shared" ca="1" si="225"/>
        <v/>
      </c>
      <c r="Z457" s="368" t="str">
        <f t="shared" ca="1" si="226"/>
        <v/>
      </c>
      <c r="AA457" s="369" t="str">
        <f t="shared" ca="1" si="227"/>
        <v/>
      </c>
      <c r="AB457" s="344"/>
      <c r="AC457" s="363" t="e">
        <f t="shared" ca="1" si="228"/>
        <v>#N/A</v>
      </c>
      <c r="AD457" s="376" t="e">
        <f t="shared" ca="1" si="229"/>
        <v>#N/A</v>
      </c>
      <c r="AE457" s="377" t="e">
        <f t="shared" ca="1" si="208"/>
        <v>#N/A</v>
      </c>
      <c r="AF457" s="344"/>
      <c r="AG457" s="359">
        <f t="shared" ca="1" si="230"/>
        <v>1.8640488206436272</v>
      </c>
      <c r="AH457" s="357">
        <f t="shared" ca="1" si="231"/>
        <v>-7.9065967943176245</v>
      </c>
    </row>
    <row r="458" spans="1:34">
      <c r="A458" s="402">
        <f t="shared" ca="1" si="209"/>
        <v>1E-4</v>
      </c>
      <c r="B458" s="357">
        <f t="shared" ca="1" si="210"/>
        <v>16.910499999999949</v>
      </c>
      <c r="C458" s="342"/>
      <c r="D458" s="359">
        <f t="shared" ca="1" si="211"/>
        <v>-0.70749962200924976</v>
      </c>
      <c r="E458" s="360">
        <f t="shared" ca="1" si="212"/>
        <v>-1.9350638834110887</v>
      </c>
      <c r="F458" s="357">
        <f t="shared" ca="1" si="213"/>
        <v>2.0603465601750677</v>
      </c>
      <c r="G458" s="359">
        <f t="shared" ca="1" si="214"/>
        <v>5.0135934672896232</v>
      </c>
      <c r="H458" s="360">
        <f t="shared" ca="1" si="215"/>
        <v>-55.805573739325951</v>
      </c>
      <c r="I458" s="357">
        <f t="shared" ca="1" si="216"/>
        <v>56.030332676422645</v>
      </c>
      <c r="J458" s="359">
        <f t="shared" ca="1" si="217"/>
        <v>184.26379383972827</v>
      </c>
      <c r="K458" s="360">
        <f t="shared" ca="1" si="218"/>
        <v>-5.5565761232425288</v>
      </c>
      <c r="L458" s="357">
        <f t="shared" ca="1" si="203"/>
        <v>184.34755560739956</v>
      </c>
      <c r="M458" s="359">
        <f t="shared" ca="1" si="219"/>
        <v>-1.4811965009224175</v>
      </c>
      <c r="N458" s="357">
        <f t="shared" ca="1" si="220"/>
        <v>-84.866308132399865</v>
      </c>
      <c r="O458" s="343"/>
      <c r="P458" s="363">
        <f t="shared" ca="1" si="221"/>
        <v>23</v>
      </c>
      <c r="Q458" s="357">
        <f t="shared" ca="1" si="222"/>
        <v>0</v>
      </c>
      <c r="R458" s="359">
        <f t="shared" ca="1" si="223"/>
        <v>0</v>
      </c>
      <c r="S458" s="360">
        <f t="shared" ca="1" si="224"/>
        <v>0.42898953648292248</v>
      </c>
      <c r="T458" s="357">
        <f t="shared" ca="1" si="204"/>
        <v>4.2083873528974696</v>
      </c>
      <c r="U458" s="364">
        <f t="shared" ca="1" si="205"/>
        <v>0</v>
      </c>
      <c r="V458" s="359">
        <f t="shared" ca="1" si="206"/>
        <v>1.2256808697403243</v>
      </c>
      <c r="W458" s="357">
        <f t="shared" ca="1" si="207"/>
        <v>3.3918962162226616</v>
      </c>
      <c r="X458" s="343"/>
      <c r="Y458" s="367" t="str">
        <f t="shared" ca="1" si="225"/>
        <v/>
      </c>
      <c r="Z458" s="368" t="str">
        <f t="shared" ca="1" si="226"/>
        <v/>
      </c>
      <c r="AA458" s="369" t="str">
        <f t="shared" ca="1" si="227"/>
        <v/>
      </c>
      <c r="AB458" s="344"/>
      <c r="AC458" s="363" t="e">
        <f t="shared" ca="1" si="228"/>
        <v>#N/A</v>
      </c>
      <c r="AD458" s="376" t="e">
        <f t="shared" ca="1" si="229"/>
        <v>#N/A</v>
      </c>
      <c r="AE458" s="377" t="e">
        <f t="shared" ca="1" si="208"/>
        <v>#N/A</v>
      </c>
      <c r="AF458" s="344"/>
      <c r="AG458" s="359">
        <f t="shared" ca="1" si="230"/>
        <v>1.8639931749205099</v>
      </c>
      <c r="AH458" s="357">
        <f t="shared" ca="1" si="231"/>
        <v>-7.9066538153317216</v>
      </c>
    </row>
    <row r="459" spans="1:34">
      <c r="A459" s="402">
        <f t="shared" ca="1" si="209"/>
        <v>1E-4</v>
      </c>
      <c r="B459" s="357">
        <f t="shared" ca="1" si="210"/>
        <v>16.910599999999949</v>
      </c>
      <c r="C459" s="342"/>
      <c r="D459" s="359">
        <f t="shared" ca="1" si="211"/>
        <v>-0.70749238665362146</v>
      </c>
      <c r="E459" s="360">
        <f t="shared" ca="1" si="212"/>
        <v>-1.9350059840303464</v>
      </c>
      <c r="F459" s="357">
        <f t="shared" ca="1" si="213"/>
        <v>2.0602896969615916</v>
      </c>
      <c r="G459" s="359">
        <f t="shared" ca="1" si="214"/>
        <v>5.0135227180509574</v>
      </c>
      <c r="H459" s="360">
        <f t="shared" ca="1" si="215"/>
        <v>-55.80576723992435</v>
      </c>
      <c r="I459" s="357">
        <f t="shared" ca="1" si="216"/>
        <v>56.030519070244452</v>
      </c>
      <c r="J459" s="359">
        <f t="shared" ca="1" si="217"/>
        <v>184.26379383972827</v>
      </c>
      <c r="K459" s="360">
        <f t="shared" ca="1" si="218"/>
        <v>-5.5621566902914914</v>
      </c>
      <c r="L459" s="357">
        <f t="shared" ca="1" si="203"/>
        <v>184.34772390039763</v>
      </c>
      <c r="M459" s="359">
        <f t="shared" ca="1" si="219"/>
        <v>-1.4811980675662608</v>
      </c>
      <c r="N459" s="357">
        <f t="shared" ca="1" si="220"/>
        <v>-84.866397894480087</v>
      </c>
      <c r="O459" s="343"/>
      <c r="P459" s="363">
        <f t="shared" ca="1" si="221"/>
        <v>23</v>
      </c>
      <c r="Q459" s="357">
        <f t="shared" ca="1" si="222"/>
        <v>0</v>
      </c>
      <c r="R459" s="359">
        <f t="shared" ca="1" si="223"/>
        <v>0</v>
      </c>
      <c r="S459" s="360">
        <f t="shared" ca="1" si="224"/>
        <v>0.42898953648292248</v>
      </c>
      <c r="T459" s="357">
        <f t="shared" ca="1" si="204"/>
        <v>4.2083873528974696</v>
      </c>
      <c r="U459" s="364">
        <f t="shared" ca="1" si="205"/>
        <v>0</v>
      </c>
      <c r="V459" s="359">
        <f t="shared" ca="1" si="206"/>
        <v>1.2256815537399957</v>
      </c>
      <c r="W459" s="357">
        <f t="shared" ca="1" si="207"/>
        <v>3.3919206765094159</v>
      </c>
      <c r="X459" s="343"/>
      <c r="Y459" s="367" t="str">
        <f t="shared" ca="1" si="225"/>
        <v/>
      </c>
      <c r="Z459" s="368" t="str">
        <f t="shared" ca="1" si="226"/>
        <v/>
      </c>
      <c r="AA459" s="369" t="str">
        <f t="shared" ca="1" si="227"/>
        <v/>
      </c>
      <c r="AB459" s="344"/>
      <c r="AC459" s="363" t="e">
        <f t="shared" ca="1" si="228"/>
        <v>#N/A</v>
      </c>
      <c r="AD459" s="376" t="e">
        <f t="shared" ca="1" si="229"/>
        <v>#N/A</v>
      </c>
      <c r="AE459" s="377" t="e">
        <f t="shared" ca="1" si="208"/>
        <v>#N/A</v>
      </c>
      <c r="AF459" s="344"/>
      <c r="AG459" s="359">
        <f t="shared" ca="1" si="230"/>
        <v>1.8639375304638417</v>
      </c>
      <c r="AH459" s="357">
        <f t="shared" ca="1" si="231"/>
        <v>-7.906710835026832</v>
      </c>
    </row>
    <row r="460" spans="1:34">
      <c r="A460" s="402">
        <f t="shared" ca="1" si="209"/>
        <v>1E-4</v>
      </c>
      <c r="B460" s="357">
        <f t="shared" ca="1" si="210"/>
        <v>16.910699999999949</v>
      </c>
      <c r="C460" s="342"/>
      <c r="D460" s="359">
        <f t="shared" ca="1" si="211"/>
        <v>-0.70748515125647748</v>
      </c>
      <c r="E460" s="360">
        <f t="shared" ca="1" si="212"/>
        <v>-1.9349480859896335</v>
      </c>
      <c r="F460" s="357">
        <f t="shared" ca="1" si="213"/>
        <v>2.0602328350755279</v>
      </c>
      <c r="G460" s="359">
        <f t="shared" ca="1" si="214"/>
        <v>5.0134519695358319</v>
      </c>
      <c r="H460" s="360">
        <f t="shared" ca="1" si="215"/>
        <v>-55.805960734732949</v>
      </c>
      <c r="I460" s="357">
        <f t="shared" ca="1" si="216"/>
        <v>56.030705458501934</v>
      </c>
      <c r="J460" s="359">
        <f t="shared" ca="1" si="217"/>
        <v>184.26379383972827</v>
      </c>
      <c r="K460" s="360">
        <f t="shared" ca="1" si="218"/>
        <v>-5.5677372766902247</v>
      </c>
      <c r="L460" s="357">
        <f t="shared" ca="1" si="203"/>
        <v>184.34789236276106</v>
      </c>
      <c r="M460" s="359">
        <f t="shared" ca="1" si="219"/>
        <v>-1.4811996341775733</v>
      </c>
      <c r="N460" s="357">
        <f t="shared" ca="1" si="220"/>
        <v>-84.866487654696428</v>
      </c>
      <c r="O460" s="343"/>
      <c r="P460" s="363">
        <f t="shared" ca="1" si="221"/>
        <v>23</v>
      </c>
      <c r="Q460" s="357">
        <f t="shared" ca="1" si="222"/>
        <v>0</v>
      </c>
      <c r="R460" s="359">
        <f t="shared" ca="1" si="223"/>
        <v>0</v>
      </c>
      <c r="S460" s="360">
        <f t="shared" ca="1" si="224"/>
        <v>0.42898953648292248</v>
      </c>
      <c r="T460" s="357">
        <f t="shared" ca="1" si="204"/>
        <v>4.2083873528974696</v>
      </c>
      <c r="U460" s="364">
        <f t="shared" ca="1" si="205"/>
        <v>0</v>
      </c>
      <c r="V460" s="359">
        <f t="shared" ca="1" si="206"/>
        <v>1.2256822377424201</v>
      </c>
      <c r="W460" s="357">
        <f t="shared" ca="1" si="207"/>
        <v>3.3919451362303521</v>
      </c>
      <c r="X460" s="343"/>
      <c r="Y460" s="367" t="str">
        <f t="shared" ca="1" si="225"/>
        <v/>
      </c>
      <c r="Z460" s="368" t="str">
        <f t="shared" ca="1" si="226"/>
        <v/>
      </c>
      <c r="AA460" s="369" t="str">
        <f t="shared" ca="1" si="227"/>
        <v/>
      </c>
      <c r="AB460" s="344"/>
      <c r="AC460" s="363" t="e">
        <f t="shared" ca="1" si="228"/>
        <v>#N/A</v>
      </c>
      <c r="AD460" s="376" t="e">
        <f t="shared" ca="1" si="229"/>
        <v>#N/A</v>
      </c>
      <c r="AE460" s="377" t="e">
        <f t="shared" ca="1" si="208"/>
        <v>#N/A</v>
      </c>
      <c r="AF460" s="344"/>
      <c r="AG460" s="359">
        <f t="shared" ca="1" si="230"/>
        <v>1.863881887273596</v>
      </c>
      <c r="AH460" s="357">
        <f t="shared" ca="1" si="231"/>
        <v>-7.9067678534029788</v>
      </c>
    </row>
    <row r="461" spans="1:34">
      <c r="A461" s="402">
        <f t="shared" ca="1" si="209"/>
        <v>1E-4</v>
      </c>
      <c r="B461" s="357">
        <f t="shared" ca="1" si="210"/>
        <v>16.910799999999949</v>
      </c>
      <c r="C461" s="342"/>
      <c r="D461" s="359">
        <f t="shared" ca="1" si="211"/>
        <v>-0.70747791581782682</v>
      </c>
      <c r="E461" s="360">
        <f t="shared" ca="1" si="212"/>
        <v>-1.934890189288943</v>
      </c>
      <c r="F461" s="357">
        <f t="shared" ca="1" si="213"/>
        <v>2.0601759745168704</v>
      </c>
      <c r="G461" s="359">
        <f t="shared" ca="1" si="214"/>
        <v>5.0133812217442504</v>
      </c>
      <c r="H461" s="360">
        <f t="shared" ca="1" si="215"/>
        <v>-55.806154223751875</v>
      </c>
      <c r="I461" s="357">
        <f t="shared" ca="1" si="216"/>
        <v>56.030891841195221</v>
      </c>
      <c r="J461" s="359">
        <f t="shared" ca="1" si="217"/>
        <v>184.26379383972827</v>
      </c>
      <c r="K461" s="360">
        <f t="shared" ca="1" si="218"/>
        <v>-5.5733178824381486</v>
      </c>
      <c r="L461" s="357">
        <f t="shared" ca="1" si="203"/>
        <v>184.34806099449105</v>
      </c>
      <c r="M461" s="359">
        <f t="shared" ca="1" si="219"/>
        <v>-1.4812012007563562</v>
      </c>
      <c r="N461" s="357">
        <f t="shared" ca="1" si="220"/>
        <v>-84.866577413048972</v>
      </c>
      <c r="O461" s="343"/>
      <c r="P461" s="363">
        <f t="shared" ca="1" si="221"/>
        <v>23</v>
      </c>
      <c r="Q461" s="357">
        <f t="shared" ca="1" si="222"/>
        <v>0</v>
      </c>
      <c r="R461" s="359">
        <f t="shared" ca="1" si="223"/>
        <v>0</v>
      </c>
      <c r="S461" s="360">
        <f t="shared" ca="1" si="224"/>
        <v>0.42898953648292248</v>
      </c>
      <c r="T461" s="357">
        <f t="shared" ca="1" si="204"/>
        <v>4.2083873528974696</v>
      </c>
      <c r="U461" s="364">
        <f t="shared" ca="1" si="205"/>
        <v>0</v>
      </c>
      <c r="V461" s="359">
        <f t="shared" ca="1" si="206"/>
        <v>1.2256829217475982</v>
      </c>
      <c r="W461" s="357">
        <f t="shared" ca="1" si="207"/>
        <v>3.3919695953854805</v>
      </c>
      <c r="X461" s="343"/>
      <c r="Y461" s="367" t="str">
        <f t="shared" ca="1" si="225"/>
        <v/>
      </c>
      <c r="Z461" s="368" t="str">
        <f t="shared" ca="1" si="226"/>
        <v/>
      </c>
      <c r="AA461" s="369" t="str">
        <f t="shared" ca="1" si="227"/>
        <v/>
      </c>
      <c r="AB461" s="344"/>
      <c r="AC461" s="363" t="e">
        <f t="shared" ca="1" si="228"/>
        <v>#N/A</v>
      </c>
      <c r="AD461" s="376" t="e">
        <f t="shared" ca="1" si="229"/>
        <v>#N/A</v>
      </c>
      <c r="AE461" s="377" t="e">
        <f t="shared" ca="1" si="208"/>
        <v>#N/A</v>
      </c>
      <c r="AF461" s="344"/>
      <c r="AG461" s="359">
        <f t="shared" ca="1" si="230"/>
        <v>1.8638262453497738</v>
      </c>
      <c r="AH461" s="357">
        <f t="shared" ca="1" si="231"/>
        <v>-7.90682487046017</v>
      </c>
    </row>
    <row r="462" spans="1:34">
      <c r="A462" s="402">
        <f t="shared" ca="1" si="209"/>
        <v>1E-4</v>
      </c>
      <c r="B462" s="357">
        <f t="shared" ca="1" si="210"/>
        <v>16.910899999999948</v>
      </c>
      <c r="C462" s="342"/>
      <c r="D462" s="359">
        <f t="shared" ca="1" si="211"/>
        <v>-0.70747068033767302</v>
      </c>
      <c r="E462" s="360">
        <f t="shared" ca="1" si="212"/>
        <v>-1.9348322939282498</v>
      </c>
      <c r="F462" s="357">
        <f t="shared" ca="1" si="213"/>
        <v>2.0601191152855951</v>
      </c>
      <c r="G462" s="359">
        <f t="shared" ca="1" si="214"/>
        <v>5.0133104746762163</v>
      </c>
      <c r="H462" s="360">
        <f t="shared" ca="1" si="215"/>
        <v>-55.806347706981271</v>
      </c>
      <c r="I462" s="357">
        <f t="shared" ca="1" si="216"/>
        <v>56.031078218324438</v>
      </c>
      <c r="J462" s="359">
        <f t="shared" ca="1" si="217"/>
        <v>184.26379383972827</v>
      </c>
      <c r="K462" s="360">
        <f t="shared" ca="1" si="218"/>
        <v>-5.5788985075346851</v>
      </c>
      <c r="L462" s="357">
        <f t="shared" ca="1" si="203"/>
        <v>184.34822979558891</v>
      </c>
      <c r="M462" s="359">
        <f t="shared" ca="1" si="219"/>
        <v>-1.4812027673026102</v>
      </c>
      <c r="N462" s="357">
        <f t="shared" ca="1" si="220"/>
        <v>-84.866667169537735</v>
      </c>
      <c r="O462" s="343"/>
      <c r="P462" s="363">
        <f t="shared" ca="1" si="221"/>
        <v>23</v>
      </c>
      <c r="Q462" s="357">
        <f t="shared" ca="1" si="222"/>
        <v>0</v>
      </c>
      <c r="R462" s="359">
        <f t="shared" ca="1" si="223"/>
        <v>0</v>
      </c>
      <c r="S462" s="360">
        <f t="shared" ca="1" si="224"/>
        <v>0.42898953648292248</v>
      </c>
      <c r="T462" s="357">
        <f t="shared" ca="1" si="204"/>
        <v>4.2083873528974696</v>
      </c>
      <c r="U462" s="364">
        <f t="shared" ca="1" si="205"/>
        <v>0</v>
      </c>
      <c r="V462" s="359">
        <f t="shared" ca="1" si="206"/>
        <v>1.2256836057555294</v>
      </c>
      <c r="W462" s="357">
        <f t="shared" ca="1" si="207"/>
        <v>3.3919940539748081</v>
      </c>
      <c r="X462" s="343"/>
      <c r="Y462" s="367" t="str">
        <f t="shared" ca="1" si="225"/>
        <v/>
      </c>
      <c r="Z462" s="368" t="str">
        <f t="shared" ca="1" si="226"/>
        <v/>
      </c>
      <c r="AA462" s="369" t="str">
        <f t="shared" ca="1" si="227"/>
        <v/>
      </c>
      <c r="AB462" s="344"/>
      <c r="AC462" s="363" t="e">
        <f t="shared" ca="1" si="228"/>
        <v>#N/A</v>
      </c>
      <c r="AD462" s="376" t="e">
        <f t="shared" ca="1" si="229"/>
        <v>#N/A</v>
      </c>
      <c r="AE462" s="377" t="e">
        <f t="shared" ca="1" si="208"/>
        <v>#N/A</v>
      </c>
      <c r="AF462" s="344"/>
      <c r="AG462" s="359">
        <f t="shared" ca="1" si="230"/>
        <v>1.8637706046923483</v>
      </c>
      <c r="AH462" s="357">
        <f t="shared" ca="1" si="231"/>
        <v>-7.9068818861984305</v>
      </c>
    </row>
    <row r="463" spans="1:34">
      <c r="A463" s="402">
        <f t="shared" ca="1" si="209"/>
        <v>1E-4</v>
      </c>
      <c r="B463" s="357">
        <f t="shared" ca="1" si="210"/>
        <v>16.910999999999948</v>
      </c>
      <c r="C463" s="342"/>
      <c r="D463" s="359">
        <f t="shared" ca="1" si="211"/>
        <v>-0.70746344481602408</v>
      </c>
      <c r="E463" s="360">
        <f t="shared" ca="1" si="212"/>
        <v>-1.9347743999075391</v>
      </c>
      <c r="F463" s="357">
        <f t="shared" ca="1" si="213"/>
        <v>2.0600622573816874</v>
      </c>
      <c r="G463" s="359">
        <f t="shared" ca="1" si="214"/>
        <v>5.0132397283317349</v>
      </c>
      <c r="H463" s="360">
        <f t="shared" ca="1" si="215"/>
        <v>-55.806541184421263</v>
      </c>
      <c r="I463" s="357">
        <f t="shared" ca="1" si="216"/>
        <v>56.03126458988973</v>
      </c>
      <c r="J463" s="359">
        <f t="shared" ca="1" si="217"/>
        <v>184.26379383972827</v>
      </c>
      <c r="K463" s="360">
        <f t="shared" ca="1" si="218"/>
        <v>-5.5844791519792549</v>
      </c>
      <c r="L463" s="357">
        <f t="shared" ca="1" si="203"/>
        <v>184.34839876605594</v>
      </c>
      <c r="M463" s="359">
        <f t="shared" ca="1" si="219"/>
        <v>-1.4812043338163363</v>
      </c>
      <c r="N463" s="357">
        <f t="shared" ca="1" si="220"/>
        <v>-84.866756924162786</v>
      </c>
      <c r="O463" s="343"/>
      <c r="P463" s="363">
        <f t="shared" ca="1" si="221"/>
        <v>23</v>
      </c>
      <c r="Q463" s="357">
        <f t="shared" ca="1" si="222"/>
        <v>0</v>
      </c>
      <c r="R463" s="359">
        <f t="shared" ca="1" si="223"/>
        <v>0</v>
      </c>
      <c r="S463" s="360">
        <f t="shared" ca="1" si="224"/>
        <v>0.42898953648292248</v>
      </c>
      <c r="T463" s="357">
        <f t="shared" ca="1" si="204"/>
        <v>4.2083873528974696</v>
      </c>
      <c r="U463" s="364">
        <f t="shared" ca="1" si="205"/>
        <v>0</v>
      </c>
      <c r="V463" s="359">
        <f t="shared" ca="1" si="206"/>
        <v>1.2256842897662141</v>
      </c>
      <c r="W463" s="357">
        <f t="shared" ca="1" si="207"/>
        <v>3.3920185119983453</v>
      </c>
      <c r="X463" s="343"/>
      <c r="Y463" s="367" t="str">
        <f t="shared" ca="1" si="225"/>
        <v/>
      </c>
      <c r="Z463" s="368" t="str">
        <f t="shared" ca="1" si="226"/>
        <v/>
      </c>
      <c r="AA463" s="369" t="str">
        <f t="shared" ca="1" si="227"/>
        <v/>
      </c>
      <c r="AB463" s="344"/>
      <c r="AC463" s="363" t="e">
        <f t="shared" ca="1" si="228"/>
        <v>#N/A</v>
      </c>
      <c r="AD463" s="376" t="e">
        <f t="shared" ca="1" si="229"/>
        <v>#N/A</v>
      </c>
      <c r="AE463" s="377" t="e">
        <f t="shared" ca="1" si="208"/>
        <v>#N/A</v>
      </c>
      <c r="AF463" s="344"/>
      <c r="AG463" s="359">
        <f t="shared" ca="1" si="230"/>
        <v>1.8637149653013081</v>
      </c>
      <c r="AH463" s="357">
        <f t="shared" ca="1" si="231"/>
        <v>-7.9069389006177753</v>
      </c>
    </row>
    <row r="464" spans="1:34">
      <c r="A464" s="402">
        <f t="shared" ca="1" si="209"/>
        <v>1E-4</v>
      </c>
      <c r="B464" s="357">
        <f t="shared" ca="1" si="210"/>
        <v>16.911099999999948</v>
      </c>
      <c r="C464" s="342"/>
      <c r="D464" s="359">
        <f t="shared" ca="1" si="211"/>
        <v>-0.70745620925288699</v>
      </c>
      <c r="E464" s="360">
        <f t="shared" ca="1" si="212"/>
        <v>-1.934716507226784</v>
      </c>
      <c r="F464" s="357">
        <f t="shared" ca="1" si="213"/>
        <v>2.0600054008051218</v>
      </c>
      <c r="G464" s="359">
        <f t="shared" ca="1" si="214"/>
        <v>5.0131689827108099</v>
      </c>
      <c r="H464" s="360">
        <f t="shared" ca="1" si="215"/>
        <v>-55.806734656071988</v>
      </c>
      <c r="I464" s="357">
        <f t="shared" ca="1" si="216"/>
        <v>56.031450955891195</v>
      </c>
      <c r="J464" s="359">
        <f t="shared" ca="1" si="217"/>
        <v>184.26379383972827</v>
      </c>
      <c r="K464" s="360">
        <f t="shared" ca="1" si="218"/>
        <v>-5.59005981577128</v>
      </c>
      <c r="L464" s="357">
        <f t="shared" ca="1" si="203"/>
        <v>184.34856790589339</v>
      </c>
      <c r="M464" s="359">
        <f t="shared" ca="1" si="219"/>
        <v>-1.4812059002975355</v>
      </c>
      <c r="N464" s="357">
        <f t="shared" ca="1" si="220"/>
        <v>-84.866846676924197</v>
      </c>
      <c r="O464" s="343"/>
      <c r="P464" s="363">
        <f t="shared" ca="1" si="221"/>
        <v>23</v>
      </c>
      <c r="Q464" s="357">
        <f t="shared" ca="1" si="222"/>
        <v>0</v>
      </c>
      <c r="R464" s="359">
        <f t="shared" ca="1" si="223"/>
        <v>0</v>
      </c>
      <c r="S464" s="360">
        <f t="shared" ca="1" si="224"/>
        <v>0.42898953648292248</v>
      </c>
      <c r="T464" s="357">
        <f t="shared" ca="1" si="204"/>
        <v>4.2083873528974696</v>
      </c>
      <c r="U464" s="364">
        <f t="shared" ca="1" si="205"/>
        <v>0</v>
      </c>
      <c r="V464" s="359">
        <f t="shared" ca="1" si="206"/>
        <v>1.225684973779652</v>
      </c>
      <c r="W464" s="357">
        <f t="shared" ca="1" si="207"/>
        <v>3.3920429694560958</v>
      </c>
      <c r="X464" s="343"/>
      <c r="Y464" s="367" t="str">
        <f t="shared" ca="1" si="225"/>
        <v/>
      </c>
      <c r="Z464" s="368" t="str">
        <f t="shared" ca="1" si="226"/>
        <v/>
      </c>
      <c r="AA464" s="369" t="str">
        <f t="shared" ca="1" si="227"/>
        <v/>
      </c>
      <c r="AB464" s="344"/>
      <c r="AC464" s="363" t="e">
        <f t="shared" ca="1" si="228"/>
        <v>#N/A</v>
      </c>
      <c r="AD464" s="376" t="e">
        <f t="shared" ca="1" si="229"/>
        <v>#N/A</v>
      </c>
      <c r="AE464" s="377" t="e">
        <f t="shared" ca="1" si="208"/>
        <v>#N/A</v>
      </c>
      <c r="AF464" s="344"/>
      <c r="AG464" s="359">
        <f t="shared" ca="1" si="230"/>
        <v>1.8636593271766317</v>
      </c>
      <c r="AH464" s="357">
        <f t="shared" ca="1" si="231"/>
        <v>-7.9069959137182293</v>
      </c>
    </row>
    <row r="465" spans="1:34">
      <c r="A465" s="402">
        <f t="shared" ca="1" si="209"/>
        <v>1E-4</v>
      </c>
      <c r="B465" s="357">
        <f t="shared" ca="1" si="210"/>
        <v>16.911199999999948</v>
      </c>
      <c r="C465" s="342"/>
      <c r="D465" s="359">
        <f t="shared" ca="1" si="211"/>
        <v>-0.70744897364826564</v>
      </c>
      <c r="E465" s="360">
        <f t="shared" ca="1" si="212"/>
        <v>-1.9346586158859775</v>
      </c>
      <c r="F465" s="357">
        <f t="shared" ca="1" si="213"/>
        <v>2.059948545555891</v>
      </c>
      <c r="G465" s="359">
        <f t="shared" ca="1" si="214"/>
        <v>5.0130982378134448</v>
      </c>
      <c r="H465" s="360">
        <f t="shared" ca="1" si="215"/>
        <v>-55.806928121933574</v>
      </c>
      <c r="I465" s="357">
        <f t="shared" ca="1" si="216"/>
        <v>56.031637316328968</v>
      </c>
      <c r="J465" s="359">
        <f t="shared" ca="1" si="217"/>
        <v>184.26379383972827</v>
      </c>
      <c r="K465" s="360">
        <f t="shared" ca="1" si="218"/>
        <v>-5.5956404989101802</v>
      </c>
      <c r="L465" s="357">
        <f t="shared" ca="1" si="203"/>
        <v>184.34873721510252</v>
      </c>
      <c r="M465" s="359">
        <f t="shared" ca="1" si="219"/>
        <v>-1.4812074667462087</v>
      </c>
      <c r="N465" s="357">
        <f t="shared" ca="1" si="220"/>
        <v>-84.866936427821997</v>
      </c>
      <c r="O465" s="343"/>
      <c r="P465" s="363">
        <f t="shared" ca="1" si="221"/>
        <v>23</v>
      </c>
      <c r="Q465" s="357">
        <f t="shared" ca="1" si="222"/>
        <v>0</v>
      </c>
      <c r="R465" s="359">
        <f t="shared" ca="1" si="223"/>
        <v>0</v>
      </c>
      <c r="S465" s="360">
        <f t="shared" ca="1" si="224"/>
        <v>0.42898953648292248</v>
      </c>
      <c r="T465" s="357">
        <f t="shared" ca="1" si="204"/>
        <v>4.2083873528974696</v>
      </c>
      <c r="U465" s="364">
        <f t="shared" ca="1" si="205"/>
        <v>0</v>
      </c>
      <c r="V465" s="359">
        <f t="shared" ca="1" si="206"/>
        <v>1.2256856577958435</v>
      </c>
      <c r="W465" s="357">
        <f t="shared" ca="1" si="207"/>
        <v>3.3920674263480688</v>
      </c>
      <c r="X465" s="343"/>
      <c r="Y465" s="367" t="str">
        <f t="shared" ca="1" si="225"/>
        <v/>
      </c>
      <c r="Z465" s="368" t="str">
        <f t="shared" ca="1" si="226"/>
        <v/>
      </c>
      <c r="AA465" s="369" t="str">
        <f t="shared" ca="1" si="227"/>
        <v/>
      </c>
      <c r="AB465" s="344"/>
      <c r="AC465" s="363" t="e">
        <f t="shared" ca="1" si="228"/>
        <v>#N/A</v>
      </c>
      <c r="AD465" s="376" t="e">
        <f t="shared" ca="1" si="229"/>
        <v>#N/A</v>
      </c>
      <c r="AE465" s="377" t="e">
        <f t="shared" ca="1" si="208"/>
        <v>#N/A</v>
      </c>
      <c r="AF465" s="344"/>
      <c r="AG465" s="359">
        <f t="shared" ca="1" si="230"/>
        <v>1.8636036903183069</v>
      </c>
      <c r="AH465" s="357">
        <f t="shared" ca="1" si="231"/>
        <v>-7.9070529254998014</v>
      </c>
    </row>
    <row r="466" spans="1:34">
      <c r="A466" s="402">
        <f t="shared" ca="1" si="209"/>
        <v>1E-4</v>
      </c>
      <c r="B466" s="357">
        <f t="shared" ca="1" si="210"/>
        <v>16.911299999999947</v>
      </c>
      <c r="C466" s="342"/>
      <c r="D466" s="359">
        <f t="shared" ca="1" si="211"/>
        <v>-0.7074417380021667</v>
      </c>
      <c r="E466" s="360">
        <f t="shared" ca="1" si="212"/>
        <v>-1.9346007258850966</v>
      </c>
      <c r="F466" s="357">
        <f t="shared" ca="1" si="213"/>
        <v>2.0598916916339727</v>
      </c>
      <c r="G466" s="359">
        <f t="shared" ca="1" si="214"/>
        <v>5.0130274936396448</v>
      </c>
      <c r="H466" s="360">
        <f t="shared" ca="1" si="215"/>
        <v>-55.807121582006161</v>
      </c>
      <c r="I466" s="357">
        <f t="shared" ca="1" si="216"/>
        <v>56.031823671203178</v>
      </c>
      <c r="J466" s="359">
        <f t="shared" ca="1" si="217"/>
        <v>184.26379383972827</v>
      </c>
      <c r="K466" s="360">
        <f t="shared" ca="1" si="218"/>
        <v>-5.6012212013953775</v>
      </c>
      <c r="L466" s="357">
        <f t="shared" ca="1" si="203"/>
        <v>184.34890669368463</v>
      </c>
      <c r="M466" s="359">
        <f t="shared" ca="1" si="219"/>
        <v>-1.4812090331623569</v>
      </c>
      <c r="N466" s="357">
        <f t="shared" ca="1" si="220"/>
        <v>-84.867026176856243</v>
      </c>
      <c r="O466" s="343"/>
      <c r="P466" s="363">
        <f t="shared" ca="1" si="221"/>
        <v>23</v>
      </c>
      <c r="Q466" s="357">
        <f t="shared" ca="1" si="222"/>
        <v>0</v>
      </c>
      <c r="R466" s="359">
        <f t="shared" ca="1" si="223"/>
        <v>0</v>
      </c>
      <c r="S466" s="360">
        <f t="shared" ca="1" si="224"/>
        <v>0.42898953648292248</v>
      </c>
      <c r="T466" s="357">
        <f t="shared" ca="1" si="204"/>
        <v>4.2083873528974696</v>
      </c>
      <c r="U466" s="364">
        <f t="shared" ca="1" si="205"/>
        <v>0</v>
      </c>
      <c r="V466" s="359">
        <f t="shared" ca="1" si="206"/>
        <v>1.2256863418147874</v>
      </c>
      <c r="W466" s="357">
        <f t="shared" ca="1" si="207"/>
        <v>3.3920918826742694</v>
      </c>
      <c r="X466" s="343"/>
      <c r="Y466" s="367" t="str">
        <f t="shared" ca="1" si="225"/>
        <v/>
      </c>
      <c r="Z466" s="368" t="str">
        <f t="shared" ca="1" si="226"/>
        <v/>
      </c>
      <c r="AA466" s="369" t="str">
        <f t="shared" ca="1" si="227"/>
        <v/>
      </c>
      <c r="AB466" s="344"/>
      <c r="AC466" s="363" t="e">
        <f t="shared" ca="1" si="228"/>
        <v>#N/A</v>
      </c>
      <c r="AD466" s="376" t="e">
        <f t="shared" ca="1" si="229"/>
        <v>#N/A</v>
      </c>
      <c r="AE466" s="377" t="e">
        <f t="shared" ca="1" si="208"/>
        <v>#N/A</v>
      </c>
      <c r="AF466" s="344"/>
      <c r="AG466" s="359">
        <f t="shared" ca="1" si="230"/>
        <v>1.8635480547263237</v>
      </c>
      <c r="AH466" s="357">
        <f t="shared" ca="1" si="231"/>
        <v>-7.9071099359625121</v>
      </c>
    </row>
    <row r="467" spans="1:34">
      <c r="A467" s="402">
        <f t="shared" ca="1" si="209"/>
        <v>1E-4</v>
      </c>
      <c r="B467" s="357">
        <f t="shared" ca="1" si="210"/>
        <v>16.911399999999947</v>
      </c>
      <c r="C467" s="342"/>
      <c r="D467" s="359">
        <f t="shared" ca="1" si="211"/>
        <v>-0.70743450231459604</v>
      </c>
      <c r="E467" s="360">
        <f t="shared" ca="1" si="212"/>
        <v>-1.9345428372241296</v>
      </c>
      <c r="F467" s="357">
        <f t="shared" ca="1" si="213"/>
        <v>2.0598348390393548</v>
      </c>
      <c r="G467" s="359">
        <f t="shared" ca="1" si="214"/>
        <v>5.0129567501894137</v>
      </c>
      <c r="H467" s="360">
        <f t="shared" ca="1" si="215"/>
        <v>-55.807315036289886</v>
      </c>
      <c r="I467" s="357">
        <f t="shared" ca="1" si="216"/>
        <v>56.032010020513958</v>
      </c>
      <c r="J467" s="359">
        <f t="shared" ca="1" si="217"/>
        <v>184.26379383972827</v>
      </c>
      <c r="K467" s="360">
        <f t="shared" ca="1" si="218"/>
        <v>-5.6068019232262927</v>
      </c>
      <c r="L467" s="357">
        <f t="shared" ca="1" si="203"/>
        <v>184.34907634164097</v>
      </c>
      <c r="M467" s="359">
        <f t="shared" ca="1" si="219"/>
        <v>-1.4812105995459808</v>
      </c>
      <c r="N467" s="357">
        <f t="shared" ca="1" si="220"/>
        <v>-84.86711592402699</v>
      </c>
      <c r="O467" s="343"/>
      <c r="P467" s="363">
        <f t="shared" ca="1" si="221"/>
        <v>23</v>
      </c>
      <c r="Q467" s="357">
        <f t="shared" ca="1" si="222"/>
        <v>0</v>
      </c>
      <c r="R467" s="359">
        <f t="shared" ca="1" si="223"/>
        <v>0</v>
      </c>
      <c r="S467" s="360">
        <f t="shared" ca="1" si="224"/>
        <v>0.42898953648292248</v>
      </c>
      <c r="T467" s="357">
        <f t="shared" ca="1" si="204"/>
        <v>4.2083873528974696</v>
      </c>
      <c r="U467" s="364">
        <f t="shared" ca="1" si="205"/>
        <v>0</v>
      </c>
      <c r="V467" s="359">
        <f t="shared" ca="1" si="206"/>
        <v>1.2256870258364843</v>
      </c>
      <c r="W467" s="357">
        <f t="shared" ca="1" si="207"/>
        <v>3.3921163384347075</v>
      </c>
      <c r="X467" s="343"/>
      <c r="Y467" s="367" t="str">
        <f t="shared" ca="1" si="225"/>
        <v/>
      </c>
      <c r="Z467" s="368" t="str">
        <f t="shared" ca="1" si="226"/>
        <v/>
      </c>
      <c r="AA467" s="369" t="str">
        <f t="shared" ca="1" si="227"/>
        <v/>
      </c>
      <c r="AB467" s="344"/>
      <c r="AC467" s="363" t="e">
        <f t="shared" ca="1" si="228"/>
        <v>#N/A</v>
      </c>
      <c r="AD467" s="376" t="e">
        <f t="shared" ca="1" si="229"/>
        <v>#N/A</v>
      </c>
      <c r="AE467" s="377" t="e">
        <f t="shared" ca="1" si="208"/>
        <v>#N/A</v>
      </c>
      <c r="AF467" s="344"/>
      <c r="AG467" s="359">
        <f t="shared" ca="1" si="230"/>
        <v>1.8634924204006662</v>
      </c>
      <c r="AH467" s="357">
        <f t="shared" ca="1" si="231"/>
        <v>-7.9071669451063737</v>
      </c>
    </row>
    <row r="468" spans="1:34">
      <c r="A468" s="402">
        <f t="shared" ca="1" si="209"/>
        <v>1E-4</v>
      </c>
      <c r="B468" s="357">
        <f t="shared" ca="1" si="210"/>
        <v>16.911499999999947</v>
      </c>
      <c r="C468" s="342"/>
      <c r="D468" s="359">
        <f t="shared" ca="1" si="211"/>
        <v>-0.70742726658556065</v>
      </c>
      <c r="E468" s="360">
        <f t="shared" ca="1" si="212"/>
        <v>-1.9344849499030543</v>
      </c>
      <c r="F468" s="357">
        <f t="shared" ca="1" si="213"/>
        <v>2.0597779877720175</v>
      </c>
      <c r="G468" s="359">
        <f t="shared" ca="1" si="214"/>
        <v>5.0128860074627548</v>
      </c>
      <c r="H468" s="360">
        <f t="shared" ca="1" si="215"/>
        <v>-55.807508484784876</v>
      </c>
      <c r="I468" s="357">
        <f t="shared" ca="1" si="216"/>
        <v>56.032196364261431</v>
      </c>
      <c r="J468" s="359">
        <f t="shared" ca="1" si="217"/>
        <v>184.26379383972827</v>
      </c>
      <c r="K468" s="360">
        <f t="shared" ca="1" si="218"/>
        <v>-5.6123826644023467</v>
      </c>
      <c r="L468" s="357">
        <f t="shared" ca="1" si="203"/>
        <v>184.34924615897285</v>
      </c>
      <c r="M468" s="359">
        <f t="shared" ca="1" si="219"/>
        <v>-1.4812121658970816</v>
      </c>
      <c r="N468" s="357">
        <f t="shared" ca="1" si="220"/>
        <v>-84.867205669334297</v>
      </c>
      <c r="O468" s="343"/>
      <c r="P468" s="363">
        <f t="shared" ca="1" si="221"/>
        <v>23</v>
      </c>
      <c r="Q468" s="357">
        <f t="shared" ca="1" si="222"/>
        <v>0</v>
      </c>
      <c r="R468" s="359">
        <f t="shared" ca="1" si="223"/>
        <v>0</v>
      </c>
      <c r="S468" s="360">
        <f t="shared" ca="1" si="224"/>
        <v>0.42898953648292248</v>
      </c>
      <c r="T468" s="357">
        <f t="shared" ca="1" si="204"/>
        <v>4.2083873528974696</v>
      </c>
      <c r="U468" s="364">
        <f t="shared" ca="1" si="205"/>
        <v>0</v>
      </c>
      <c r="V468" s="359">
        <f t="shared" ca="1" si="206"/>
        <v>1.2256877098609344</v>
      </c>
      <c r="W468" s="357">
        <f t="shared" ca="1" si="207"/>
        <v>3.3921407936293928</v>
      </c>
      <c r="X468" s="343"/>
      <c r="Y468" s="367" t="str">
        <f t="shared" ca="1" si="225"/>
        <v/>
      </c>
      <c r="Z468" s="368" t="str">
        <f t="shared" ca="1" si="226"/>
        <v/>
      </c>
      <c r="AA468" s="369" t="str">
        <f t="shared" ca="1" si="227"/>
        <v/>
      </c>
      <c r="AB468" s="344"/>
      <c r="AC468" s="363" t="e">
        <f t="shared" ca="1" si="228"/>
        <v>#N/A</v>
      </c>
      <c r="AD468" s="376" t="e">
        <f t="shared" ca="1" si="229"/>
        <v>#N/A</v>
      </c>
      <c r="AE468" s="377" t="e">
        <f t="shared" ca="1" si="208"/>
        <v>#N/A</v>
      </c>
      <c r="AF468" s="344"/>
      <c r="AG468" s="359">
        <f t="shared" ca="1" si="230"/>
        <v>1.8634367873413167</v>
      </c>
      <c r="AH468" s="357">
        <f t="shared" ca="1" si="231"/>
        <v>-7.9072239529314094</v>
      </c>
    </row>
    <row r="469" spans="1:34">
      <c r="A469" s="402">
        <f t="shared" ca="1" si="209"/>
        <v>1E-4</v>
      </c>
      <c r="B469" s="357">
        <f t="shared" ca="1" si="210"/>
        <v>16.911599999999947</v>
      </c>
      <c r="C469" s="342"/>
      <c r="D469" s="359">
        <f t="shared" ca="1" si="211"/>
        <v>-0.70742003081506555</v>
      </c>
      <c r="E469" s="360">
        <f t="shared" ca="1" si="212"/>
        <v>-1.9344270639218459</v>
      </c>
      <c r="F469" s="357">
        <f t="shared" ca="1" si="213"/>
        <v>2.0597211378319353</v>
      </c>
      <c r="G469" s="359">
        <f t="shared" ca="1" si="214"/>
        <v>5.0128152654596736</v>
      </c>
      <c r="H469" s="360">
        <f t="shared" ca="1" si="215"/>
        <v>-55.807701927491266</v>
      </c>
      <c r="I469" s="357">
        <f t="shared" ca="1" si="216"/>
        <v>56.032382702445716</v>
      </c>
      <c r="J469" s="359">
        <f t="shared" ca="1" si="217"/>
        <v>184.26379383972827</v>
      </c>
      <c r="K469" s="360">
        <f t="shared" ca="1" si="218"/>
        <v>-5.6179634249229604</v>
      </c>
      <c r="L469" s="357">
        <f t="shared" ca="1" si="203"/>
        <v>184.34941614568149</v>
      </c>
      <c r="M469" s="359">
        <f t="shared" ca="1" si="219"/>
        <v>-1.4812137322156602</v>
      </c>
      <c r="N469" s="357">
        <f t="shared" ca="1" si="220"/>
        <v>-84.867295412778233</v>
      </c>
      <c r="O469" s="343"/>
      <c r="P469" s="363">
        <f t="shared" ca="1" si="221"/>
        <v>23</v>
      </c>
      <c r="Q469" s="357">
        <f t="shared" ca="1" si="222"/>
        <v>0</v>
      </c>
      <c r="R469" s="359">
        <f t="shared" ca="1" si="223"/>
        <v>0</v>
      </c>
      <c r="S469" s="360">
        <f t="shared" ca="1" si="224"/>
        <v>0.42898953648292248</v>
      </c>
      <c r="T469" s="357">
        <f t="shared" ca="1" si="204"/>
        <v>4.2083873528974696</v>
      </c>
      <c r="U469" s="364">
        <f t="shared" ca="1" si="205"/>
        <v>0</v>
      </c>
      <c r="V469" s="359">
        <f t="shared" ca="1" si="206"/>
        <v>1.2256883938881376</v>
      </c>
      <c r="W469" s="357">
        <f t="shared" ca="1" si="207"/>
        <v>3.3921652482583289</v>
      </c>
      <c r="X469" s="343"/>
      <c r="Y469" s="367" t="str">
        <f t="shared" ca="1" si="225"/>
        <v/>
      </c>
      <c r="Z469" s="368" t="str">
        <f t="shared" ca="1" si="226"/>
        <v/>
      </c>
      <c r="AA469" s="369" t="str">
        <f t="shared" ca="1" si="227"/>
        <v/>
      </c>
      <c r="AB469" s="344"/>
      <c r="AC469" s="363" t="e">
        <f t="shared" ca="1" si="228"/>
        <v>#N/A</v>
      </c>
      <c r="AD469" s="376" t="e">
        <f t="shared" ca="1" si="229"/>
        <v>#N/A</v>
      </c>
      <c r="AE469" s="377" t="e">
        <f t="shared" ca="1" si="208"/>
        <v>#N/A</v>
      </c>
      <c r="AF469" s="344"/>
      <c r="AG469" s="359">
        <f t="shared" ca="1" si="230"/>
        <v>1.8633811555482538</v>
      </c>
      <c r="AH469" s="357">
        <f t="shared" ca="1" si="231"/>
        <v>-7.9072809594376423</v>
      </c>
    </row>
    <row r="470" spans="1:34">
      <c r="A470" s="402">
        <f t="shared" ca="1" si="209"/>
        <v>1E-4</v>
      </c>
      <c r="B470" s="357">
        <f t="shared" ca="1" si="210"/>
        <v>16.911699999999946</v>
      </c>
      <c r="C470" s="342"/>
      <c r="D470" s="359">
        <f t="shared" ca="1" si="211"/>
        <v>-0.70741279500311638</v>
      </c>
      <c r="E470" s="360">
        <f t="shared" ca="1" si="212"/>
        <v>-1.9343691792804956</v>
      </c>
      <c r="F470" s="357">
        <f t="shared" ca="1" si="213"/>
        <v>2.0596642892190999</v>
      </c>
      <c r="G470" s="359">
        <f t="shared" ca="1" si="214"/>
        <v>5.0127445241801736</v>
      </c>
      <c r="H470" s="360">
        <f t="shared" ca="1" si="215"/>
        <v>-55.807895364409191</v>
      </c>
      <c r="I470" s="357">
        <f t="shared" ca="1" si="216"/>
        <v>56.032569035066949</v>
      </c>
      <c r="J470" s="359">
        <f t="shared" ca="1" si="217"/>
        <v>184.26379383972827</v>
      </c>
      <c r="K470" s="360">
        <f t="shared" ca="1" si="218"/>
        <v>-5.6235442047875557</v>
      </c>
      <c r="L470" s="357">
        <f t="shared" ca="1" si="203"/>
        <v>184.3495863017682</v>
      </c>
      <c r="M470" s="359">
        <f t="shared" ca="1" si="219"/>
        <v>-1.4812152985017173</v>
      </c>
      <c r="N470" s="357">
        <f t="shared" ca="1" si="220"/>
        <v>-84.867385154358814</v>
      </c>
      <c r="O470" s="343"/>
      <c r="P470" s="363">
        <f t="shared" ca="1" si="221"/>
        <v>23</v>
      </c>
      <c r="Q470" s="357">
        <f t="shared" ca="1" si="222"/>
        <v>0</v>
      </c>
      <c r="R470" s="359">
        <f t="shared" ca="1" si="223"/>
        <v>0</v>
      </c>
      <c r="S470" s="360">
        <f t="shared" ca="1" si="224"/>
        <v>0.42898953648292248</v>
      </c>
      <c r="T470" s="357">
        <f t="shared" ca="1" si="204"/>
        <v>4.2083873528974696</v>
      </c>
      <c r="U470" s="364">
        <f t="shared" ca="1" si="205"/>
        <v>0</v>
      </c>
      <c r="V470" s="359">
        <f t="shared" ca="1" si="206"/>
        <v>1.2256890779180931</v>
      </c>
      <c r="W470" s="357">
        <f t="shared" ca="1" si="207"/>
        <v>3.3921897023215246</v>
      </c>
      <c r="X470" s="343"/>
      <c r="Y470" s="367" t="str">
        <f t="shared" ca="1" si="225"/>
        <v/>
      </c>
      <c r="Z470" s="368" t="str">
        <f t="shared" ca="1" si="226"/>
        <v/>
      </c>
      <c r="AA470" s="369" t="str">
        <f t="shared" ca="1" si="227"/>
        <v/>
      </c>
      <c r="AB470" s="344"/>
      <c r="AC470" s="363" t="e">
        <f t="shared" ca="1" si="228"/>
        <v>#N/A</v>
      </c>
      <c r="AD470" s="376" t="e">
        <f t="shared" ca="1" si="229"/>
        <v>#N/A</v>
      </c>
      <c r="AE470" s="377" t="e">
        <f t="shared" ca="1" si="208"/>
        <v>#N/A</v>
      </c>
      <c r="AF470" s="344"/>
      <c r="AG470" s="359">
        <f t="shared" ca="1" si="230"/>
        <v>1.8633255250214713</v>
      </c>
      <c r="AH470" s="357">
        <f t="shared" ca="1" si="231"/>
        <v>-7.9073379646250803</v>
      </c>
    </row>
    <row r="471" spans="1:34">
      <c r="A471" s="402">
        <f t="shared" ca="1" si="209"/>
        <v>1E-4</v>
      </c>
      <c r="B471" s="357">
        <f t="shared" ca="1" si="210"/>
        <v>16.911799999999946</v>
      </c>
      <c r="C471" s="342"/>
      <c r="D471" s="359">
        <f t="shared" ca="1" si="211"/>
        <v>-0.70740555914972136</v>
      </c>
      <c r="E471" s="360">
        <f t="shared" ca="1" si="212"/>
        <v>-1.9343112959789828</v>
      </c>
      <c r="F471" s="357">
        <f t="shared" ca="1" si="213"/>
        <v>2.0596074419334918</v>
      </c>
      <c r="G471" s="359">
        <f t="shared" ca="1" si="214"/>
        <v>5.0126737836242583</v>
      </c>
      <c r="H471" s="360">
        <f t="shared" ca="1" si="215"/>
        <v>-55.808088795538787</v>
      </c>
      <c r="I471" s="357">
        <f t="shared" ca="1" si="216"/>
        <v>56.032755362125251</v>
      </c>
      <c r="J471" s="359">
        <f t="shared" ca="1" si="217"/>
        <v>184.26379383972827</v>
      </c>
      <c r="K471" s="360">
        <f t="shared" ca="1" si="218"/>
        <v>-5.6291250039955534</v>
      </c>
      <c r="L471" s="357">
        <f t="shared" ca="1" si="203"/>
        <v>184.34975662723423</v>
      </c>
      <c r="M471" s="359">
        <f t="shared" ca="1" si="219"/>
        <v>-1.4812168647552542</v>
      </c>
      <c r="N471" s="357">
        <f t="shared" ca="1" si="220"/>
        <v>-84.867474894076125</v>
      </c>
      <c r="O471" s="343"/>
      <c r="P471" s="363">
        <f t="shared" ca="1" si="221"/>
        <v>23</v>
      </c>
      <c r="Q471" s="357">
        <f t="shared" ca="1" si="222"/>
        <v>0</v>
      </c>
      <c r="R471" s="359">
        <f t="shared" ca="1" si="223"/>
        <v>0</v>
      </c>
      <c r="S471" s="360">
        <f t="shared" ca="1" si="224"/>
        <v>0.42898953648292248</v>
      </c>
      <c r="T471" s="357">
        <f t="shared" ca="1" si="204"/>
        <v>4.2083873528974696</v>
      </c>
      <c r="U471" s="364">
        <f t="shared" ca="1" si="205"/>
        <v>0</v>
      </c>
      <c r="V471" s="359">
        <f t="shared" ca="1" si="206"/>
        <v>1.2256897619508016</v>
      </c>
      <c r="W471" s="357">
        <f t="shared" ca="1" si="207"/>
        <v>3.3922141558189889</v>
      </c>
      <c r="X471" s="343"/>
      <c r="Y471" s="367" t="str">
        <f t="shared" ca="1" si="225"/>
        <v/>
      </c>
      <c r="Z471" s="368" t="str">
        <f t="shared" ca="1" si="226"/>
        <v/>
      </c>
      <c r="AA471" s="369" t="str">
        <f t="shared" ca="1" si="227"/>
        <v/>
      </c>
      <c r="AB471" s="344"/>
      <c r="AC471" s="363" t="e">
        <f t="shared" ca="1" si="228"/>
        <v>#N/A</v>
      </c>
      <c r="AD471" s="376" t="e">
        <f t="shared" ca="1" si="229"/>
        <v>#N/A</v>
      </c>
      <c r="AE471" s="377" t="e">
        <f t="shared" ca="1" si="208"/>
        <v>#N/A</v>
      </c>
      <c r="AF471" s="344"/>
      <c r="AG471" s="359">
        <f t="shared" ca="1" si="230"/>
        <v>1.8632698957609506</v>
      </c>
      <c r="AH471" s="357">
        <f t="shared" ca="1" si="231"/>
        <v>-7.9073949684937439</v>
      </c>
    </row>
    <row r="472" spans="1:34">
      <c r="A472" s="402">
        <f t="shared" ca="1" si="209"/>
        <v>1E-4</v>
      </c>
      <c r="B472" s="357">
        <f t="shared" ca="1" si="210"/>
        <v>16.911899999999946</v>
      </c>
      <c r="C472" s="342"/>
      <c r="D472" s="359">
        <f t="shared" ca="1" si="211"/>
        <v>-0.70739832325488383</v>
      </c>
      <c r="E472" s="360">
        <f t="shared" ca="1" si="212"/>
        <v>-1.9342534140172889</v>
      </c>
      <c r="F472" s="357">
        <f t="shared" ca="1" si="213"/>
        <v>2.0595505959750926</v>
      </c>
      <c r="G472" s="359">
        <f t="shared" ca="1" si="214"/>
        <v>5.0126030437919331</v>
      </c>
      <c r="H472" s="360">
        <f t="shared" ca="1" si="215"/>
        <v>-55.808282220880187</v>
      </c>
      <c r="I472" s="357">
        <f t="shared" ca="1" si="216"/>
        <v>56.032941683620749</v>
      </c>
      <c r="J472" s="359">
        <f t="shared" ca="1" si="217"/>
        <v>184.26379383972827</v>
      </c>
      <c r="K472" s="360">
        <f t="shared" ca="1" si="218"/>
        <v>-5.6347058225463744</v>
      </c>
      <c r="L472" s="357">
        <f t="shared" ca="1" si="203"/>
        <v>184.34992712208086</v>
      </c>
      <c r="M472" s="359">
        <f t="shared" ca="1" si="219"/>
        <v>-1.4812184309762715</v>
      </c>
      <c r="N472" s="357">
        <f t="shared" ca="1" si="220"/>
        <v>-84.867564631930193</v>
      </c>
      <c r="O472" s="343"/>
      <c r="P472" s="363">
        <f t="shared" ca="1" si="221"/>
        <v>23</v>
      </c>
      <c r="Q472" s="357">
        <f t="shared" ca="1" si="222"/>
        <v>0</v>
      </c>
      <c r="R472" s="359">
        <f t="shared" ca="1" si="223"/>
        <v>0</v>
      </c>
      <c r="S472" s="360">
        <f t="shared" ca="1" si="224"/>
        <v>0.42898953648292248</v>
      </c>
      <c r="T472" s="357">
        <f t="shared" ca="1" si="204"/>
        <v>4.2083873528974696</v>
      </c>
      <c r="U472" s="364">
        <f t="shared" ca="1" si="205"/>
        <v>0</v>
      </c>
      <c r="V472" s="359">
        <f t="shared" ca="1" si="206"/>
        <v>1.2256904459862632</v>
      </c>
      <c r="W472" s="357">
        <f t="shared" ca="1" si="207"/>
        <v>3.3922386087507284</v>
      </c>
      <c r="X472" s="343"/>
      <c r="Y472" s="367" t="str">
        <f t="shared" ca="1" si="225"/>
        <v/>
      </c>
      <c r="Z472" s="368" t="str">
        <f t="shared" ca="1" si="226"/>
        <v/>
      </c>
      <c r="AA472" s="369" t="str">
        <f t="shared" ca="1" si="227"/>
        <v/>
      </c>
      <c r="AB472" s="344"/>
      <c r="AC472" s="363" t="e">
        <f t="shared" ca="1" si="228"/>
        <v>#N/A</v>
      </c>
      <c r="AD472" s="376" t="e">
        <f t="shared" ca="1" si="229"/>
        <v>#N/A</v>
      </c>
      <c r="AE472" s="377" t="e">
        <f t="shared" ca="1" si="208"/>
        <v>#N/A</v>
      </c>
      <c r="AF472" s="344"/>
      <c r="AG472" s="359">
        <f t="shared" ca="1" si="230"/>
        <v>1.8632142677666748</v>
      </c>
      <c r="AH472" s="357">
        <f t="shared" ca="1" si="231"/>
        <v>-7.9074519710436535</v>
      </c>
    </row>
    <row r="473" spans="1:34">
      <c r="A473" s="402">
        <f t="shared" ca="1" si="209"/>
        <v>1E-4</v>
      </c>
      <c r="B473" s="357">
        <f t="shared" ca="1" si="210"/>
        <v>16.911999999999946</v>
      </c>
      <c r="C473" s="342"/>
      <c r="D473" s="359">
        <f t="shared" ca="1" si="211"/>
        <v>-0.70739108731861167</v>
      </c>
      <c r="E473" s="360">
        <f t="shared" ca="1" si="212"/>
        <v>-1.9341955333953944</v>
      </c>
      <c r="F473" s="357">
        <f t="shared" ca="1" si="213"/>
        <v>2.0594937513438833</v>
      </c>
      <c r="G473" s="359">
        <f t="shared" ca="1" si="214"/>
        <v>5.0125323046832015</v>
      </c>
      <c r="H473" s="360">
        <f t="shared" ca="1" si="215"/>
        <v>-55.808475640433528</v>
      </c>
      <c r="I473" s="357">
        <f t="shared" ca="1" si="216"/>
        <v>56.033127999553578</v>
      </c>
      <c r="J473" s="359">
        <f t="shared" ca="1" si="217"/>
        <v>184.26379383972827</v>
      </c>
      <c r="K473" s="360">
        <f t="shared" ca="1" si="218"/>
        <v>-5.6402866604394397</v>
      </c>
      <c r="L473" s="357">
        <f t="shared" ca="1" si="203"/>
        <v>184.35009778630933</v>
      </c>
      <c r="M473" s="359">
        <f t="shared" ca="1" si="219"/>
        <v>-1.4812199971647704</v>
      </c>
      <c r="N473" s="357">
        <f t="shared" ca="1" si="220"/>
        <v>-84.867654367921105</v>
      </c>
      <c r="O473" s="343"/>
      <c r="P473" s="363">
        <f t="shared" ca="1" si="221"/>
        <v>23</v>
      </c>
      <c r="Q473" s="357">
        <f t="shared" ca="1" si="222"/>
        <v>0</v>
      </c>
      <c r="R473" s="359">
        <f t="shared" ca="1" si="223"/>
        <v>0</v>
      </c>
      <c r="S473" s="360">
        <f t="shared" ca="1" si="224"/>
        <v>0.42898953648292248</v>
      </c>
      <c r="T473" s="357">
        <f t="shared" ca="1" si="204"/>
        <v>4.2083873528974696</v>
      </c>
      <c r="U473" s="364">
        <f t="shared" ca="1" si="205"/>
        <v>0</v>
      </c>
      <c r="V473" s="359">
        <f t="shared" ca="1" si="206"/>
        <v>1.2256911300244768</v>
      </c>
      <c r="W473" s="357">
        <f t="shared" ca="1" si="207"/>
        <v>3.3922630611167501</v>
      </c>
      <c r="X473" s="343"/>
      <c r="Y473" s="367" t="str">
        <f t="shared" ca="1" si="225"/>
        <v/>
      </c>
      <c r="Z473" s="368" t="str">
        <f t="shared" ca="1" si="226"/>
        <v/>
      </c>
      <c r="AA473" s="369" t="str">
        <f t="shared" ca="1" si="227"/>
        <v/>
      </c>
      <c r="AB473" s="344"/>
      <c r="AC473" s="363" t="e">
        <f t="shared" ca="1" si="228"/>
        <v>#N/A</v>
      </c>
      <c r="AD473" s="376" t="e">
        <f t="shared" ca="1" si="229"/>
        <v>#N/A</v>
      </c>
      <c r="AE473" s="377" t="e">
        <f t="shared" ca="1" si="208"/>
        <v>#N/A</v>
      </c>
      <c r="AF473" s="344"/>
      <c r="AG473" s="359">
        <f t="shared" ca="1" si="230"/>
        <v>1.8631586410386269</v>
      </c>
      <c r="AH473" s="357">
        <f t="shared" ca="1" si="231"/>
        <v>-7.907508972274826</v>
      </c>
    </row>
    <row r="474" spans="1:34">
      <c r="A474" s="402">
        <f t="shared" ca="1" si="209"/>
        <v>1E-4</v>
      </c>
      <c r="B474" s="357">
        <f t="shared" ca="1" si="210"/>
        <v>16.912099999999946</v>
      </c>
      <c r="C474" s="342"/>
      <c r="D474" s="359">
        <f t="shared" ca="1" si="211"/>
        <v>-0.70738385134090953</v>
      </c>
      <c r="E474" s="360">
        <f t="shared" ca="1" si="212"/>
        <v>-1.9341376541132842</v>
      </c>
      <c r="F474" s="357">
        <f t="shared" ca="1" si="213"/>
        <v>2.0594369080398498</v>
      </c>
      <c r="G474" s="359">
        <f t="shared" ca="1" si="214"/>
        <v>5.0124615662980672</v>
      </c>
      <c r="H474" s="360">
        <f t="shared" ca="1" si="215"/>
        <v>-55.808669054198937</v>
      </c>
      <c r="I474" s="357">
        <f t="shared" ca="1" si="216"/>
        <v>56.033314309923853</v>
      </c>
      <c r="J474" s="359">
        <f t="shared" ca="1" si="217"/>
        <v>184.26379383972827</v>
      </c>
      <c r="K474" s="360">
        <f t="shared" ca="1" si="218"/>
        <v>-5.6458675176741711</v>
      </c>
      <c r="L474" s="357">
        <f t="shared" ca="1" si="203"/>
        <v>184.35026861992094</v>
      </c>
      <c r="M474" s="359">
        <f t="shared" ca="1" si="219"/>
        <v>-1.4812215633207517</v>
      </c>
      <c r="N474" s="357">
        <f t="shared" ca="1" si="220"/>
        <v>-84.867744102048903</v>
      </c>
      <c r="O474" s="343"/>
      <c r="P474" s="363">
        <f t="shared" ca="1" si="221"/>
        <v>23</v>
      </c>
      <c r="Q474" s="357">
        <f t="shared" ca="1" si="222"/>
        <v>0</v>
      </c>
      <c r="R474" s="359">
        <f t="shared" ca="1" si="223"/>
        <v>0</v>
      </c>
      <c r="S474" s="360">
        <f t="shared" ca="1" si="224"/>
        <v>0.42898953648292248</v>
      </c>
      <c r="T474" s="357">
        <f t="shared" ca="1" si="204"/>
        <v>4.2083873528974696</v>
      </c>
      <c r="U474" s="364">
        <f t="shared" ca="1" si="205"/>
        <v>0</v>
      </c>
      <c r="V474" s="359">
        <f t="shared" ca="1" si="206"/>
        <v>1.2256918140654429</v>
      </c>
      <c r="W474" s="357">
        <f t="shared" ca="1" si="207"/>
        <v>3.3922875129170609</v>
      </c>
      <c r="X474" s="343"/>
      <c r="Y474" s="367" t="str">
        <f t="shared" ca="1" si="225"/>
        <v/>
      </c>
      <c r="Z474" s="368" t="str">
        <f t="shared" ca="1" si="226"/>
        <v/>
      </c>
      <c r="AA474" s="369" t="str">
        <f t="shared" ca="1" si="227"/>
        <v/>
      </c>
      <c r="AB474" s="344"/>
      <c r="AC474" s="363" t="e">
        <f t="shared" ca="1" si="228"/>
        <v>#N/A</v>
      </c>
      <c r="AD474" s="376" t="e">
        <f t="shared" ca="1" si="229"/>
        <v>#N/A</v>
      </c>
      <c r="AE474" s="377" t="e">
        <f t="shared" ca="1" si="208"/>
        <v>#N/A</v>
      </c>
      <c r="AF474" s="344"/>
      <c r="AG474" s="359">
        <f t="shared" ca="1" si="230"/>
        <v>1.8631030155767974</v>
      </c>
      <c r="AH474" s="357">
        <f t="shared" ca="1" si="231"/>
        <v>-7.9075659721872764</v>
      </c>
    </row>
    <row r="475" spans="1:34">
      <c r="A475" s="402">
        <f t="shared" ca="1" si="209"/>
        <v>1E-4</v>
      </c>
      <c r="B475" s="357">
        <f t="shared" ca="1" si="210"/>
        <v>16.912199999999945</v>
      </c>
      <c r="C475" s="342"/>
      <c r="D475" s="359">
        <f t="shared" ca="1" si="211"/>
        <v>-0.70737661532178375</v>
      </c>
      <c r="E475" s="360">
        <f t="shared" ca="1" si="212"/>
        <v>-1.9340797761709423</v>
      </c>
      <c r="F475" s="357">
        <f t="shared" ca="1" si="213"/>
        <v>2.0593800660629755</v>
      </c>
      <c r="G475" s="359">
        <f t="shared" ca="1" si="214"/>
        <v>5.0123908286365353</v>
      </c>
      <c r="H475" s="360">
        <f t="shared" ca="1" si="215"/>
        <v>-55.808862462176556</v>
      </c>
      <c r="I475" s="357">
        <f t="shared" ca="1" si="216"/>
        <v>56.033500614731707</v>
      </c>
      <c r="J475" s="359">
        <f t="shared" ca="1" si="217"/>
        <v>184.26379383972827</v>
      </c>
      <c r="K475" s="360">
        <f t="shared" ca="1" si="218"/>
        <v>-5.6514483942499902</v>
      </c>
      <c r="L475" s="357">
        <f t="shared" ca="1" si="203"/>
        <v>184.35043962291698</v>
      </c>
      <c r="M475" s="359">
        <f t="shared" ca="1" si="219"/>
        <v>-1.4812231294442164</v>
      </c>
      <c r="N475" s="357">
        <f t="shared" ca="1" si="220"/>
        <v>-84.867833834313615</v>
      </c>
      <c r="O475" s="343"/>
      <c r="P475" s="363">
        <f t="shared" ca="1" si="221"/>
        <v>23</v>
      </c>
      <c r="Q475" s="357">
        <f t="shared" ca="1" si="222"/>
        <v>0</v>
      </c>
      <c r="R475" s="359">
        <f t="shared" ca="1" si="223"/>
        <v>0</v>
      </c>
      <c r="S475" s="360">
        <f t="shared" ca="1" si="224"/>
        <v>0.42898953648292248</v>
      </c>
      <c r="T475" s="357">
        <f t="shared" ca="1" si="204"/>
        <v>4.2083873528974696</v>
      </c>
      <c r="U475" s="364">
        <f t="shared" ca="1" si="205"/>
        <v>0</v>
      </c>
      <c r="V475" s="359">
        <f t="shared" ca="1" si="206"/>
        <v>1.2256924981091617</v>
      </c>
      <c r="W475" s="357">
        <f t="shared" ca="1" si="207"/>
        <v>3.3923119641516717</v>
      </c>
      <c r="X475" s="343"/>
      <c r="Y475" s="367" t="str">
        <f t="shared" ca="1" si="225"/>
        <v/>
      </c>
      <c r="Z475" s="368" t="str">
        <f t="shared" ca="1" si="226"/>
        <v/>
      </c>
      <c r="AA475" s="369" t="str">
        <f t="shared" ca="1" si="227"/>
        <v/>
      </c>
      <c r="AB475" s="344"/>
      <c r="AC475" s="363" t="e">
        <f t="shared" ca="1" si="228"/>
        <v>#N/A</v>
      </c>
      <c r="AD475" s="376" t="e">
        <f t="shared" ca="1" si="229"/>
        <v>#N/A</v>
      </c>
      <c r="AE475" s="377" t="e">
        <f t="shared" ca="1" si="208"/>
        <v>#N/A</v>
      </c>
      <c r="AF475" s="344"/>
      <c r="AG475" s="359">
        <f t="shared" ca="1" si="230"/>
        <v>1.8630473913811691</v>
      </c>
      <c r="AH475" s="357">
        <f t="shared" ca="1" si="231"/>
        <v>-7.9076229707810217</v>
      </c>
    </row>
    <row r="476" spans="1:34">
      <c r="A476" s="402">
        <f t="shared" ca="1" si="209"/>
        <v>1E-4</v>
      </c>
      <c r="B476" s="357">
        <f t="shared" ca="1" si="210"/>
        <v>16.912299999999945</v>
      </c>
      <c r="C476" s="342"/>
      <c r="D476" s="359">
        <f t="shared" ca="1" si="211"/>
        <v>-0.70736937926124099</v>
      </c>
      <c r="E476" s="360">
        <f t="shared" ca="1" si="212"/>
        <v>-1.9340218995683429</v>
      </c>
      <c r="F476" s="357">
        <f t="shared" ca="1" si="213"/>
        <v>2.0593232254132365</v>
      </c>
      <c r="G476" s="359">
        <f t="shared" ca="1" si="214"/>
        <v>5.0123200916986095</v>
      </c>
      <c r="H476" s="360">
        <f t="shared" ca="1" si="215"/>
        <v>-55.809055864366513</v>
      </c>
      <c r="I476" s="357">
        <f t="shared" ca="1" si="216"/>
        <v>56.033686913977277</v>
      </c>
      <c r="J476" s="359">
        <f t="shared" ca="1" si="217"/>
        <v>184.26379383972827</v>
      </c>
      <c r="K476" s="360">
        <f t="shared" ca="1" si="218"/>
        <v>-5.6570292901663173</v>
      </c>
      <c r="L476" s="357">
        <f t="shared" ca="1" si="203"/>
        <v>184.35061079529865</v>
      </c>
      <c r="M476" s="359">
        <f t="shared" ca="1" si="219"/>
        <v>-1.4812246955351651</v>
      </c>
      <c r="N476" s="357">
        <f t="shared" ca="1" si="220"/>
        <v>-84.867923564715312</v>
      </c>
      <c r="O476" s="343"/>
      <c r="P476" s="363">
        <f t="shared" ca="1" si="221"/>
        <v>23</v>
      </c>
      <c r="Q476" s="357">
        <f t="shared" ca="1" si="222"/>
        <v>0</v>
      </c>
      <c r="R476" s="359">
        <f t="shared" ca="1" si="223"/>
        <v>0</v>
      </c>
      <c r="S476" s="360">
        <f t="shared" ca="1" si="224"/>
        <v>0.42898953648292248</v>
      </c>
      <c r="T476" s="357">
        <f t="shared" ca="1" si="204"/>
        <v>4.2083873528974696</v>
      </c>
      <c r="U476" s="364">
        <f t="shared" ca="1" si="205"/>
        <v>0</v>
      </c>
      <c r="V476" s="359">
        <f t="shared" ca="1" si="206"/>
        <v>1.2256931821556334</v>
      </c>
      <c r="W476" s="357">
        <f t="shared" ca="1" si="207"/>
        <v>3.3923364148205892</v>
      </c>
      <c r="X476" s="343"/>
      <c r="Y476" s="367" t="str">
        <f t="shared" ca="1" si="225"/>
        <v/>
      </c>
      <c r="Z476" s="368" t="str">
        <f t="shared" ca="1" si="226"/>
        <v/>
      </c>
      <c r="AA476" s="369" t="str">
        <f t="shared" ca="1" si="227"/>
        <v/>
      </c>
      <c r="AB476" s="344"/>
      <c r="AC476" s="363" t="e">
        <f t="shared" ca="1" si="228"/>
        <v>#N/A</v>
      </c>
      <c r="AD476" s="376" t="e">
        <f t="shared" ca="1" si="229"/>
        <v>#N/A</v>
      </c>
      <c r="AE476" s="377" t="e">
        <f t="shared" ca="1" si="208"/>
        <v>#N/A</v>
      </c>
      <c r="AF476" s="344"/>
      <c r="AG476" s="359">
        <f t="shared" ca="1" si="230"/>
        <v>1.8629917684517219</v>
      </c>
      <c r="AH476" s="357">
        <f t="shared" ca="1" si="231"/>
        <v>-7.9076799680560859</v>
      </c>
    </row>
    <row r="477" spans="1:34">
      <c r="A477" s="402">
        <f t="shared" ca="1" si="209"/>
        <v>1E-4</v>
      </c>
      <c r="B477" s="357">
        <f t="shared" ca="1" si="210"/>
        <v>16.912399999999945</v>
      </c>
      <c r="C477" s="342"/>
      <c r="D477" s="359">
        <f t="shared" ca="1" si="211"/>
        <v>-0.70736214315928947</v>
      </c>
      <c r="E477" s="360">
        <f t="shared" ca="1" si="212"/>
        <v>-1.9339640243054692</v>
      </c>
      <c r="F477" s="357">
        <f t="shared" ca="1" si="213"/>
        <v>2.0592663860906169</v>
      </c>
      <c r="G477" s="359">
        <f t="shared" ca="1" si="214"/>
        <v>5.0122493554842933</v>
      </c>
      <c r="H477" s="360">
        <f t="shared" ca="1" si="215"/>
        <v>-55.809249260768944</v>
      </c>
      <c r="I477" s="357">
        <f t="shared" ca="1" si="216"/>
        <v>56.033873207660662</v>
      </c>
      <c r="J477" s="359">
        <f t="shared" ca="1" si="217"/>
        <v>184.26379383972827</v>
      </c>
      <c r="K477" s="360">
        <f t="shared" ca="1" si="218"/>
        <v>-5.662610205422574</v>
      </c>
      <c r="L477" s="357">
        <f t="shared" ca="1" si="203"/>
        <v>184.35078213706726</v>
      </c>
      <c r="M477" s="359">
        <f t="shared" ca="1" si="219"/>
        <v>-1.4812262615935994</v>
      </c>
      <c r="N477" s="357">
        <f t="shared" ca="1" si="220"/>
        <v>-84.868013293254066</v>
      </c>
      <c r="O477" s="343"/>
      <c r="P477" s="363">
        <f t="shared" ca="1" si="221"/>
        <v>23</v>
      </c>
      <c r="Q477" s="357">
        <f t="shared" ca="1" si="222"/>
        <v>0</v>
      </c>
      <c r="R477" s="359">
        <f t="shared" ca="1" si="223"/>
        <v>0</v>
      </c>
      <c r="S477" s="360">
        <f t="shared" ca="1" si="224"/>
        <v>0.42898953648292248</v>
      </c>
      <c r="T477" s="357">
        <f t="shared" ca="1" si="204"/>
        <v>4.2083873528974696</v>
      </c>
      <c r="U477" s="364">
        <f t="shared" ca="1" si="205"/>
        <v>0</v>
      </c>
      <c r="V477" s="359">
        <f t="shared" ca="1" si="206"/>
        <v>1.2256938662048569</v>
      </c>
      <c r="W477" s="357">
        <f t="shared" ca="1" si="207"/>
        <v>3.3923608649238171</v>
      </c>
      <c r="X477" s="343"/>
      <c r="Y477" s="367" t="str">
        <f t="shared" ca="1" si="225"/>
        <v/>
      </c>
      <c r="Z477" s="368" t="str">
        <f t="shared" ca="1" si="226"/>
        <v/>
      </c>
      <c r="AA477" s="369" t="str">
        <f t="shared" ca="1" si="227"/>
        <v/>
      </c>
      <c r="AB477" s="344"/>
      <c r="AC477" s="363" t="e">
        <f t="shared" ca="1" si="228"/>
        <v>#N/A</v>
      </c>
      <c r="AD477" s="376" t="e">
        <f t="shared" ca="1" si="229"/>
        <v>#N/A</v>
      </c>
      <c r="AE477" s="377" t="e">
        <f t="shared" ca="1" si="208"/>
        <v>#N/A</v>
      </c>
      <c r="AF477" s="344"/>
      <c r="AG477" s="359">
        <f t="shared" ca="1" si="230"/>
        <v>1.8629361467884413</v>
      </c>
      <c r="AH477" s="357">
        <f t="shared" ca="1" si="231"/>
        <v>-7.9077369640124866</v>
      </c>
    </row>
    <row r="478" spans="1:34">
      <c r="A478" s="402">
        <f t="shared" ca="1" si="209"/>
        <v>1E-4</v>
      </c>
      <c r="B478" s="357">
        <f t="shared" ca="1" si="210"/>
        <v>16.912499999999945</v>
      </c>
      <c r="C478" s="342"/>
      <c r="D478" s="359">
        <f t="shared" ca="1" si="211"/>
        <v>-0.70735490701592962</v>
      </c>
      <c r="E478" s="360">
        <f t="shared" ca="1" si="212"/>
        <v>-1.9339061503823132</v>
      </c>
      <c r="F478" s="357">
        <f t="shared" ca="1" si="213"/>
        <v>2.0592095480951063</v>
      </c>
      <c r="G478" s="359">
        <f t="shared" ca="1" si="214"/>
        <v>5.012178619993592</v>
      </c>
      <c r="H478" s="360">
        <f t="shared" ca="1" si="215"/>
        <v>-55.809442651383982</v>
      </c>
      <c r="I478" s="357">
        <f t="shared" ca="1" si="216"/>
        <v>56.034059495782017</v>
      </c>
      <c r="J478" s="359">
        <f t="shared" ca="1" si="217"/>
        <v>184.26379383972827</v>
      </c>
      <c r="K478" s="360">
        <f t="shared" ca="1" si="218"/>
        <v>-5.6681911400181813</v>
      </c>
      <c r="L478" s="357">
        <f t="shared" ca="1" si="203"/>
        <v>184.35095364822408</v>
      </c>
      <c r="M478" s="359">
        <f t="shared" ca="1" si="219"/>
        <v>-1.4812278276195197</v>
      </c>
      <c r="N478" s="357">
        <f t="shared" ca="1" si="220"/>
        <v>-84.868103019929904</v>
      </c>
      <c r="O478" s="343"/>
      <c r="P478" s="363">
        <f t="shared" ca="1" si="221"/>
        <v>23</v>
      </c>
      <c r="Q478" s="357">
        <f t="shared" ca="1" si="222"/>
        <v>0</v>
      </c>
      <c r="R478" s="359">
        <f t="shared" ca="1" si="223"/>
        <v>0</v>
      </c>
      <c r="S478" s="360">
        <f t="shared" ca="1" si="224"/>
        <v>0.42898953648292248</v>
      </c>
      <c r="T478" s="357">
        <f t="shared" ca="1" si="204"/>
        <v>4.2083873528974696</v>
      </c>
      <c r="U478" s="364">
        <f t="shared" ca="1" si="205"/>
        <v>0</v>
      </c>
      <c r="V478" s="359">
        <f t="shared" ca="1" si="206"/>
        <v>1.225694550256833</v>
      </c>
      <c r="W478" s="357">
        <f t="shared" ca="1" si="207"/>
        <v>3.3923853144613676</v>
      </c>
      <c r="X478" s="343"/>
      <c r="Y478" s="367" t="str">
        <f t="shared" ca="1" si="225"/>
        <v/>
      </c>
      <c r="Z478" s="368" t="str">
        <f t="shared" ca="1" si="226"/>
        <v/>
      </c>
      <c r="AA478" s="369" t="str">
        <f t="shared" ca="1" si="227"/>
        <v/>
      </c>
      <c r="AB478" s="344"/>
      <c r="AC478" s="363" t="e">
        <f t="shared" ca="1" si="228"/>
        <v>#N/A</v>
      </c>
      <c r="AD478" s="376" t="e">
        <f t="shared" ca="1" si="229"/>
        <v>#N/A</v>
      </c>
      <c r="AE478" s="377" t="e">
        <f t="shared" ca="1" si="208"/>
        <v>#N/A</v>
      </c>
      <c r="AF478" s="344"/>
      <c r="AG478" s="359">
        <f t="shared" ca="1" si="230"/>
        <v>1.8628805263913195</v>
      </c>
      <c r="AH478" s="357">
        <f t="shared" ca="1" si="231"/>
        <v>-7.9077939586502302</v>
      </c>
    </row>
    <row r="479" spans="1:34">
      <c r="A479" s="402">
        <f t="shared" ca="1" si="209"/>
        <v>1E-4</v>
      </c>
      <c r="B479" s="357">
        <f t="shared" ca="1" si="210"/>
        <v>16.912599999999944</v>
      </c>
      <c r="C479" s="342"/>
      <c r="D479" s="359">
        <f t="shared" ca="1" si="211"/>
        <v>-0.70734767083117234</v>
      </c>
      <c r="E479" s="360">
        <f t="shared" ca="1" si="212"/>
        <v>-1.9338482777988446</v>
      </c>
      <c r="F479" s="357">
        <f t="shared" ca="1" si="213"/>
        <v>2.0591527114266786</v>
      </c>
      <c r="G479" s="359">
        <f t="shared" ca="1" si="214"/>
        <v>5.0121078852265093</v>
      </c>
      <c r="H479" s="360">
        <f t="shared" ca="1" si="215"/>
        <v>-55.809636036211764</v>
      </c>
      <c r="I479" s="357">
        <f t="shared" ca="1" si="216"/>
        <v>56.03424577834145</v>
      </c>
      <c r="J479" s="359">
        <f t="shared" ca="1" si="217"/>
        <v>184.26379383972827</v>
      </c>
      <c r="K479" s="360">
        <f t="shared" ca="1" si="218"/>
        <v>-5.6737720939525609</v>
      </c>
      <c r="L479" s="357">
        <f t="shared" ca="1" si="203"/>
        <v>184.35112532877037</v>
      </c>
      <c r="M479" s="359">
        <f t="shared" ca="1" si="219"/>
        <v>-1.481229393612927</v>
      </c>
      <c r="N479" s="357">
        <f t="shared" ca="1" si="220"/>
        <v>-84.868192744742899</v>
      </c>
      <c r="O479" s="343"/>
      <c r="P479" s="363">
        <f t="shared" ca="1" si="221"/>
        <v>23</v>
      </c>
      <c r="Q479" s="357">
        <f t="shared" ca="1" si="222"/>
        <v>0</v>
      </c>
      <c r="R479" s="359">
        <f t="shared" ca="1" si="223"/>
        <v>0</v>
      </c>
      <c r="S479" s="360">
        <f t="shared" ca="1" si="224"/>
        <v>0.42898953648292248</v>
      </c>
      <c r="T479" s="357">
        <f t="shared" ca="1" si="204"/>
        <v>4.2083873528974696</v>
      </c>
      <c r="U479" s="364">
        <f t="shared" ca="1" si="205"/>
        <v>0</v>
      </c>
      <c r="V479" s="359">
        <f t="shared" ca="1" si="206"/>
        <v>1.2256952343115612</v>
      </c>
      <c r="W479" s="357">
        <f t="shared" ca="1" si="207"/>
        <v>3.3924097634332453</v>
      </c>
      <c r="X479" s="343"/>
      <c r="Y479" s="367" t="str">
        <f t="shared" ca="1" si="225"/>
        <v/>
      </c>
      <c r="Z479" s="368" t="str">
        <f t="shared" ca="1" si="226"/>
        <v/>
      </c>
      <c r="AA479" s="369" t="str">
        <f t="shared" ca="1" si="227"/>
        <v/>
      </c>
      <c r="AB479" s="344"/>
      <c r="AC479" s="363" t="e">
        <f t="shared" ca="1" si="228"/>
        <v>#N/A</v>
      </c>
      <c r="AD479" s="376" t="e">
        <f t="shared" ca="1" si="229"/>
        <v>#N/A</v>
      </c>
      <c r="AE479" s="377" t="e">
        <f t="shared" ca="1" si="208"/>
        <v>#N/A</v>
      </c>
      <c r="AF479" s="344"/>
      <c r="AG479" s="359">
        <f t="shared" ca="1" si="230"/>
        <v>1.8628249072603307</v>
      </c>
      <c r="AH479" s="357">
        <f t="shared" ca="1" si="231"/>
        <v>-7.9078509519693476</v>
      </c>
    </row>
    <row r="480" spans="1:34">
      <c r="A480" s="402">
        <f t="shared" ca="1" si="209"/>
        <v>1E-4</v>
      </c>
      <c r="B480" s="357">
        <f t="shared" ca="1" si="210"/>
        <v>16.912699999999944</v>
      </c>
      <c r="C480" s="342"/>
      <c r="D480" s="359">
        <f t="shared" ca="1" si="211"/>
        <v>-0.70734043460502116</v>
      </c>
      <c r="E480" s="360">
        <f t="shared" ca="1" si="212"/>
        <v>-1.9337904065550546</v>
      </c>
      <c r="F480" s="357">
        <f t="shared" ca="1" si="213"/>
        <v>2.0590958760853231</v>
      </c>
      <c r="G480" s="359">
        <f t="shared" ca="1" si="214"/>
        <v>5.0120371511830486</v>
      </c>
      <c r="H480" s="360">
        <f t="shared" ca="1" si="215"/>
        <v>-55.809829415252416</v>
      </c>
      <c r="I480" s="357">
        <f t="shared" ca="1" si="216"/>
        <v>56.034432055339089</v>
      </c>
      <c r="J480" s="359">
        <f t="shared" ca="1" si="217"/>
        <v>184.26379383972827</v>
      </c>
      <c r="K480" s="360">
        <f t="shared" ca="1" si="218"/>
        <v>-5.6793530672251338</v>
      </c>
      <c r="L480" s="357">
        <f t="shared" ca="1" si="203"/>
        <v>184.35129717870737</v>
      </c>
      <c r="M480" s="359">
        <f t="shared" ca="1" si="219"/>
        <v>-1.4812309595738224</v>
      </c>
      <c r="N480" s="357">
        <f t="shared" ca="1" si="220"/>
        <v>-84.868282467693092</v>
      </c>
      <c r="O480" s="343"/>
      <c r="P480" s="363">
        <f t="shared" ca="1" si="221"/>
        <v>23</v>
      </c>
      <c r="Q480" s="357">
        <f t="shared" ca="1" si="222"/>
        <v>0</v>
      </c>
      <c r="R480" s="359">
        <f t="shared" ca="1" si="223"/>
        <v>0</v>
      </c>
      <c r="S480" s="360">
        <f t="shared" ca="1" si="224"/>
        <v>0.42898953648292248</v>
      </c>
      <c r="T480" s="357">
        <f t="shared" ca="1" si="204"/>
        <v>4.2083873528974696</v>
      </c>
      <c r="U480" s="364">
        <f t="shared" ca="1" si="205"/>
        <v>0</v>
      </c>
      <c r="V480" s="359">
        <f t="shared" ca="1" si="206"/>
        <v>1.2256959183690415</v>
      </c>
      <c r="W480" s="357">
        <f t="shared" ca="1" si="207"/>
        <v>3.3924342118394586</v>
      </c>
      <c r="X480" s="343"/>
      <c r="Y480" s="367" t="str">
        <f t="shared" ca="1" si="225"/>
        <v/>
      </c>
      <c r="Z480" s="368" t="str">
        <f t="shared" ca="1" si="226"/>
        <v/>
      </c>
      <c r="AA480" s="369" t="str">
        <f t="shared" ca="1" si="227"/>
        <v/>
      </c>
      <c r="AB480" s="344"/>
      <c r="AC480" s="363" t="e">
        <f t="shared" ca="1" si="228"/>
        <v>#N/A</v>
      </c>
      <c r="AD480" s="376" t="e">
        <f t="shared" ca="1" si="229"/>
        <v>#N/A</v>
      </c>
      <c r="AE480" s="377" t="e">
        <f t="shared" ca="1" si="208"/>
        <v>#N/A</v>
      </c>
      <c r="AF480" s="344"/>
      <c r="AG480" s="359">
        <f t="shared" ca="1" si="230"/>
        <v>1.8627692893954704</v>
      </c>
      <c r="AH480" s="357">
        <f t="shared" ca="1" si="231"/>
        <v>-7.907907943969847</v>
      </c>
    </row>
    <row r="481" spans="1:34">
      <c r="A481" s="402">
        <f t="shared" ca="1" si="209"/>
        <v>1E-4</v>
      </c>
      <c r="B481" s="357">
        <f t="shared" ca="1" si="210"/>
        <v>16.912799999999944</v>
      </c>
      <c r="C481" s="342"/>
      <c r="D481" s="359">
        <f t="shared" ca="1" si="211"/>
        <v>-0.70733319833748332</v>
      </c>
      <c r="E481" s="360">
        <f t="shared" ca="1" si="212"/>
        <v>-1.9337325366509228</v>
      </c>
      <c r="F481" s="357">
        <f t="shared" ca="1" si="213"/>
        <v>2.0590390420710207</v>
      </c>
      <c r="G481" s="359">
        <f t="shared" ca="1" si="214"/>
        <v>5.0119664178632153</v>
      </c>
      <c r="H481" s="360">
        <f t="shared" ca="1" si="215"/>
        <v>-55.810022788506082</v>
      </c>
      <c r="I481" s="357">
        <f t="shared" ca="1" si="216"/>
        <v>56.034618326775075</v>
      </c>
      <c r="J481" s="359">
        <f t="shared" ca="1" si="217"/>
        <v>184.26379383972827</v>
      </c>
      <c r="K481" s="360">
        <f t="shared" ca="1" si="218"/>
        <v>-5.6849340598353217</v>
      </c>
      <c r="L481" s="357">
        <f t="shared" ca="1" si="203"/>
        <v>184.3514691980364</v>
      </c>
      <c r="M481" s="359">
        <f t="shared" ca="1" si="219"/>
        <v>-1.4812325255022067</v>
      </c>
      <c r="N481" s="357">
        <f t="shared" ca="1" si="220"/>
        <v>-84.868372188780526</v>
      </c>
      <c r="O481" s="343"/>
      <c r="P481" s="363">
        <f t="shared" ca="1" si="221"/>
        <v>23</v>
      </c>
      <c r="Q481" s="357">
        <f t="shared" ca="1" si="222"/>
        <v>0</v>
      </c>
      <c r="R481" s="359">
        <f t="shared" ca="1" si="223"/>
        <v>0</v>
      </c>
      <c r="S481" s="360">
        <f t="shared" ca="1" si="224"/>
        <v>0.42898953648292248</v>
      </c>
      <c r="T481" s="357">
        <f t="shared" ca="1" si="204"/>
        <v>4.2083873528974696</v>
      </c>
      <c r="U481" s="364">
        <f t="shared" ca="1" si="205"/>
        <v>0</v>
      </c>
      <c r="V481" s="359">
        <f t="shared" ca="1" si="206"/>
        <v>1.2256966024292737</v>
      </c>
      <c r="W481" s="357">
        <f t="shared" ca="1" si="207"/>
        <v>3.392458659680015</v>
      </c>
      <c r="X481" s="343"/>
      <c r="Y481" s="367" t="str">
        <f t="shared" ca="1" si="225"/>
        <v/>
      </c>
      <c r="Z481" s="368" t="str">
        <f t="shared" ca="1" si="226"/>
        <v/>
      </c>
      <c r="AA481" s="369" t="str">
        <f t="shared" ca="1" si="227"/>
        <v/>
      </c>
      <c r="AB481" s="344"/>
      <c r="AC481" s="363" t="e">
        <f t="shared" ca="1" si="228"/>
        <v>#N/A</v>
      </c>
      <c r="AD481" s="376" t="e">
        <f t="shared" ca="1" si="229"/>
        <v>#N/A</v>
      </c>
      <c r="AE481" s="377" t="e">
        <f t="shared" ca="1" si="208"/>
        <v>#N/A</v>
      </c>
      <c r="AF481" s="344"/>
      <c r="AG481" s="359">
        <f t="shared" ca="1" si="230"/>
        <v>1.8627136727967155</v>
      </c>
      <c r="AH481" s="357">
        <f t="shared" ca="1" si="231"/>
        <v>-7.9079649346517495</v>
      </c>
    </row>
    <row r="482" spans="1:34">
      <c r="A482" s="402">
        <f t="shared" ca="1" si="209"/>
        <v>1E-4</v>
      </c>
      <c r="B482" s="357">
        <f t="shared" ca="1" si="210"/>
        <v>16.912899999999944</v>
      </c>
      <c r="C482" s="342"/>
      <c r="D482" s="359">
        <f t="shared" ca="1" si="211"/>
        <v>-0.70732596202856479</v>
      </c>
      <c r="E482" s="360">
        <f t="shared" ca="1" si="212"/>
        <v>-1.9336746680864296</v>
      </c>
      <c r="F482" s="357">
        <f t="shared" ca="1" si="213"/>
        <v>2.0589822093837524</v>
      </c>
      <c r="G482" s="359">
        <f t="shared" ca="1" si="214"/>
        <v>5.011895685267012</v>
      </c>
      <c r="H482" s="360">
        <f t="shared" ca="1" si="215"/>
        <v>-55.810216155972888</v>
      </c>
      <c r="I482" s="357">
        <f t="shared" ca="1" si="216"/>
        <v>56.034804592649515</v>
      </c>
      <c r="J482" s="359">
        <f t="shared" ca="1" si="217"/>
        <v>184.26379383972827</v>
      </c>
      <c r="K482" s="360">
        <f t="shared" ca="1" si="218"/>
        <v>-5.6905150717825457</v>
      </c>
      <c r="L482" s="357">
        <f t="shared" ca="1" si="203"/>
        <v>184.35164138675867</v>
      </c>
      <c r="M482" s="359">
        <f t="shared" ca="1" si="219"/>
        <v>-1.481234091398081</v>
      </c>
      <c r="N482" s="357">
        <f t="shared" ca="1" si="220"/>
        <v>-84.868461908005287</v>
      </c>
      <c r="O482" s="343"/>
      <c r="P482" s="363">
        <f t="shared" ca="1" si="221"/>
        <v>23</v>
      </c>
      <c r="Q482" s="357">
        <f t="shared" ca="1" si="222"/>
        <v>0</v>
      </c>
      <c r="R482" s="359">
        <f t="shared" ca="1" si="223"/>
        <v>0</v>
      </c>
      <c r="S482" s="360">
        <f t="shared" ca="1" si="224"/>
        <v>0.42898953648292248</v>
      </c>
      <c r="T482" s="357">
        <f t="shared" ca="1" si="204"/>
        <v>4.2083873528974696</v>
      </c>
      <c r="U482" s="364">
        <f t="shared" ca="1" si="205"/>
        <v>0</v>
      </c>
      <c r="V482" s="359">
        <f t="shared" ca="1" si="206"/>
        <v>1.2256972864922582</v>
      </c>
      <c r="W482" s="357">
        <f t="shared" ca="1" si="207"/>
        <v>3.3924831069549217</v>
      </c>
      <c r="X482" s="343"/>
      <c r="Y482" s="367" t="str">
        <f t="shared" ca="1" si="225"/>
        <v/>
      </c>
      <c r="Z482" s="368" t="str">
        <f t="shared" ca="1" si="226"/>
        <v/>
      </c>
      <c r="AA482" s="369" t="str">
        <f t="shared" ca="1" si="227"/>
        <v/>
      </c>
      <c r="AB482" s="344"/>
      <c r="AC482" s="363" t="e">
        <f t="shared" ca="1" si="228"/>
        <v>#N/A</v>
      </c>
      <c r="AD482" s="376" t="e">
        <f t="shared" ca="1" si="229"/>
        <v>#N/A</v>
      </c>
      <c r="AE482" s="377" t="e">
        <f t="shared" ca="1" si="208"/>
        <v>#N/A</v>
      </c>
      <c r="AF482" s="344"/>
      <c r="AG482" s="359">
        <f t="shared" ca="1" si="230"/>
        <v>1.8626580574640554</v>
      </c>
      <c r="AH482" s="357">
        <f t="shared" ca="1" si="231"/>
        <v>-7.9080219240150731</v>
      </c>
    </row>
    <row r="483" spans="1:34">
      <c r="A483" s="402">
        <f t="shared" ca="1" si="209"/>
        <v>1E-4</v>
      </c>
      <c r="B483" s="357">
        <f t="shared" ca="1" si="210"/>
        <v>16.912999999999943</v>
      </c>
      <c r="C483" s="342"/>
      <c r="D483" s="359">
        <f t="shared" ca="1" si="211"/>
        <v>-0.70731872567827003</v>
      </c>
      <c r="E483" s="360">
        <f t="shared" ca="1" si="212"/>
        <v>-1.93361680086156</v>
      </c>
      <c r="F483" s="357">
        <f t="shared" ca="1" si="213"/>
        <v>2.0589253780235035</v>
      </c>
      <c r="G483" s="359">
        <f t="shared" ca="1" si="214"/>
        <v>5.0118249533944441</v>
      </c>
      <c r="H483" s="360">
        <f t="shared" ca="1" si="215"/>
        <v>-55.810409517652971</v>
      </c>
      <c r="I483" s="357">
        <f t="shared" ca="1" si="216"/>
        <v>56.034990852962551</v>
      </c>
      <c r="J483" s="359">
        <f t="shared" ca="1" si="217"/>
        <v>184.26379383972827</v>
      </c>
      <c r="K483" s="360">
        <f t="shared" ca="1" si="218"/>
        <v>-5.6960961030662274</v>
      </c>
      <c r="L483" s="357">
        <f t="shared" ca="1" si="203"/>
        <v>184.35181374487544</v>
      </c>
      <c r="M483" s="359">
        <f t="shared" ca="1" si="219"/>
        <v>-1.4812356572614462</v>
      </c>
      <c r="N483" s="357">
        <f t="shared" ca="1" si="220"/>
        <v>-84.868551625367402</v>
      </c>
      <c r="O483" s="343"/>
      <c r="P483" s="363">
        <f t="shared" ca="1" si="221"/>
        <v>23</v>
      </c>
      <c r="Q483" s="357">
        <f t="shared" ca="1" si="222"/>
        <v>0</v>
      </c>
      <c r="R483" s="359">
        <f t="shared" ca="1" si="223"/>
        <v>0</v>
      </c>
      <c r="S483" s="360">
        <f t="shared" ca="1" si="224"/>
        <v>0.42898953648292248</v>
      </c>
      <c r="T483" s="357">
        <f t="shared" ca="1" si="204"/>
        <v>4.2083873528974696</v>
      </c>
      <c r="U483" s="364">
        <f t="shared" ca="1" si="205"/>
        <v>0</v>
      </c>
      <c r="V483" s="359">
        <f t="shared" ca="1" si="206"/>
        <v>1.2256979705579947</v>
      </c>
      <c r="W483" s="357">
        <f t="shared" ca="1" si="207"/>
        <v>3.3925075536641889</v>
      </c>
      <c r="X483" s="343"/>
      <c r="Y483" s="367" t="str">
        <f t="shared" ca="1" si="225"/>
        <v/>
      </c>
      <c r="Z483" s="368" t="str">
        <f t="shared" ca="1" si="226"/>
        <v/>
      </c>
      <c r="AA483" s="369" t="str">
        <f t="shared" ca="1" si="227"/>
        <v/>
      </c>
      <c r="AB483" s="344"/>
      <c r="AC483" s="363" t="e">
        <f t="shared" ca="1" si="228"/>
        <v>#N/A</v>
      </c>
      <c r="AD483" s="376" t="e">
        <f t="shared" ca="1" si="229"/>
        <v>#N/A</v>
      </c>
      <c r="AE483" s="377" t="e">
        <f t="shared" ca="1" si="208"/>
        <v>#N/A</v>
      </c>
      <c r="AF483" s="344"/>
      <c r="AG483" s="359">
        <f t="shared" ca="1" si="230"/>
        <v>1.8626024433974733</v>
      </c>
      <c r="AH483" s="357">
        <f t="shared" ca="1" si="231"/>
        <v>-7.9080789120598327</v>
      </c>
    </row>
    <row r="484" spans="1:34">
      <c r="A484" s="402">
        <f t="shared" ca="1" si="209"/>
        <v>1E-4</v>
      </c>
      <c r="B484" s="357">
        <f t="shared" ca="1" si="210"/>
        <v>16.913099999999943</v>
      </c>
      <c r="C484" s="342"/>
      <c r="D484" s="359">
        <f t="shared" ca="1" si="211"/>
        <v>-0.70731148928660637</v>
      </c>
      <c r="E484" s="360">
        <f t="shared" ca="1" si="212"/>
        <v>-1.9335589349762881</v>
      </c>
      <c r="F484" s="357">
        <f t="shared" ca="1" si="213"/>
        <v>2.0588685479902487</v>
      </c>
      <c r="G484" s="359">
        <f t="shared" ca="1" si="214"/>
        <v>5.0117542222455151</v>
      </c>
      <c r="H484" s="360">
        <f t="shared" ca="1" si="215"/>
        <v>-55.810602873546472</v>
      </c>
      <c r="I484" s="357">
        <f t="shared" ca="1" si="216"/>
        <v>56.035177107714311</v>
      </c>
      <c r="J484" s="359">
        <f t="shared" ca="1" si="217"/>
        <v>184.26379383972827</v>
      </c>
      <c r="K484" s="360">
        <f t="shared" ca="1" si="218"/>
        <v>-5.7016771536857878</v>
      </c>
      <c r="L484" s="357">
        <f t="shared" ca="1" si="203"/>
        <v>184.35198627238805</v>
      </c>
      <c r="M484" s="359">
        <f t="shared" ca="1" si="219"/>
        <v>-1.481237223092303</v>
      </c>
      <c r="N484" s="357">
        <f t="shared" ca="1" si="220"/>
        <v>-84.86864134086693</v>
      </c>
      <c r="O484" s="343"/>
      <c r="P484" s="363">
        <f t="shared" ca="1" si="221"/>
        <v>23</v>
      </c>
      <c r="Q484" s="357">
        <f t="shared" ca="1" si="222"/>
        <v>0</v>
      </c>
      <c r="R484" s="359">
        <f t="shared" ca="1" si="223"/>
        <v>0</v>
      </c>
      <c r="S484" s="360">
        <f t="shared" ca="1" si="224"/>
        <v>0.42898953648292248</v>
      </c>
      <c r="T484" s="357">
        <f t="shared" ca="1" si="204"/>
        <v>4.2083873528974696</v>
      </c>
      <c r="U484" s="364">
        <f t="shared" ca="1" si="205"/>
        <v>0</v>
      </c>
      <c r="V484" s="359">
        <f t="shared" ca="1" si="206"/>
        <v>1.225698654626483</v>
      </c>
      <c r="W484" s="357">
        <f t="shared" ca="1" si="207"/>
        <v>3.3925319998078227</v>
      </c>
      <c r="X484" s="343"/>
      <c r="Y484" s="367" t="str">
        <f t="shared" ca="1" si="225"/>
        <v/>
      </c>
      <c r="Z484" s="368" t="str">
        <f t="shared" ca="1" si="226"/>
        <v/>
      </c>
      <c r="AA484" s="369" t="str">
        <f t="shared" ca="1" si="227"/>
        <v/>
      </c>
      <c r="AB484" s="344"/>
      <c r="AC484" s="363" t="e">
        <f t="shared" ca="1" si="228"/>
        <v>#N/A</v>
      </c>
      <c r="AD484" s="376" t="e">
        <f t="shared" ca="1" si="229"/>
        <v>#N/A</v>
      </c>
      <c r="AE484" s="377" t="e">
        <f t="shared" ca="1" si="208"/>
        <v>#N/A</v>
      </c>
      <c r="AF484" s="344"/>
      <c r="AG484" s="359">
        <f t="shared" ca="1" si="230"/>
        <v>1.8625468305969468</v>
      </c>
      <c r="AH484" s="357">
        <f t="shared" ca="1" si="231"/>
        <v>-7.9081358987860542</v>
      </c>
    </row>
    <row r="485" spans="1:34">
      <c r="A485" s="402">
        <f t="shared" ca="1" si="209"/>
        <v>1E-4</v>
      </c>
      <c r="B485" s="357">
        <f t="shared" ca="1" si="210"/>
        <v>16.913199999999943</v>
      </c>
      <c r="C485" s="342"/>
      <c r="D485" s="359">
        <f t="shared" ca="1" si="211"/>
        <v>-0.70730425285358134</v>
      </c>
      <c r="E485" s="360">
        <f t="shared" ca="1" si="212"/>
        <v>-1.9335010704306015</v>
      </c>
      <c r="F485" s="357">
        <f t="shared" ca="1" si="213"/>
        <v>2.0588117192839768</v>
      </c>
      <c r="G485" s="359">
        <f t="shared" ca="1" si="214"/>
        <v>5.0116834918202295</v>
      </c>
      <c r="H485" s="360">
        <f t="shared" ca="1" si="215"/>
        <v>-55.810796223653512</v>
      </c>
      <c r="I485" s="357">
        <f t="shared" ca="1" si="216"/>
        <v>56.035363356904902</v>
      </c>
      <c r="J485" s="359">
        <f t="shared" ca="1" si="217"/>
        <v>184.26379383972827</v>
      </c>
      <c r="K485" s="360">
        <f t="shared" ca="1" si="218"/>
        <v>-5.7072582236406477</v>
      </c>
      <c r="L485" s="357">
        <f t="shared" ca="1" si="203"/>
        <v>184.35215896929765</v>
      </c>
      <c r="M485" s="359">
        <f t="shared" ca="1" si="219"/>
        <v>-1.4812387888906526</v>
      </c>
      <c r="N485" s="357">
        <f t="shared" ca="1" si="220"/>
        <v>-84.868731054503925</v>
      </c>
      <c r="O485" s="343"/>
      <c r="P485" s="363">
        <f t="shared" ca="1" si="221"/>
        <v>23</v>
      </c>
      <c r="Q485" s="357">
        <f t="shared" ca="1" si="222"/>
        <v>0</v>
      </c>
      <c r="R485" s="359">
        <f t="shared" ca="1" si="223"/>
        <v>0</v>
      </c>
      <c r="S485" s="360">
        <f t="shared" ca="1" si="224"/>
        <v>0.42898953648292248</v>
      </c>
      <c r="T485" s="357">
        <f t="shared" ca="1" si="204"/>
        <v>4.2083873528974696</v>
      </c>
      <c r="U485" s="364">
        <f t="shared" ca="1" si="205"/>
        <v>0</v>
      </c>
      <c r="V485" s="359">
        <f t="shared" ca="1" si="206"/>
        <v>1.2256993386977226</v>
      </c>
      <c r="W485" s="357">
        <f t="shared" ca="1" si="207"/>
        <v>3.3925564453858268</v>
      </c>
      <c r="X485" s="343"/>
      <c r="Y485" s="367" t="str">
        <f t="shared" ca="1" si="225"/>
        <v/>
      </c>
      <c r="Z485" s="368" t="str">
        <f t="shared" ca="1" si="226"/>
        <v/>
      </c>
      <c r="AA485" s="369" t="str">
        <f t="shared" ca="1" si="227"/>
        <v/>
      </c>
      <c r="AB485" s="344"/>
      <c r="AC485" s="363" t="e">
        <f t="shared" ca="1" si="228"/>
        <v>#N/A</v>
      </c>
      <c r="AD485" s="376" t="e">
        <f t="shared" ca="1" si="229"/>
        <v>#N/A</v>
      </c>
      <c r="AE485" s="377" t="e">
        <f t="shared" ca="1" si="208"/>
        <v>#N/A</v>
      </c>
      <c r="AF485" s="344"/>
      <c r="AG485" s="359">
        <f t="shared" ca="1" si="230"/>
        <v>1.8624912190624672</v>
      </c>
      <c r="AH485" s="357">
        <f t="shared" ca="1" si="231"/>
        <v>-7.9081928841937499</v>
      </c>
    </row>
    <row r="486" spans="1:34">
      <c r="A486" s="402">
        <f t="shared" ca="1" si="209"/>
        <v>1E-4</v>
      </c>
      <c r="B486" s="357">
        <f t="shared" ca="1" si="210"/>
        <v>16.913299999999943</v>
      </c>
      <c r="C486" s="342"/>
      <c r="D486" s="359">
        <f t="shared" ca="1" si="211"/>
        <v>-0.70729701637919717</v>
      </c>
      <c r="E486" s="360">
        <f t="shared" ca="1" si="212"/>
        <v>-1.9334432072244878</v>
      </c>
      <c r="F486" s="357">
        <f t="shared" ca="1" si="213"/>
        <v>2.0587548919046745</v>
      </c>
      <c r="G486" s="359">
        <f t="shared" ca="1" si="214"/>
        <v>5.0116127621185917</v>
      </c>
      <c r="H486" s="360">
        <f t="shared" ca="1" si="215"/>
        <v>-55.810989567974232</v>
      </c>
      <c r="I486" s="357">
        <f t="shared" ca="1" si="216"/>
        <v>56.035549600534466</v>
      </c>
      <c r="J486" s="359">
        <f t="shared" ca="1" si="217"/>
        <v>184.26379383972827</v>
      </c>
      <c r="K486" s="360">
        <f t="shared" ca="1" si="218"/>
        <v>-5.7128393129302291</v>
      </c>
      <c r="L486" s="357">
        <f t="shared" ca="1" si="203"/>
        <v>184.35233183560561</v>
      </c>
      <c r="M486" s="359">
        <f t="shared" ca="1" si="219"/>
        <v>-1.4812403546564958</v>
      </c>
      <c r="N486" s="357">
        <f t="shared" ca="1" si="220"/>
        <v>-84.868820766278446</v>
      </c>
      <c r="O486" s="343"/>
      <c r="P486" s="363">
        <f t="shared" ca="1" si="221"/>
        <v>23</v>
      </c>
      <c r="Q486" s="357">
        <f t="shared" ca="1" si="222"/>
        <v>0</v>
      </c>
      <c r="R486" s="359">
        <f t="shared" ca="1" si="223"/>
        <v>0</v>
      </c>
      <c r="S486" s="360">
        <f t="shared" ca="1" si="224"/>
        <v>0.42898953648292248</v>
      </c>
      <c r="T486" s="357">
        <f t="shared" ca="1" si="204"/>
        <v>4.2083873528974696</v>
      </c>
      <c r="U486" s="364">
        <f t="shared" ca="1" si="205"/>
        <v>0</v>
      </c>
      <c r="V486" s="359">
        <f t="shared" ca="1" si="206"/>
        <v>1.2257000227717147</v>
      </c>
      <c r="W486" s="357">
        <f t="shared" ca="1" si="207"/>
        <v>3.3925808903982153</v>
      </c>
      <c r="X486" s="343"/>
      <c r="Y486" s="367" t="str">
        <f t="shared" ca="1" si="225"/>
        <v/>
      </c>
      <c r="Z486" s="368" t="str">
        <f t="shared" ca="1" si="226"/>
        <v/>
      </c>
      <c r="AA486" s="369" t="str">
        <f t="shared" ca="1" si="227"/>
        <v/>
      </c>
      <c r="AB486" s="344"/>
      <c r="AC486" s="363" t="e">
        <f t="shared" ca="1" si="228"/>
        <v>#N/A</v>
      </c>
      <c r="AD486" s="376" t="e">
        <f t="shared" ca="1" si="229"/>
        <v>#N/A</v>
      </c>
      <c r="AE486" s="377" t="e">
        <f t="shared" ca="1" si="208"/>
        <v>#N/A</v>
      </c>
      <c r="AF486" s="344"/>
      <c r="AG486" s="359">
        <f t="shared" ca="1" si="230"/>
        <v>1.8624356087940264</v>
      </c>
      <c r="AH486" s="357">
        <f t="shared" ca="1" si="231"/>
        <v>-7.9082498682829296</v>
      </c>
    </row>
    <row r="487" spans="1:34">
      <c r="A487" s="402">
        <f t="shared" ca="1" si="209"/>
        <v>1E-4</v>
      </c>
      <c r="B487" s="357">
        <f t="shared" ca="1" si="210"/>
        <v>16.913399999999942</v>
      </c>
      <c r="C487" s="342"/>
      <c r="D487" s="359">
        <f t="shared" ca="1" si="211"/>
        <v>-0.70728977986346331</v>
      </c>
      <c r="E487" s="360">
        <f t="shared" ca="1" si="212"/>
        <v>-1.9333853453579177</v>
      </c>
      <c r="F487" s="357">
        <f t="shared" ca="1" si="213"/>
        <v>2.0586980658523144</v>
      </c>
      <c r="G487" s="359">
        <f t="shared" ca="1" si="214"/>
        <v>5.0115420331406053</v>
      </c>
      <c r="H487" s="360">
        <f t="shared" ca="1" si="215"/>
        <v>-55.811182906508769</v>
      </c>
      <c r="I487" s="357">
        <f t="shared" ca="1" si="216"/>
        <v>56.035735838603138</v>
      </c>
      <c r="J487" s="359">
        <f t="shared" ca="1" si="217"/>
        <v>184.26379383972827</v>
      </c>
      <c r="K487" s="360">
        <f t="shared" ca="1" si="218"/>
        <v>-5.7184204215539536</v>
      </c>
      <c r="L487" s="357">
        <f t="shared" ca="1" si="203"/>
        <v>184.35250487131313</v>
      </c>
      <c r="M487" s="359">
        <f t="shared" ca="1" si="219"/>
        <v>-1.4812419203898335</v>
      </c>
      <c r="N487" s="357">
        <f t="shared" ca="1" si="220"/>
        <v>-84.868910476190536</v>
      </c>
      <c r="O487" s="343"/>
      <c r="P487" s="363">
        <f t="shared" ca="1" si="221"/>
        <v>23</v>
      </c>
      <c r="Q487" s="357">
        <f t="shared" ca="1" si="222"/>
        <v>0</v>
      </c>
      <c r="R487" s="359">
        <f t="shared" ca="1" si="223"/>
        <v>0</v>
      </c>
      <c r="S487" s="360">
        <f t="shared" ca="1" si="224"/>
        <v>0.42898953648292248</v>
      </c>
      <c r="T487" s="357">
        <f t="shared" ca="1" si="204"/>
        <v>4.2083873528974696</v>
      </c>
      <c r="U487" s="364">
        <f t="shared" ca="1" si="205"/>
        <v>0</v>
      </c>
      <c r="V487" s="359">
        <f t="shared" ca="1" si="206"/>
        <v>1.2257007068484582</v>
      </c>
      <c r="W487" s="357">
        <f t="shared" ca="1" si="207"/>
        <v>3.3926053348449923</v>
      </c>
      <c r="X487" s="343"/>
      <c r="Y487" s="367" t="str">
        <f t="shared" ca="1" si="225"/>
        <v/>
      </c>
      <c r="Z487" s="368" t="str">
        <f t="shared" ca="1" si="226"/>
        <v/>
      </c>
      <c r="AA487" s="369" t="str">
        <f t="shared" ca="1" si="227"/>
        <v/>
      </c>
      <c r="AB487" s="344"/>
      <c r="AC487" s="363" t="e">
        <f t="shared" ca="1" si="228"/>
        <v>#N/A</v>
      </c>
      <c r="AD487" s="376" t="e">
        <f t="shared" ca="1" si="229"/>
        <v>#N/A</v>
      </c>
      <c r="AE487" s="377" t="e">
        <f t="shared" ca="1" si="208"/>
        <v>#N/A</v>
      </c>
      <c r="AF487" s="344"/>
      <c r="AG487" s="359">
        <f t="shared" ca="1" si="230"/>
        <v>1.8623799997915933</v>
      </c>
      <c r="AH487" s="357">
        <f t="shared" ca="1" si="231"/>
        <v>-7.9083068510536263</v>
      </c>
    </row>
    <row r="488" spans="1:34">
      <c r="A488" s="402">
        <f t="shared" ca="1" si="209"/>
        <v>1E-4</v>
      </c>
      <c r="B488" s="357">
        <f t="shared" ca="1" si="210"/>
        <v>16.913499999999942</v>
      </c>
      <c r="C488" s="342"/>
      <c r="D488" s="359">
        <f t="shared" ca="1" si="211"/>
        <v>-0.70728254330638529</v>
      </c>
      <c r="E488" s="360">
        <f t="shared" ca="1" si="212"/>
        <v>-1.9333274848308806</v>
      </c>
      <c r="F488" s="357">
        <f t="shared" ca="1" si="213"/>
        <v>2.0586412411268862</v>
      </c>
      <c r="G488" s="359">
        <f t="shared" ca="1" si="214"/>
        <v>5.0114713048862747</v>
      </c>
      <c r="H488" s="360">
        <f t="shared" ca="1" si="215"/>
        <v>-55.81137623925725</v>
      </c>
      <c r="I488" s="357">
        <f t="shared" ca="1" si="216"/>
        <v>56.035922071111024</v>
      </c>
      <c r="J488" s="359">
        <f t="shared" ca="1" si="217"/>
        <v>184.26379383972827</v>
      </c>
      <c r="K488" s="360">
        <f t="shared" ca="1" si="218"/>
        <v>-5.7240015495112422</v>
      </c>
      <c r="L488" s="357">
        <f t="shared" ca="1" si="203"/>
        <v>184.35267807642148</v>
      </c>
      <c r="M488" s="359">
        <f t="shared" ca="1" si="219"/>
        <v>-1.4812434860906667</v>
      </c>
      <c r="N488" s="357">
        <f t="shared" ca="1" si="220"/>
        <v>-84.869000184240264</v>
      </c>
      <c r="O488" s="343"/>
      <c r="P488" s="363">
        <f t="shared" ca="1" si="221"/>
        <v>23</v>
      </c>
      <c r="Q488" s="357">
        <f t="shared" ca="1" si="222"/>
        <v>0</v>
      </c>
      <c r="R488" s="359">
        <f t="shared" ca="1" si="223"/>
        <v>0</v>
      </c>
      <c r="S488" s="360">
        <f t="shared" ca="1" si="224"/>
        <v>0.42898953648292248</v>
      </c>
      <c r="T488" s="357">
        <f t="shared" ca="1" si="204"/>
        <v>4.2083873528974696</v>
      </c>
      <c r="U488" s="364">
        <f t="shared" ca="1" si="205"/>
        <v>0</v>
      </c>
      <c r="V488" s="359">
        <f t="shared" ca="1" si="206"/>
        <v>1.2257013909279533</v>
      </c>
      <c r="W488" s="357">
        <f t="shared" ca="1" si="207"/>
        <v>3.3926297787261648</v>
      </c>
      <c r="X488" s="343"/>
      <c r="Y488" s="367" t="str">
        <f t="shared" ca="1" si="225"/>
        <v/>
      </c>
      <c r="Z488" s="368" t="str">
        <f t="shared" ca="1" si="226"/>
        <v/>
      </c>
      <c r="AA488" s="369" t="str">
        <f t="shared" ca="1" si="227"/>
        <v/>
      </c>
      <c r="AB488" s="344"/>
      <c r="AC488" s="363" t="e">
        <f t="shared" ca="1" si="228"/>
        <v>#N/A</v>
      </c>
      <c r="AD488" s="376" t="e">
        <f t="shared" ca="1" si="229"/>
        <v>#N/A</v>
      </c>
      <c r="AE488" s="377" t="e">
        <f t="shared" ca="1" si="208"/>
        <v>#N/A</v>
      </c>
      <c r="AF488" s="344"/>
      <c r="AG488" s="359">
        <f t="shared" ca="1" si="230"/>
        <v>1.8623243920551618</v>
      </c>
      <c r="AH488" s="357">
        <f t="shared" ca="1" si="231"/>
        <v>-7.9083638325058478</v>
      </c>
    </row>
    <row r="489" spans="1:34">
      <c r="A489" s="402">
        <f t="shared" ca="1" si="209"/>
        <v>1E-4</v>
      </c>
      <c r="B489" s="357">
        <f t="shared" ca="1" si="210"/>
        <v>16.913599999999942</v>
      </c>
      <c r="C489" s="342"/>
      <c r="D489" s="359">
        <f t="shared" ca="1" si="211"/>
        <v>-0.7072753067079679</v>
      </c>
      <c r="E489" s="360">
        <f t="shared" ca="1" si="212"/>
        <v>-1.9332696256433577</v>
      </c>
      <c r="F489" s="357">
        <f t="shared" ca="1" si="213"/>
        <v>2.0585844177283716</v>
      </c>
      <c r="G489" s="359">
        <f t="shared" ca="1" si="214"/>
        <v>5.0114005773556043</v>
      </c>
      <c r="H489" s="360">
        <f t="shared" ca="1" si="215"/>
        <v>-55.811569566219816</v>
      </c>
      <c r="I489" s="357">
        <f t="shared" ca="1" si="216"/>
        <v>56.036108298058259</v>
      </c>
      <c r="J489" s="359">
        <f t="shared" ca="1" si="217"/>
        <v>184.26379383972827</v>
      </c>
      <c r="K489" s="360">
        <f t="shared" ca="1" si="218"/>
        <v>-5.7295826968015158</v>
      </c>
      <c r="L489" s="357">
        <f t="shared" ca="1" si="203"/>
        <v>184.35285145093192</v>
      </c>
      <c r="M489" s="359">
        <f t="shared" ca="1" si="219"/>
        <v>-1.4812450517589963</v>
      </c>
      <c r="N489" s="357">
        <f t="shared" ca="1" si="220"/>
        <v>-84.869089890427674</v>
      </c>
      <c r="O489" s="343"/>
      <c r="P489" s="363">
        <f t="shared" ca="1" si="221"/>
        <v>23</v>
      </c>
      <c r="Q489" s="357">
        <f t="shared" ca="1" si="222"/>
        <v>0</v>
      </c>
      <c r="R489" s="359">
        <f t="shared" ca="1" si="223"/>
        <v>0</v>
      </c>
      <c r="S489" s="360">
        <f t="shared" ca="1" si="224"/>
        <v>0.42898953648292248</v>
      </c>
      <c r="T489" s="357">
        <f t="shared" ca="1" si="204"/>
        <v>4.2083873528974696</v>
      </c>
      <c r="U489" s="364">
        <f t="shared" ca="1" si="205"/>
        <v>0</v>
      </c>
      <c r="V489" s="359">
        <f t="shared" ca="1" si="206"/>
        <v>1.2257020750101997</v>
      </c>
      <c r="W489" s="357">
        <f t="shared" ca="1" si="207"/>
        <v>3.3926542220417399</v>
      </c>
      <c r="X489" s="343"/>
      <c r="Y489" s="367" t="str">
        <f t="shared" ca="1" si="225"/>
        <v/>
      </c>
      <c r="Z489" s="368" t="str">
        <f t="shared" ca="1" si="226"/>
        <v/>
      </c>
      <c r="AA489" s="369" t="str">
        <f t="shared" ca="1" si="227"/>
        <v/>
      </c>
      <c r="AB489" s="344"/>
      <c r="AC489" s="363" t="e">
        <f t="shared" ca="1" si="228"/>
        <v>#N/A</v>
      </c>
      <c r="AD489" s="376" t="e">
        <f t="shared" ca="1" si="229"/>
        <v>#N/A</v>
      </c>
      <c r="AE489" s="377" t="e">
        <f t="shared" ca="1" si="208"/>
        <v>#N/A</v>
      </c>
      <c r="AF489" s="344"/>
      <c r="AG489" s="359">
        <f t="shared" ca="1" si="230"/>
        <v>1.8622687855847166</v>
      </c>
      <c r="AH489" s="357">
        <f t="shared" ca="1" si="231"/>
        <v>-7.9084208126396129</v>
      </c>
    </row>
    <row r="490" spans="1:34">
      <c r="A490" s="402">
        <f t="shared" ca="1" si="209"/>
        <v>1E-4</v>
      </c>
      <c r="B490" s="357">
        <f t="shared" ca="1" si="210"/>
        <v>16.913699999999942</v>
      </c>
      <c r="C490" s="342"/>
      <c r="D490" s="359">
        <f t="shared" ca="1" si="211"/>
        <v>-0.70726807006821713</v>
      </c>
      <c r="E490" s="360">
        <f t="shared" ca="1" si="212"/>
        <v>-1.9332117677953322</v>
      </c>
      <c r="F490" s="357">
        <f t="shared" ca="1" si="213"/>
        <v>2.0585275956567535</v>
      </c>
      <c r="G490" s="359">
        <f t="shared" ca="1" si="214"/>
        <v>5.0113298505485977</v>
      </c>
      <c r="H490" s="360">
        <f t="shared" ca="1" si="215"/>
        <v>-55.811762887396597</v>
      </c>
      <c r="I490" s="357">
        <f t="shared" ca="1" si="216"/>
        <v>56.036294519444979</v>
      </c>
      <c r="J490" s="359">
        <f t="shared" ca="1" si="217"/>
        <v>184.26379383972827</v>
      </c>
      <c r="K490" s="360">
        <f t="shared" ca="1" si="218"/>
        <v>-5.7351638634241962</v>
      </c>
      <c r="L490" s="357">
        <f t="shared" ca="1" si="203"/>
        <v>184.35302499484573</v>
      </c>
      <c r="M490" s="359">
        <f t="shared" ca="1" si="219"/>
        <v>-1.4812466173948236</v>
      </c>
      <c r="N490" s="357">
        <f t="shared" ca="1" si="220"/>
        <v>-84.869179594752822</v>
      </c>
      <c r="O490" s="343"/>
      <c r="P490" s="363">
        <f t="shared" ca="1" si="221"/>
        <v>23</v>
      </c>
      <c r="Q490" s="357">
        <f t="shared" ca="1" si="222"/>
        <v>0</v>
      </c>
      <c r="R490" s="359">
        <f t="shared" ca="1" si="223"/>
        <v>0</v>
      </c>
      <c r="S490" s="360">
        <f t="shared" ca="1" si="224"/>
        <v>0.42898953648292248</v>
      </c>
      <c r="T490" s="357">
        <f t="shared" ca="1" si="204"/>
        <v>4.2083873528974696</v>
      </c>
      <c r="U490" s="364">
        <f t="shared" ca="1" si="205"/>
        <v>0</v>
      </c>
      <c r="V490" s="359">
        <f t="shared" ca="1" si="206"/>
        <v>1.2257027590951979</v>
      </c>
      <c r="W490" s="357">
        <f t="shared" ca="1" si="207"/>
        <v>3.3926786647917293</v>
      </c>
      <c r="X490" s="343"/>
      <c r="Y490" s="367" t="str">
        <f t="shared" ca="1" si="225"/>
        <v/>
      </c>
      <c r="Z490" s="368" t="str">
        <f t="shared" ca="1" si="226"/>
        <v/>
      </c>
      <c r="AA490" s="369" t="str">
        <f t="shared" ca="1" si="227"/>
        <v/>
      </c>
      <c r="AB490" s="344"/>
      <c r="AC490" s="363" t="e">
        <f t="shared" ca="1" si="228"/>
        <v>#N/A</v>
      </c>
      <c r="AD490" s="376" t="e">
        <f t="shared" ca="1" si="229"/>
        <v>#N/A</v>
      </c>
      <c r="AE490" s="377" t="e">
        <f t="shared" ca="1" si="208"/>
        <v>#N/A</v>
      </c>
      <c r="AF490" s="344"/>
      <c r="AG490" s="359">
        <f t="shared" ca="1" si="230"/>
        <v>1.8622131803802446</v>
      </c>
      <c r="AH490" s="357">
        <f t="shared" ca="1" si="231"/>
        <v>-7.9084777914549367</v>
      </c>
    </row>
    <row r="491" spans="1:34">
      <c r="A491" s="402">
        <f t="shared" ca="1" si="209"/>
        <v>1E-4</v>
      </c>
      <c r="B491" s="357">
        <f t="shared" ca="1" si="210"/>
        <v>16.913799999999942</v>
      </c>
      <c r="C491" s="342"/>
      <c r="D491" s="359">
        <f t="shared" ca="1" si="211"/>
        <v>-0.70726083338713874</v>
      </c>
      <c r="E491" s="360">
        <f t="shared" ca="1" si="212"/>
        <v>-1.9331539112867793</v>
      </c>
      <c r="F491" s="357">
        <f t="shared" ca="1" si="213"/>
        <v>2.0584707749120081</v>
      </c>
      <c r="G491" s="359">
        <f t="shared" ca="1" si="214"/>
        <v>5.0112591244652593</v>
      </c>
      <c r="H491" s="360">
        <f t="shared" ca="1" si="215"/>
        <v>-55.811956202787727</v>
      </c>
      <c r="I491" s="357">
        <f t="shared" ca="1" si="216"/>
        <v>56.036480735271304</v>
      </c>
      <c r="J491" s="359">
        <f t="shared" ca="1" si="217"/>
        <v>184.26379383972827</v>
      </c>
      <c r="K491" s="360">
        <f t="shared" ca="1" si="218"/>
        <v>-5.7407450493787051</v>
      </c>
      <c r="L491" s="357">
        <f t="shared" ca="1" si="203"/>
        <v>184.35319870816411</v>
      </c>
      <c r="M491" s="359">
        <f t="shared" ca="1" si="219"/>
        <v>-1.4812481829981488</v>
      </c>
      <c r="N491" s="357">
        <f t="shared" ca="1" si="220"/>
        <v>-84.869269297215752</v>
      </c>
      <c r="O491" s="343"/>
      <c r="P491" s="363">
        <f t="shared" ca="1" si="221"/>
        <v>23</v>
      </c>
      <c r="Q491" s="357">
        <f t="shared" ca="1" si="222"/>
        <v>0</v>
      </c>
      <c r="R491" s="359">
        <f t="shared" ca="1" si="223"/>
        <v>0</v>
      </c>
      <c r="S491" s="360">
        <f t="shared" ca="1" si="224"/>
        <v>0.42898953648292248</v>
      </c>
      <c r="T491" s="357">
        <f t="shared" ca="1" si="204"/>
        <v>4.2083873528974696</v>
      </c>
      <c r="U491" s="364">
        <f t="shared" ca="1" si="205"/>
        <v>0</v>
      </c>
      <c r="V491" s="359">
        <f t="shared" ca="1" si="206"/>
        <v>1.2257034431829474</v>
      </c>
      <c r="W491" s="357">
        <f t="shared" ca="1" si="207"/>
        <v>3.3927031069761378</v>
      </c>
      <c r="X491" s="343"/>
      <c r="Y491" s="367" t="str">
        <f t="shared" ca="1" si="225"/>
        <v/>
      </c>
      <c r="Z491" s="368" t="str">
        <f t="shared" ca="1" si="226"/>
        <v/>
      </c>
      <c r="AA491" s="369" t="str">
        <f t="shared" ca="1" si="227"/>
        <v/>
      </c>
      <c r="AB491" s="344"/>
      <c r="AC491" s="363" t="e">
        <f t="shared" ca="1" si="228"/>
        <v>#N/A</v>
      </c>
      <c r="AD491" s="376" t="e">
        <f t="shared" ca="1" si="229"/>
        <v>#N/A</v>
      </c>
      <c r="AE491" s="377" t="e">
        <f t="shared" ca="1" si="208"/>
        <v>#N/A</v>
      </c>
      <c r="AF491" s="344"/>
      <c r="AG491" s="359">
        <f t="shared" ca="1" si="230"/>
        <v>1.8621575764417218</v>
      </c>
      <c r="AH491" s="357">
        <f t="shared" ca="1" si="231"/>
        <v>-7.9085347689518466</v>
      </c>
    </row>
    <row r="492" spans="1:34">
      <c r="A492" s="402">
        <f t="shared" ca="1" si="209"/>
        <v>1E-4</v>
      </c>
      <c r="B492" s="357">
        <f t="shared" ca="1" si="210"/>
        <v>16.913899999999941</v>
      </c>
      <c r="C492" s="342"/>
      <c r="D492" s="359">
        <f t="shared" ca="1" si="211"/>
        <v>-0.70725359666474186</v>
      </c>
      <c r="E492" s="360">
        <f t="shared" ca="1" si="212"/>
        <v>-1.9330960561176855</v>
      </c>
      <c r="F492" s="357">
        <f t="shared" ca="1" si="213"/>
        <v>2.0584139554941236</v>
      </c>
      <c r="G492" s="359">
        <f t="shared" ca="1" si="214"/>
        <v>5.0111883991055928</v>
      </c>
      <c r="H492" s="360">
        <f t="shared" ca="1" si="215"/>
        <v>-55.81214951239334</v>
      </c>
      <c r="I492" s="357">
        <f t="shared" ca="1" si="216"/>
        <v>56.036666945537355</v>
      </c>
      <c r="J492" s="359">
        <f t="shared" ca="1" si="217"/>
        <v>184.26379383972827</v>
      </c>
      <c r="K492" s="360">
        <f t="shared" ca="1" si="218"/>
        <v>-5.7463262546644645</v>
      </c>
      <c r="L492" s="357">
        <f t="shared" ca="1" si="203"/>
        <v>184.35337259088843</v>
      </c>
      <c r="M492" s="359">
        <f t="shared" ca="1" si="219"/>
        <v>-1.4812497485689735</v>
      </c>
      <c r="N492" s="357">
        <f t="shared" ca="1" si="220"/>
        <v>-84.869358997816533</v>
      </c>
      <c r="O492" s="343"/>
      <c r="P492" s="363">
        <f t="shared" ca="1" si="221"/>
        <v>23</v>
      </c>
      <c r="Q492" s="357">
        <f t="shared" ca="1" si="222"/>
        <v>0</v>
      </c>
      <c r="R492" s="359">
        <f t="shared" ca="1" si="223"/>
        <v>0</v>
      </c>
      <c r="S492" s="360">
        <f t="shared" ca="1" si="224"/>
        <v>0.42898953648292248</v>
      </c>
      <c r="T492" s="357">
        <f t="shared" ca="1" si="204"/>
        <v>4.2083873528974696</v>
      </c>
      <c r="U492" s="364">
        <f t="shared" ca="1" si="205"/>
        <v>0</v>
      </c>
      <c r="V492" s="359">
        <f t="shared" ca="1" si="206"/>
        <v>1.2257041272734486</v>
      </c>
      <c r="W492" s="357">
        <f t="shared" ca="1" si="207"/>
        <v>3.3927275485949724</v>
      </c>
      <c r="X492" s="343"/>
      <c r="Y492" s="367" t="str">
        <f t="shared" ca="1" si="225"/>
        <v/>
      </c>
      <c r="Z492" s="368" t="str">
        <f t="shared" ca="1" si="226"/>
        <v/>
      </c>
      <c r="AA492" s="369" t="str">
        <f t="shared" ca="1" si="227"/>
        <v/>
      </c>
      <c r="AB492" s="344"/>
      <c r="AC492" s="363" t="e">
        <f t="shared" ca="1" si="228"/>
        <v>#N/A</v>
      </c>
      <c r="AD492" s="376" t="e">
        <f t="shared" ca="1" si="229"/>
        <v>#N/A</v>
      </c>
      <c r="AE492" s="377" t="e">
        <f t="shared" ca="1" si="208"/>
        <v>#N/A</v>
      </c>
      <c r="AF492" s="344"/>
      <c r="AG492" s="359">
        <f t="shared" ca="1" si="230"/>
        <v>1.8621019737691364</v>
      </c>
      <c r="AH492" s="357">
        <f t="shared" ca="1" si="231"/>
        <v>-7.9085917451303542</v>
      </c>
    </row>
    <row r="493" spans="1:34">
      <c r="A493" s="402">
        <f t="shared" ca="1" si="209"/>
        <v>1E-4</v>
      </c>
      <c r="B493" s="357">
        <f t="shared" ca="1" si="210"/>
        <v>16.913999999999941</v>
      </c>
      <c r="C493" s="342"/>
      <c r="D493" s="359">
        <f t="shared" ca="1" si="211"/>
        <v>-0.70724635990102769</v>
      </c>
      <c r="E493" s="360">
        <f t="shared" ca="1" si="212"/>
        <v>-1.9330382022880341</v>
      </c>
      <c r="F493" s="357">
        <f t="shared" ca="1" si="213"/>
        <v>2.0583571374030818</v>
      </c>
      <c r="G493" s="359">
        <f t="shared" ca="1" si="214"/>
        <v>5.0111176744696024</v>
      </c>
      <c r="H493" s="360">
        <f t="shared" ca="1" si="215"/>
        <v>-55.812342816213565</v>
      </c>
      <c r="I493" s="357">
        <f t="shared" ca="1" si="216"/>
        <v>56.03685315024326</v>
      </c>
      <c r="J493" s="359">
        <f t="shared" ca="1" si="217"/>
        <v>184.26379383972827</v>
      </c>
      <c r="K493" s="360">
        <f t="shared" ca="1" si="218"/>
        <v>-5.7519074792808951</v>
      </c>
      <c r="L493" s="357">
        <f t="shared" ca="1" si="203"/>
        <v>184.35354664301983</v>
      </c>
      <c r="M493" s="359">
        <f t="shared" ca="1" si="219"/>
        <v>-1.4812513141072983</v>
      </c>
      <c r="N493" s="357">
        <f t="shared" ca="1" si="220"/>
        <v>-84.86944869655521</v>
      </c>
      <c r="O493" s="343"/>
      <c r="P493" s="363">
        <f t="shared" ca="1" si="221"/>
        <v>23</v>
      </c>
      <c r="Q493" s="357">
        <f t="shared" ca="1" si="222"/>
        <v>0</v>
      </c>
      <c r="R493" s="359">
        <f t="shared" ca="1" si="223"/>
        <v>0</v>
      </c>
      <c r="S493" s="360">
        <f t="shared" ca="1" si="224"/>
        <v>0.42898953648292248</v>
      </c>
      <c r="T493" s="357">
        <f t="shared" ca="1" si="204"/>
        <v>4.2083873528974696</v>
      </c>
      <c r="U493" s="364">
        <f t="shared" ca="1" si="205"/>
        <v>0</v>
      </c>
      <c r="V493" s="359">
        <f t="shared" ca="1" si="206"/>
        <v>1.2257048113667004</v>
      </c>
      <c r="W493" s="357">
        <f t="shared" ca="1" si="207"/>
        <v>3.3927519896482408</v>
      </c>
      <c r="X493" s="343"/>
      <c r="Y493" s="367" t="str">
        <f t="shared" ca="1" si="225"/>
        <v/>
      </c>
      <c r="Z493" s="368" t="str">
        <f t="shared" ca="1" si="226"/>
        <v/>
      </c>
      <c r="AA493" s="369" t="str">
        <f t="shared" ca="1" si="227"/>
        <v/>
      </c>
      <c r="AB493" s="344"/>
      <c r="AC493" s="363" t="e">
        <f t="shared" ca="1" si="228"/>
        <v>#N/A</v>
      </c>
      <c r="AD493" s="376" t="e">
        <f t="shared" ca="1" si="229"/>
        <v>#N/A</v>
      </c>
      <c r="AE493" s="377" t="e">
        <f t="shared" ca="1" si="208"/>
        <v>#N/A</v>
      </c>
      <c r="AF493" s="344"/>
      <c r="AG493" s="359">
        <f t="shared" ca="1" si="230"/>
        <v>1.8620463723624745</v>
      </c>
      <c r="AH493" s="357">
        <f t="shared" ca="1" si="231"/>
        <v>-7.9086487199904756</v>
      </c>
    </row>
    <row r="494" spans="1:34">
      <c r="A494" s="402">
        <f t="shared" ca="1" si="209"/>
        <v>1E-4</v>
      </c>
      <c r="B494" s="357">
        <f t="shared" ca="1" si="210"/>
        <v>16.914099999999941</v>
      </c>
      <c r="C494" s="342"/>
      <c r="D494" s="359">
        <f t="shared" ca="1" si="211"/>
        <v>-0.70723912309600578</v>
      </c>
      <c r="E494" s="360">
        <f t="shared" ca="1" si="212"/>
        <v>-1.9329803497978073</v>
      </c>
      <c r="F494" s="357">
        <f t="shared" ca="1" si="213"/>
        <v>2.0583003206388666</v>
      </c>
      <c r="G494" s="359">
        <f t="shared" ca="1" si="214"/>
        <v>5.0110469505572928</v>
      </c>
      <c r="H494" s="360">
        <f t="shared" ca="1" si="215"/>
        <v>-55.812536114248545</v>
      </c>
      <c r="I494" s="357">
        <f t="shared" ca="1" si="216"/>
        <v>56.037039349389147</v>
      </c>
      <c r="J494" s="359">
        <f t="shared" ca="1" si="217"/>
        <v>184.26379383972827</v>
      </c>
      <c r="K494" s="360">
        <f t="shared" ca="1" si="218"/>
        <v>-5.7574887232274179</v>
      </c>
      <c r="L494" s="357">
        <f t="shared" ca="1" si="203"/>
        <v>184.35372086455965</v>
      </c>
      <c r="M494" s="359">
        <f t="shared" ca="1" si="219"/>
        <v>-1.4812528796131241</v>
      </c>
      <c r="N494" s="357">
        <f t="shared" ca="1" si="220"/>
        <v>-84.869538393431839</v>
      </c>
      <c r="O494" s="343"/>
      <c r="P494" s="363">
        <f t="shared" ca="1" si="221"/>
        <v>23</v>
      </c>
      <c r="Q494" s="357">
        <f t="shared" ca="1" si="222"/>
        <v>0</v>
      </c>
      <c r="R494" s="359">
        <f t="shared" ca="1" si="223"/>
        <v>0</v>
      </c>
      <c r="S494" s="360">
        <f t="shared" ca="1" si="224"/>
        <v>0.42898953648292248</v>
      </c>
      <c r="T494" s="357">
        <f t="shared" ca="1" si="204"/>
        <v>4.2083873528974696</v>
      </c>
      <c r="U494" s="364">
        <f t="shared" ca="1" si="205"/>
        <v>0</v>
      </c>
      <c r="V494" s="359">
        <f t="shared" ca="1" si="206"/>
        <v>1.2257054954627038</v>
      </c>
      <c r="W494" s="357">
        <f t="shared" ca="1" si="207"/>
        <v>3.3927764301359509</v>
      </c>
      <c r="X494" s="343"/>
      <c r="Y494" s="367" t="str">
        <f t="shared" ca="1" si="225"/>
        <v/>
      </c>
      <c r="Z494" s="368" t="str">
        <f t="shared" ca="1" si="226"/>
        <v/>
      </c>
      <c r="AA494" s="369" t="str">
        <f t="shared" ca="1" si="227"/>
        <v/>
      </c>
      <c r="AB494" s="344"/>
      <c r="AC494" s="363" t="e">
        <f t="shared" ca="1" si="228"/>
        <v>#N/A</v>
      </c>
      <c r="AD494" s="376" t="e">
        <f t="shared" ca="1" si="229"/>
        <v>#N/A</v>
      </c>
      <c r="AE494" s="377" t="e">
        <f t="shared" ca="1" si="208"/>
        <v>#N/A</v>
      </c>
      <c r="AF494" s="344"/>
      <c r="AG494" s="359">
        <f t="shared" ca="1" si="230"/>
        <v>1.8619907722217253</v>
      </c>
      <c r="AH494" s="357">
        <f t="shared" ca="1" si="231"/>
        <v>-7.9087056935322284</v>
      </c>
    </row>
    <row r="495" spans="1:34">
      <c r="A495" s="402">
        <f t="shared" ca="1" si="209"/>
        <v>1E-4</v>
      </c>
      <c r="B495" s="357">
        <f t="shared" ca="1" si="210"/>
        <v>16.914199999999941</v>
      </c>
      <c r="C495" s="342"/>
      <c r="D495" s="359">
        <f t="shared" ca="1" si="211"/>
        <v>-0.70723188624968136</v>
      </c>
      <c r="E495" s="360">
        <f t="shared" ca="1" si="212"/>
        <v>-1.9329224986469864</v>
      </c>
      <c r="F495" s="357">
        <f t="shared" ca="1" si="213"/>
        <v>2.0582435052014598</v>
      </c>
      <c r="G495" s="359">
        <f t="shared" ca="1" si="214"/>
        <v>5.0109762273686682</v>
      </c>
      <c r="H495" s="360">
        <f t="shared" ca="1" si="215"/>
        <v>-55.812729406498413</v>
      </c>
      <c r="I495" s="357">
        <f t="shared" ca="1" si="216"/>
        <v>56.03722554297515</v>
      </c>
      <c r="J495" s="359">
        <f t="shared" ca="1" si="217"/>
        <v>184.26379383972827</v>
      </c>
      <c r="K495" s="360">
        <f t="shared" ca="1" si="218"/>
        <v>-5.7630699865034556</v>
      </c>
      <c r="L495" s="357">
        <f t="shared" ca="1" si="203"/>
        <v>184.35389525550912</v>
      </c>
      <c r="M495" s="359">
        <f t="shared" ca="1" si="219"/>
        <v>-1.481254445086452</v>
      </c>
      <c r="N495" s="357">
        <f t="shared" ca="1" si="220"/>
        <v>-84.869628088446461</v>
      </c>
      <c r="O495" s="343"/>
      <c r="P495" s="363">
        <f t="shared" ca="1" si="221"/>
        <v>23</v>
      </c>
      <c r="Q495" s="357">
        <f t="shared" ca="1" si="222"/>
        <v>0</v>
      </c>
      <c r="R495" s="359">
        <f t="shared" ca="1" si="223"/>
        <v>0</v>
      </c>
      <c r="S495" s="360">
        <f t="shared" ca="1" si="224"/>
        <v>0.42898953648292248</v>
      </c>
      <c r="T495" s="357">
        <f t="shared" ca="1" si="204"/>
        <v>4.2083873528974696</v>
      </c>
      <c r="U495" s="364">
        <f t="shared" ca="1" si="205"/>
        <v>0</v>
      </c>
      <c r="V495" s="359">
        <f t="shared" ca="1" si="206"/>
        <v>1.2257061795614586</v>
      </c>
      <c r="W495" s="357">
        <f t="shared" ca="1" si="207"/>
        <v>3.3928008700581116</v>
      </c>
      <c r="X495" s="343"/>
      <c r="Y495" s="367" t="str">
        <f t="shared" ca="1" si="225"/>
        <v/>
      </c>
      <c r="Z495" s="368" t="str">
        <f t="shared" ca="1" si="226"/>
        <v/>
      </c>
      <c r="AA495" s="369" t="str">
        <f t="shared" ca="1" si="227"/>
        <v/>
      </c>
      <c r="AB495" s="344"/>
      <c r="AC495" s="363" t="e">
        <f t="shared" ca="1" si="228"/>
        <v>#N/A</v>
      </c>
      <c r="AD495" s="376" t="e">
        <f t="shared" ca="1" si="229"/>
        <v>#N/A</v>
      </c>
      <c r="AE495" s="377" t="e">
        <f t="shared" ca="1" si="208"/>
        <v>#N/A</v>
      </c>
      <c r="AF495" s="344"/>
      <c r="AG495" s="359">
        <f t="shared" ca="1" si="230"/>
        <v>1.8619351733468665</v>
      </c>
      <c r="AH495" s="357">
        <f t="shared" ca="1" si="231"/>
        <v>-7.9087626657556314</v>
      </c>
    </row>
    <row r="496" spans="1:34">
      <c r="A496" s="402">
        <f t="shared" ca="1" si="209"/>
        <v>1E-4</v>
      </c>
      <c r="B496" s="357">
        <f t="shared" ca="1" si="210"/>
        <v>16.91429999999994</v>
      </c>
      <c r="C496" s="342"/>
      <c r="D496" s="359">
        <f t="shared" ca="1" si="211"/>
        <v>-0.70722464936206053</v>
      </c>
      <c r="E496" s="360">
        <f t="shared" ca="1" si="212"/>
        <v>-1.9328646488355501</v>
      </c>
      <c r="F496" s="357">
        <f t="shared" ca="1" si="213"/>
        <v>2.0581866910908406</v>
      </c>
      <c r="G496" s="359">
        <f t="shared" ca="1" si="214"/>
        <v>5.0109055049037323</v>
      </c>
      <c r="H496" s="360">
        <f t="shared" ca="1" si="215"/>
        <v>-55.812922692963298</v>
      </c>
      <c r="I496" s="357">
        <f t="shared" ca="1" si="216"/>
        <v>56.037411731001392</v>
      </c>
      <c r="J496" s="359">
        <f t="shared" ca="1" si="217"/>
        <v>184.26379383972827</v>
      </c>
      <c r="K496" s="360">
        <f t="shared" ca="1" si="218"/>
        <v>-5.7686512691084291</v>
      </c>
      <c r="L496" s="357">
        <f t="shared" ca="1" si="203"/>
        <v>184.35406981586945</v>
      </c>
      <c r="M496" s="359">
        <f t="shared" ca="1" si="219"/>
        <v>-1.481256010527283</v>
      </c>
      <c r="N496" s="357">
        <f t="shared" ca="1" si="220"/>
        <v>-84.869717781599149</v>
      </c>
      <c r="O496" s="343"/>
      <c r="P496" s="363">
        <f t="shared" ca="1" si="221"/>
        <v>23</v>
      </c>
      <c r="Q496" s="357">
        <f t="shared" ca="1" si="222"/>
        <v>0</v>
      </c>
      <c r="R496" s="359">
        <f t="shared" ca="1" si="223"/>
        <v>0</v>
      </c>
      <c r="S496" s="360">
        <f t="shared" ca="1" si="224"/>
        <v>0.42898953648292248</v>
      </c>
      <c r="T496" s="357">
        <f t="shared" ca="1" si="204"/>
        <v>4.2083873528974696</v>
      </c>
      <c r="U496" s="364">
        <f t="shared" ca="1" si="205"/>
        <v>0</v>
      </c>
      <c r="V496" s="359">
        <f t="shared" ca="1" si="206"/>
        <v>1.225706863662964</v>
      </c>
      <c r="W496" s="357">
        <f t="shared" ca="1" si="207"/>
        <v>3.3928253094147296</v>
      </c>
      <c r="X496" s="343"/>
      <c r="Y496" s="367" t="str">
        <f t="shared" ca="1" si="225"/>
        <v/>
      </c>
      <c r="Z496" s="368" t="str">
        <f t="shared" ca="1" si="226"/>
        <v/>
      </c>
      <c r="AA496" s="369" t="str">
        <f t="shared" ca="1" si="227"/>
        <v/>
      </c>
      <c r="AB496" s="344"/>
      <c r="AC496" s="363" t="e">
        <f t="shared" ca="1" si="228"/>
        <v>#N/A</v>
      </c>
      <c r="AD496" s="376" t="e">
        <f t="shared" ca="1" si="229"/>
        <v>#N/A</v>
      </c>
      <c r="AE496" s="377" t="e">
        <f t="shared" ca="1" si="208"/>
        <v>#N/A</v>
      </c>
      <c r="AF496" s="344"/>
      <c r="AG496" s="359">
        <f t="shared" ca="1" si="230"/>
        <v>1.8618795757378841</v>
      </c>
      <c r="AH496" s="357">
        <f t="shared" ca="1" si="231"/>
        <v>-7.9088196366607058</v>
      </c>
    </row>
    <row r="497" spans="1:34">
      <c r="A497" s="402">
        <f t="shared" ca="1" si="209"/>
        <v>1E-4</v>
      </c>
      <c r="B497" s="357">
        <f t="shared" ca="1" si="210"/>
        <v>16.91439999999994</v>
      </c>
      <c r="C497" s="342"/>
      <c r="D497" s="359">
        <f t="shared" ca="1" si="211"/>
        <v>-0.70721741243314828</v>
      </c>
      <c r="E497" s="360">
        <f t="shared" ca="1" si="212"/>
        <v>-1.9328068003634824</v>
      </c>
      <c r="F497" s="357">
        <f t="shared" ca="1" si="213"/>
        <v>2.0581298783069935</v>
      </c>
      <c r="G497" s="359">
        <f t="shared" ca="1" si="214"/>
        <v>5.0108347831624886</v>
      </c>
      <c r="H497" s="360">
        <f t="shared" ca="1" si="215"/>
        <v>-55.813115973643335</v>
      </c>
      <c r="I497" s="357">
        <f t="shared" ca="1" si="216"/>
        <v>56.037597913467991</v>
      </c>
      <c r="J497" s="359">
        <f t="shared" ca="1" si="217"/>
        <v>184.26379383972827</v>
      </c>
      <c r="K497" s="360">
        <f t="shared" ca="1" si="218"/>
        <v>-5.7742325710417592</v>
      </c>
      <c r="L497" s="357">
        <f t="shared" ca="1" si="203"/>
        <v>184.35424454564199</v>
      </c>
      <c r="M497" s="359">
        <f t="shared" ca="1" si="219"/>
        <v>-1.4812575759356177</v>
      </c>
      <c r="N497" s="357">
        <f t="shared" ca="1" si="220"/>
        <v>-84.869807472889946</v>
      </c>
      <c r="O497" s="343"/>
      <c r="P497" s="363">
        <f t="shared" ca="1" si="221"/>
        <v>23</v>
      </c>
      <c r="Q497" s="357">
        <f t="shared" ca="1" si="222"/>
        <v>0</v>
      </c>
      <c r="R497" s="359">
        <f t="shared" ca="1" si="223"/>
        <v>0</v>
      </c>
      <c r="S497" s="360">
        <f t="shared" ca="1" si="224"/>
        <v>0.42898953648292248</v>
      </c>
      <c r="T497" s="357">
        <f t="shared" ca="1" si="204"/>
        <v>4.2083873528974696</v>
      </c>
      <c r="U497" s="364">
        <f t="shared" ca="1" si="205"/>
        <v>0</v>
      </c>
      <c r="V497" s="359">
        <f t="shared" ca="1" si="206"/>
        <v>1.225707547767221</v>
      </c>
      <c r="W497" s="357">
        <f t="shared" ca="1" si="207"/>
        <v>3.3928497482058124</v>
      </c>
      <c r="X497" s="343"/>
      <c r="Y497" s="367" t="str">
        <f t="shared" ca="1" si="225"/>
        <v/>
      </c>
      <c r="Z497" s="368" t="str">
        <f t="shared" ca="1" si="226"/>
        <v/>
      </c>
      <c r="AA497" s="369" t="str">
        <f t="shared" ca="1" si="227"/>
        <v/>
      </c>
      <c r="AB497" s="344"/>
      <c r="AC497" s="363" t="e">
        <f t="shared" ca="1" si="228"/>
        <v>#N/A</v>
      </c>
      <c r="AD497" s="376" t="e">
        <f t="shared" ca="1" si="229"/>
        <v>#N/A</v>
      </c>
      <c r="AE497" s="377" t="e">
        <f t="shared" ca="1" si="208"/>
        <v>#N/A</v>
      </c>
      <c r="AF497" s="344"/>
      <c r="AG497" s="359">
        <f t="shared" ca="1" si="230"/>
        <v>1.8618239793947629</v>
      </c>
      <c r="AH497" s="357">
        <f t="shared" ca="1" si="231"/>
        <v>-7.9088766062474667</v>
      </c>
    </row>
    <row r="498" spans="1:34">
      <c r="A498" s="402">
        <f t="shared" ca="1" si="209"/>
        <v>1E-4</v>
      </c>
      <c r="B498" s="357">
        <f t="shared" ca="1" si="210"/>
        <v>16.91449999999994</v>
      </c>
      <c r="C498" s="342"/>
      <c r="D498" s="359">
        <f t="shared" ca="1" si="211"/>
        <v>-0.70721017546295228</v>
      </c>
      <c r="E498" s="360">
        <f t="shared" ca="1" si="212"/>
        <v>-1.9327489532307656</v>
      </c>
      <c r="F498" s="357">
        <f t="shared" ca="1" si="213"/>
        <v>2.0580730668499019</v>
      </c>
      <c r="G498" s="359">
        <f t="shared" ca="1" si="214"/>
        <v>5.0107640621449425</v>
      </c>
      <c r="H498" s="360">
        <f t="shared" ca="1" si="215"/>
        <v>-55.813309248538658</v>
      </c>
      <c r="I498" s="357">
        <f t="shared" ca="1" si="216"/>
        <v>56.037784090375077</v>
      </c>
      <c r="J498" s="359">
        <f t="shared" ca="1" si="217"/>
        <v>184.26379383972827</v>
      </c>
      <c r="K498" s="360">
        <f t="shared" ca="1" si="218"/>
        <v>-5.7798138923028679</v>
      </c>
      <c r="L498" s="357">
        <f t="shared" ca="1" si="203"/>
        <v>184.3544194448279</v>
      </c>
      <c r="M498" s="359">
        <f t="shared" ca="1" si="219"/>
        <v>-1.4812591413114573</v>
      </c>
      <c r="N498" s="357">
        <f t="shared" ca="1" si="220"/>
        <v>-84.869897162318907</v>
      </c>
      <c r="O498" s="343"/>
      <c r="P498" s="363">
        <f t="shared" ca="1" si="221"/>
        <v>23</v>
      </c>
      <c r="Q498" s="357">
        <f t="shared" ca="1" si="222"/>
        <v>0</v>
      </c>
      <c r="R498" s="359">
        <f t="shared" ca="1" si="223"/>
        <v>0</v>
      </c>
      <c r="S498" s="360">
        <f t="shared" ca="1" si="224"/>
        <v>0.42898953648292248</v>
      </c>
      <c r="T498" s="357">
        <f t="shared" ca="1" si="204"/>
        <v>4.2083873528974696</v>
      </c>
      <c r="U498" s="364">
        <f t="shared" ca="1" si="205"/>
        <v>0</v>
      </c>
      <c r="V498" s="359">
        <f t="shared" ca="1" si="206"/>
        <v>1.2257082318742285</v>
      </c>
      <c r="W498" s="357">
        <f t="shared" ca="1" si="207"/>
        <v>3.3928741864313663</v>
      </c>
      <c r="X498" s="343"/>
      <c r="Y498" s="367" t="str">
        <f t="shared" ca="1" si="225"/>
        <v/>
      </c>
      <c r="Z498" s="368" t="str">
        <f t="shared" ca="1" si="226"/>
        <v/>
      </c>
      <c r="AA498" s="369" t="str">
        <f t="shared" ca="1" si="227"/>
        <v/>
      </c>
      <c r="AB498" s="344"/>
      <c r="AC498" s="363" t="e">
        <f t="shared" ca="1" si="228"/>
        <v>#N/A</v>
      </c>
      <c r="AD498" s="376" t="e">
        <f t="shared" ca="1" si="229"/>
        <v>#N/A</v>
      </c>
      <c r="AE498" s="377" t="e">
        <f t="shared" ca="1" si="208"/>
        <v>#N/A</v>
      </c>
      <c r="AF498" s="344"/>
      <c r="AG498" s="359">
        <f t="shared" ca="1" si="230"/>
        <v>1.8617683843174859</v>
      </c>
      <c r="AH498" s="357">
        <f t="shared" ca="1" si="231"/>
        <v>-7.908933574515931</v>
      </c>
    </row>
    <row r="499" spans="1:34">
      <c r="A499" s="402">
        <f t="shared" ca="1" si="209"/>
        <v>1E-4</v>
      </c>
      <c r="B499" s="357">
        <f t="shared" ca="1" si="210"/>
        <v>16.91459999999994</v>
      </c>
      <c r="C499" s="342"/>
      <c r="D499" s="359">
        <f t="shared" ca="1" si="211"/>
        <v>-0.70720293845147708</v>
      </c>
      <c r="E499" s="360">
        <f t="shared" ca="1" si="212"/>
        <v>-1.9326911074373863</v>
      </c>
      <c r="F499" s="357">
        <f t="shared" ca="1" si="213"/>
        <v>2.0580162567195512</v>
      </c>
      <c r="G499" s="359">
        <f t="shared" ca="1" si="214"/>
        <v>5.0106933418510975</v>
      </c>
      <c r="H499" s="360">
        <f t="shared" ca="1" si="215"/>
        <v>-55.813502517649404</v>
      </c>
      <c r="I499" s="357">
        <f t="shared" ca="1" si="216"/>
        <v>56.037970261722784</v>
      </c>
      <c r="J499" s="359">
        <f t="shared" ca="1" si="217"/>
        <v>184.26379383972827</v>
      </c>
      <c r="K499" s="360">
        <f t="shared" ca="1" si="218"/>
        <v>-5.7853952328911777</v>
      </c>
      <c r="L499" s="357">
        <f t="shared" ca="1" si="203"/>
        <v>184.35459451342851</v>
      </c>
      <c r="M499" s="359">
        <f t="shared" ca="1" si="219"/>
        <v>-1.4812607066548027</v>
      </c>
      <c r="N499" s="357">
        <f t="shared" ca="1" si="220"/>
        <v>-84.869986849886089</v>
      </c>
      <c r="O499" s="343"/>
      <c r="P499" s="363">
        <f t="shared" ca="1" si="221"/>
        <v>23</v>
      </c>
      <c r="Q499" s="357">
        <f t="shared" ca="1" si="222"/>
        <v>0</v>
      </c>
      <c r="R499" s="359">
        <f t="shared" ca="1" si="223"/>
        <v>0</v>
      </c>
      <c r="S499" s="360">
        <f t="shared" ca="1" si="224"/>
        <v>0.42898953648292248</v>
      </c>
      <c r="T499" s="357">
        <f t="shared" ca="1" si="204"/>
        <v>4.2083873528974696</v>
      </c>
      <c r="U499" s="364">
        <f t="shared" ca="1" si="205"/>
        <v>0</v>
      </c>
      <c r="V499" s="359">
        <f t="shared" ca="1" si="206"/>
        <v>1.2257089159839869</v>
      </c>
      <c r="W499" s="357">
        <f t="shared" ca="1" si="207"/>
        <v>3.3928986240914005</v>
      </c>
      <c r="X499" s="343"/>
      <c r="Y499" s="367" t="str">
        <f t="shared" ca="1" si="225"/>
        <v/>
      </c>
      <c r="Z499" s="368" t="str">
        <f t="shared" ca="1" si="226"/>
        <v/>
      </c>
      <c r="AA499" s="369" t="str">
        <f t="shared" ca="1" si="227"/>
        <v/>
      </c>
      <c r="AB499" s="344"/>
      <c r="AC499" s="363" t="e">
        <f t="shared" ca="1" si="228"/>
        <v>#N/A</v>
      </c>
      <c r="AD499" s="376" t="e">
        <f t="shared" ca="1" si="229"/>
        <v>#N/A</v>
      </c>
      <c r="AE499" s="377" t="e">
        <f t="shared" ca="1" si="208"/>
        <v>#N/A</v>
      </c>
      <c r="AF499" s="344"/>
      <c r="AG499" s="359">
        <f t="shared" ca="1" si="230"/>
        <v>1.8617127905060435</v>
      </c>
      <c r="AH499" s="357">
        <f t="shared" ca="1" si="231"/>
        <v>-7.9089905414661139</v>
      </c>
    </row>
    <row r="500" spans="1:34">
      <c r="A500" s="402">
        <f t="shared" ca="1" si="209"/>
        <v>1E-4</v>
      </c>
      <c r="B500" s="357">
        <f t="shared" ca="1" si="210"/>
        <v>16.914699999999939</v>
      </c>
      <c r="C500" s="342"/>
      <c r="D500" s="359">
        <f t="shared" ca="1" si="211"/>
        <v>-0.70719570139872934</v>
      </c>
      <c r="E500" s="360">
        <f t="shared" ca="1" si="212"/>
        <v>-1.9326332629833196</v>
      </c>
      <c r="F500" s="357">
        <f t="shared" ca="1" si="213"/>
        <v>2.0579594479159189</v>
      </c>
      <c r="G500" s="359">
        <f t="shared" ca="1" si="214"/>
        <v>5.010622622280958</v>
      </c>
      <c r="H500" s="360">
        <f t="shared" ca="1" si="215"/>
        <v>-55.813695780975699</v>
      </c>
      <c r="I500" s="357">
        <f t="shared" ca="1" si="216"/>
        <v>56.038156427511232</v>
      </c>
      <c r="J500" s="359">
        <f t="shared" ca="1" si="217"/>
        <v>184.26379383972827</v>
      </c>
      <c r="K500" s="360">
        <f t="shared" ca="1" si="218"/>
        <v>-5.7909765928061088</v>
      </c>
      <c r="L500" s="357">
        <f t="shared" ca="1" si="203"/>
        <v>184.35476975144505</v>
      </c>
      <c r="M500" s="359">
        <f t="shared" ca="1" si="219"/>
        <v>-1.481262271965655</v>
      </c>
      <c r="N500" s="357">
        <f t="shared" ca="1" si="220"/>
        <v>-84.870076535591551</v>
      </c>
      <c r="O500" s="343"/>
      <c r="P500" s="363">
        <f t="shared" ca="1" si="221"/>
        <v>23</v>
      </c>
      <c r="Q500" s="357">
        <f t="shared" ca="1" si="222"/>
        <v>0</v>
      </c>
      <c r="R500" s="359">
        <f t="shared" ca="1" si="223"/>
        <v>0</v>
      </c>
      <c r="S500" s="360">
        <f t="shared" ca="1" si="224"/>
        <v>0.42898953648292248</v>
      </c>
      <c r="T500" s="357">
        <f t="shared" ca="1" si="204"/>
        <v>4.2083873528974696</v>
      </c>
      <c r="U500" s="364">
        <f t="shared" ca="1" si="205"/>
        <v>0</v>
      </c>
      <c r="V500" s="359">
        <f t="shared" ca="1" si="206"/>
        <v>1.2257096000964962</v>
      </c>
      <c r="W500" s="357">
        <f t="shared" ca="1" si="207"/>
        <v>3.3929230611859218</v>
      </c>
      <c r="X500" s="343"/>
      <c r="Y500" s="367" t="str">
        <f t="shared" ca="1" si="225"/>
        <v/>
      </c>
      <c r="Z500" s="368" t="str">
        <f t="shared" ca="1" si="226"/>
        <v/>
      </c>
      <c r="AA500" s="369" t="str">
        <f t="shared" ca="1" si="227"/>
        <v/>
      </c>
      <c r="AB500" s="344"/>
      <c r="AC500" s="363" t="e">
        <f t="shared" ca="1" si="228"/>
        <v>#N/A</v>
      </c>
      <c r="AD500" s="376" t="e">
        <f t="shared" ca="1" si="229"/>
        <v>#N/A</v>
      </c>
      <c r="AE500" s="377" t="e">
        <f t="shared" ca="1" si="208"/>
        <v>#N/A</v>
      </c>
      <c r="AF500" s="344"/>
      <c r="AG500" s="359">
        <f t="shared" ca="1" si="230"/>
        <v>1.8616571979604188</v>
      </c>
      <c r="AH500" s="357">
        <f t="shared" ca="1" si="231"/>
        <v>-7.9090475070980375</v>
      </c>
    </row>
    <row r="501" spans="1:34">
      <c r="A501" s="402">
        <f t="shared" ca="1" si="209"/>
        <v>1E-4</v>
      </c>
      <c r="B501" s="357">
        <f t="shared" ca="1" si="210"/>
        <v>16.914799999999939</v>
      </c>
      <c r="C501" s="342"/>
      <c r="D501" s="359">
        <f t="shared" ca="1" si="211"/>
        <v>-0.7071884643047136</v>
      </c>
      <c r="E501" s="360">
        <f t="shared" ca="1" si="212"/>
        <v>-1.9325754198685505</v>
      </c>
      <c r="F501" s="357">
        <f t="shared" ca="1" si="213"/>
        <v>2.0579026404389893</v>
      </c>
      <c r="G501" s="359">
        <f t="shared" ca="1" si="214"/>
        <v>5.0105519034345276</v>
      </c>
      <c r="H501" s="360">
        <f t="shared" ca="1" si="215"/>
        <v>-55.813889038517686</v>
      </c>
      <c r="I501" s="357">
        <f t="shared" ca="1" si="216"/>
        <v>56.038342587740551</v>
      </c>
      <c r="J501" s="359">
        <f t="shared" ca="1" si="217"/>
        <v>184.26379383972827</v>
      </c>
      <c r="K501" s="360">
        <f t="shared" ca="1" si="218"/>
        <v>-5.7965579720470837</v>
      </c>
      <c r="L501" s="357">
        <f t="shared" ca="1" si="203"/>
        <v>184.35494515887873</v>
      </c>
      <c r="M501" s="359">
        <f t="shared" ca="1" si="219"/>
        <v>-1.4812638372440146</v>
      </c>
      <c r="N501" s="357">
        <f t="shared" ca="1" si="220"/>
        <v>-84.870166219435319</v>
      </c>
      <c r="O501" s="343"/>
      <c r="P501" s="363">
        <f t="shared" ca="1" si="221"/>
        <v>23</v>
      </c>
      <c r="Q501" s="357">
        <f t="shared" ca="1" si="222"/>
        <v>0</v>
      </c>
      <c r="R501" s="359">
        <f t="shared" ca="1" si="223"/>
        <v>0</v>
      </c>
      <c r="S501" s="360">
        <f t="shared" ca="1" si="224"/>
        <v>0.42898953648292248</v>
      </c>
      <c r="T501" s="357">
        <f t="shared" ca="1" si="204"/>
        <v>4.2083873528974696</v>
      </c>
      <c r="U501" s="364">
        <f t="shared" ca="1" si="205"/>
        <v>0</v>
      </c>
      <c r="V501" s="359">
        <f t="shared" ca="1" si="206"/>
        <v>1.2257102842117564</v>
      </c>
      <c r="W501" s="357">
        <f t="shared" ca="1" si="207"/>
        <v>3.3929474977149399</v>
      </c>
      <c r="X501" s="343"/>
      <c r="Y501" s="367" t="str">
        <f t="shared" ca="1" si="225"/>
        <v/>
      </c>
      <c r="Z501" s="368" t="str">
        <f t="shared" ca="1" si="226"/>
        <v/>
      </c>
      <c r="AA501" s="369" t="str">
        <f t="shared" ca="1" si="227"/>
        <v/>
      </c>
      <c r="AB501" s="344"/>
      <c r="AC501" s="363" t="e">
        <f t="shared" ca="1" si="228"/>
        <v>#N/A</v>
      </c>
      <c r="AD501" s="376" t="e">
        <f t="shared" ca="1" si="229"/>
        <v>#N/A</v>
      </c>
      <c r="AE501" s="377" t="e">
        <f t="shared" ca="1" si="208"/>
        <v>#N/A</v>
      </c>
      <c r="AF501" s="344"/>
      <c r="AG501" s="359">
        <f t="shared" ca="1" si="230"/>
        <v>1.861601606680594</v>
      </c>
      <c r="AH501" s="357">
        <f t="shared" ca="1" si="231"/>
        <v>-7.909104471411716</v>
      </c>
    </row>
    <row r="502" spans="1:34">
      <c r="A502" s="402">
        <f t="shared" ca="1" si="209"/>
        <v>1E-4</v>
      </c>
      <c r="B502" s="357">
        <f t="shared" ca="1" si="210"/>
        <v>16.914899999999939</v>
      </c>
      <c r="C502" s="342"/>
      <c r="D502" s="359">
        <f t="shared" ca="1" si="211"/>
        <v>-0.70718122716944021</v>
      </c>
      <c r="E502" s="360">
        <f t="shared" ca="1" si="212"/>
        <v>-1.9325175780930577</v>
      </c>
      <c r="F502" s="357">
        <f t="shared" ca="1" si="213"/>
        <v>2.0578458342887429</v>
      </c>
      <c r="G502" s="359">
        <f t="shared" ca="1" si="214"/>
        <v>5.0104811853118107</v>
      </c>
      <c r="H502" s="360">
        <f t="shared" ca="1" si="215"/>
        <v>-55.814082290275493</v>
      </c>
      <c r="I502" s="357">
        <f t="shared" ca="1" si="216"/>
        <v>56.038528742410861</v>
      </c>
      <c r="J502" s="359">
        <f t="shared" ca="1" si="217"/>
        <v>184.26379383972827</v>
      </c>
      <c r="K502" s="360">
        <f t="shared" ca="1" si="218"/>
        <v>-5.8021393706135234</v>
      </c>
      <c r="L502" s="357">
        <f t="shared" ca="1" si="203"/>
        <v>184.35512073573088</v>
      </c>
      <c r="M502" s="359">
        <f t="shared" ca="1" si="219"/>
        <v>-1.481265402489883</v>
      </c>
      <c r="N502" s="357">
        <f t="shared" ca="1" si="220"/>
        <v>-84.87025590141748</v>
      </c>
      <c r="O502" s="343"/>
      <c r="P502" s="363">
        <f t="shared" ca="1" si="221"/>
        <v>23</v>
      </c>
      <c r="Q502" s="357">
        <f t="shared" ca="1" si="222"/>
        <v>0</v>
      </c>
      <c r="R502" s="359">
        <f t="shared" ca="1" si="223"/>
        <v>0</v>
      </c>
      <c r="S502" s="360">
        <f t="shared" ca="1" si="224"/>
        <v>0.42898953648292248</v>
      </c>
      <c r="T502" s="357">
        <f t="shared" ca="1" si="204"/>
        <v>4.2083873528974696</v>
      </c>
      <c r="U502" s="364">
        <f t="shared" ca="1" si="205"/>
        <v>0</v>
      </c>
      <c r="V502" s="359">
        <f t="shared" ca="1" si="206"/>
        <v>1.2257109683297673</v>
      </c>
      <c r="W502" s="357">
        <f t="shared" ca="1" si="207"/>
        <v>3.3929719336784587</v>
      </c>
      <c r="X502" s="343"/>
      <c r="Y502" s="367" t="str">
        <f t="shared" ca="1" si="225"/>
        <v/>
      </c>
      <c r="Z502" s="368" t="str">
        <f t="shared" ca="1" si="226"/>
        <v/>
      </c>
      <c r="AA502" s="369" t="str">
        <f t="shared" ca="1" si="227"/>
        <v/>
      </c>
      <c r="AB502" s="344"/>
      <c r="AC502" s="363" t="e">
        <f t="shared" ca="1" si="228"/>
        <v>#N/A</v>
      </c>
      <c r="AD502" s="376" t="e">
        <f t="shared" ca="1" si="229"/>
        <v>#N/A</v>
      </c>
      <c r="AE502" s="377" t="e">
        <f t="shared" ca="1" si="208"/>
        <v>#N/A</v>
      </c>
      <c r="AF502" s="344"/>
      <c r="AG502" s="359">
        <f t="shared" ca="1" si="230"/>
        <v>1.8615460166665478</v>
      </c>
      <c r="AH502" s="357">
        <f t="shared" ca="1" si="231"/>
        <v>-7.9091614344071743</v>
      </c>
    </row>
    <row r="503" spans="1:34">
      <c r="A503" s="402">
        <f t="shared" ca="1" si="209"/>
        <v>1E-4</v>
      </c>
      <c r="B503" s="357">
        <f t="shared" ca="1" si="210"/>
        <v>16.914999999999939</v>
      </c>
      <c r="C503" s="342"/>
      <c r="D503" s="359">
        <f t="shared" ca="1" si="211"/>
        <v>-0.70717398999290948</v>
      </c>
      <c r="E503" s="360">
        <f t="shared" ca="1" si="212"/>
        <v>-1.9324597376568304</v>
      </c>
      <c r="F503" s="357">
        <f t="shared" ca="1" si="213"/>
        <v>2.0577890294651677</v>
      </c>
      <c r="G503" s="359">
        <f t="shared" ca="1" si="214"/>
        <v>5.0104104679128119</v>
      </c>
      <c r="H503" s="360">
        <f t="shared" ca="1" si="215"/>
        <v>-55.814275536249262</v>
      </c>
      <c r="I503" s="357">
        <f t="shared" ca="1" si="216"/>
        <v>56.038714891522304</v>
      </c>
      <c r="J503" s="359">
        <f t="shared" ca="1" si="217"/>
        <v>184.26379383972827</v>
      </c>
      <c r="K503" s="360">
        <f t="shared" ca="1" si="218"/>
        <v>-5.8077207885048496</v>
      </c>
      <c r="L503" s="357">
        <f t="shared" ca="1" si="203"/>
        <v>184.35529648200267</v>
      </c>
      <c r="M503" s="359">
        <f t="shared" ca="1" si="219"/>
        <v>-1.4812669677032608</v>
      </c>
      <c r="N503" s="357">
        <f t="shared" ca="1" si="220"/>
        <v>-84.870345581538061</v>
      </c>
      <c r="O503" s="343"/>
      <c r="P503" s="363">
        <f t="shared" ca="1" si="221"/>
        <v>23</v>
      </c>
      <c r="Q503" s="357">
        <f t="shared" ca="1" si="222"/>
        <v>0</v>
      </c>
      <c r="R503" s="359">
        <f t="shared" ca="1" si="223"/>
        <v>0</v>
      </c>
      <c r="S503" s="360">
        <f t="shared" ca="1" si="224"/>
        <v>0.42898953648292248</v>
      </c>
      <c r="T503" s="357">
        <f t="shared" ca="1" si="204"/>
        <v>4.2083873528974696</v>
      </c>
      <c r="U503" s="364">
        <f t="shared" ca="1" si="205"/>
        <v>0</v>
      </c>
      <c r="V503" s="359">
        <f t="shared" ca="1" si="206"/>
        <v>1.2257116524505283</v>
      </c>
      <c r="W503" s="357">
        <f t="shared" ca="1" si="207"/>
        <v>3.3929963690764877</v>
      </c>
      <c r="X503" s="343"/>
      <c r="Y503" s="367" t="str">
        <f t="shared" ca="1" si="225"/>
        <v/>
      </c>
      <c r="Z503" s="368" t="str">
        <f t="shared" ca="1" si="226"/>
        <v/>
      </c>
      <c r="AA503" s="369" t="str">
        <f t="shared" ca="1" si="227"/>
        <v/>
      </c>
      <c r="AB503" s="344"/>
      <c r="AC503" s="363" t="e">
        <f t="shared" ca="1" si="228"/>
        <v>#N/A</v>
      </c>
      <c r="AD503" s="376" t="e">
        <f t="shared" ca="1" si="229"/>
        <v>#N/A</v>
      </c>
      <c r="AE503" s="377" t="e">
        <f t="shared" ca="1" si="208"/>
        <v>#N/A</v>
      </c>
      <c r="AF503" s="344"/>
      <c r="AG503" s="359">
        <f t="shared" ca="1" si="230"/>
        <v>1.8614904279182785</v>
      </c>
      <c r="AH503" s="357">
        <f t="shared" ca="1" si="231"/>
        <v>-7.9092183960844196</v>
      </c>
    </row>
    <row r="504" spans="1:34">
      <c r="A504" s="402">
        <f t="shared" ca="1" si="209"/>
        <v>1E-4</v>
      </c>
      <c r="B504" s="357">
        <f t="shared" ca="1" si="210"/>
        <v>16.915099999999939</v>
      </c>
      <c r="C504" s="342"/>
      <c r="D504" s="359">
        <f t="shared" ca="1" si="211"/>
        <v>-0.70716675277513164</v>
      </c>
      <c r="E504" s="360">
        <f t="shared" ca="1" si="212"/>
        <v>-1.9324018985598457</v>
      </c>
      <c r="F504" s="357">
        <f t="shared" ca="1" si="213"/>
        <v>2.0577322259682429</v>
      </c>
      <c r="G504" s="359">
        <f t="shared" ca="1" si="214"/>
        <v>5.0103397512375345</v>
      </c>
      <c r="H504" s="360">
        <f t="shared" ca="1" si="215"/>
        <v>-55.814468776439121</v>
      </c>
      <c r="I504" s="357">
        <f t="shared" ca="1" si="216"/>
        <v>56.038901035074986</v>
      </c>
      <c r="J504" s="359">
        <f t="shared" ca="1" si="217"/>
        <v>184.26379383972827</v>
      </c>
      <c r="K504" s="360">
        <f t="shared" ca="1" si="218"/>
        <v>-5.8133022257204843</v>
      </c>
      <c r="L504" s="357">
        <f t="shared" ca="1" si="203"/>
        <v>184.35547239769545</v>
      </c>
      <c r="M504" s="359">
        <f t="shared" ca="1" si="219"/>
        <v>-1.4812685328841493</v>
      </c>
      <c r="N504" s="357">
        <f t="shared" ca="1" si="220"/>
        <v>-84.870435259797148</v>
      </c>
      <c r="O504" s="343"/>
      <c r="P504" s="363">
        <f t="shared" ca="1" si="221"/>
        <v>23</v>
      </c>
      <c r="Q504" s="357">
        <f t="shared" ca="1" si="222"/>
        <v>0</v>
      </c>
      <c r="R504" s="359">
        <f t="shared" ca="1" si="223"/>
        <v>0</v>
      </c>
      <c r="S504" s="360">
        <f t="shared" ca="1" si="224"/>
        <v>0.42898953648292248</v>
      </c>
      <c r="T504" s="357">
        <f t="shared" ca="1" si="204"/>
        <v>4.2083873528974696</v>
      </c>
      <c r="U504" s="364">
        <f t="shared" ca="1" si="205"/>
        <v>0</v>
      </c>
      <c r="V504" s="359">
        <f t="shared" ca="1" si="206"/>
        <v>1.2257123365740403</v>
      </c>
      <c r="W504" s="357">
        <f t="shared" ca="1" si="207"/>
        <v>3.3930208039090357</v>
      </c>
      <c r="X504" s="343"/>
      <c r="Y504" s="367" t="str">
        <f t="shared" ca="1" si="225"/>
        <v/>
      </c>
      <c r="Z504" s="368" t="str">
        <f t="shared" ca="1" si="226"/>
        <v/>
      </c>
      <c r="AA504" s="369" t="str">
        <f t="shared" ca="1" si="227"/>
        <v/>
      </c>
      <c r="AB504" s="344"/>
      <c r="AC504" s="363" t="e">
        <f t="shared" ca="1" si="228"/>
        <v>#N/A</v>
      </c>
      <c r="AD504" s="376" t="e">
        <f t="shared" ca="1" si="229"/>
        <v>#N/A</v>
      </c>
      <c r="AE504" s="377" t="e">
        <f t="shared" ca="1" si="208"/>
        <v>#N/A</v>
      </c>
      <c r="AF504" s="344"/>
      <c r="AG504" s="359">
        <f t="shared" ca="1" si="230"/>
        <v>1.861434840435761</v>
      </c>
      <c r="AH504" s="357">
        <f t="shared" ca="1" si="231"/>
        <v>-7.9092753564434748</v>
      </c>
    </row>
    <row r="505" spans="1:34">
      <c r="A505" s="402">
        <f t="shared" ca="1" si="209"/>
        <v>1E-4</v>
      </c>
      <c r="B505" s="357">
        <f t="shared" ca="1" si="210"/>
        <v>16.915199999999938</v>
      </c>
      <c r="C505" s="342"/>
      <c r="D505" s="359">
        <f t="shared" ca="1" si="211"/>
        <v>-0.70715951551610989</v>
      </c>
      <c r="E505" s="360">
        <f t="shared" ca="1" si="212"/>
        <v>-1.932344060802083</v>
      </c>
      <c r="F505" s="357">
        <f t="shared" ca="1" si="213"/>
        <v>2.0576754237979475</v>
      </c>
      <c r="G505" s="359">
        <f t="shared" ca="1" si="214"/>
        <v>5.0102690352859831</v>
      </c>
      <c r="H505" s="360">
        <f t="shared" ca="1" si="215"/>
        <v>-55.814662010845204</v>
      </c>
      <c r="I505" s="357">
        <f t="shared" ca="1" si="216"/>
        <v>56.039087173069049</v>
      </c>
      <c r="J505" s="359">
        <f t="shared" ca="1" si="217"/>
        <v>184.26379383972827</v>
      </c>
      <c r="K505" s="360">
        <f t="shared" ca="1" si="218"/>
        <v>-5.8188836822598482</v>
      </c>
      <c r="L505" s="357">
        <f t="shared" ca="1" si="203"/>
        <v>184.35564848281038</v>
      </c>
      <c r="M505" s="359">
        <f t="shared" ca="1" si="219"/>
        <v>-1.4812700980325488</v>
      </c>
      <c r="N505" s="357">
        <f t="shared" ca="1" si="220"/>
        <v>-84.870524936194755</v>
      </c>
      <c r="O505" s="343"/>
      <c r="P505" s="363">
        <f t="shared" ca="1" si="221"/>
        <v>23</v>
      </c>
      <c r="Q505" s="357">
        <f t="shared" ca="1" si="222"/>
        <v>0</v>
      </c>
      <c r="R505" s="359">
        <f t="shared" ca="1" si="223"/>
        <v>0</v>
      </c>
      <c r="S505" s="360">
        <f t="shared" ca="1" si="224"/>
        <v>0.42898953648292248</v>
      </c>
      <c r="T505" s="357">
        <f t="shared" ca="1" si="204"/>
        <v>4.2083873528974696</v>
      </c>
      <c r="U505" s="364">
        <f t="shared" ca="1" si="205"/>
        <v>0</v>
      </c>
      <c r="V505" s="359">
        <f t="shared" ca="1" si="206"/>
        <v>1.2257130207003029</v>
      </c>
      <c r="W505" s="357">
        <f t="shared" ca="1" si="207"/>
        <v>3.3930452381761089</v>
      </c>
      <c r="X505" s="343"/>
      <c r="Y505" s="367" t="str">
        <f t="shared" ca="1" si="225"/>
        <v/>
      </c>
      <c r="Z505" s="368" t="str">
        <f t="shared" ca="1" si="226"/>
        <v/>
      </c>
      <c r="AA505" s="369" t="str">
        <f t="shared" ca="1" si="227"/>
        <v/>
      </c>
      <c r="AB505" s="344"/>
      <c r="AC505" s="363" t="e">
        <f t="shared" ca="1" si="228"/>
        <v>#N/A</v>
      </c>
      <c r="AD505" s="376" t="e">
        <f t="shared" ca="1" si="229"/>
        <v>#N/A</v>
      </c>
      <c r="AE505" s="377" t="e">
        <f t="shared" ca="1" si="208"/>
        <v>#N/A</v>
      </c>
      <c r="AF505" s="344"/>
      <c r="AG505" s="359">
        <f t="shared" ca="1" si="230"/>
        <v>1.8613792542189822</v>
      </c>
      <c r="AH505" s="357">
        <f t="shared" ca="1" si="231"/>
        <v>-7.9093323154843604</v>
      </c>
    </row>
    <row r="506" spans="1:34">
      <c r="A506" s="402">
        <f t="shared" ca="1" si="209"/>
        <v>1E-4</v>
      </c>
      <c r="B506" s="357">
        <f t="shared" ca="1" si="210"/>
        <v>16.915299999999938</v>
      </c>
      <c r="C506" s="342"/>
      <c r="D506" s="359">
        <f t="shared" ca="1" si="211"/>
        <v>-0.7071522782158538</v>
      </c>
      <c r="E506" s="360">
        <f t="shared" ca="1" si="212"/>
        <v>-1.9322862243835299</v>
      </c>
      <c r="F506" s="357">
        <f t="shared" ca="1" si="213"/>
        <v>2.0576186229542706</v>
      </c>
      <c r="G506" s="359">
        <f t="shared" ca="1" si="214"/>
        <v>5.0101983200581612</v>
      </c>
      <c r="H506" s="360">
        <f t="shared" ca="1" si="215"/>
        <v>-55.81485523946764</v>
      </c>
      <c r="I506" s="357">
        <f t="shared" ca="1" si="216"/>
        <v>56.039273305504615</v>
      </c>
      <c r="J506" s="359">
        <f t="shared" ca="1" si="217"/>
        <v>184.26379383972827</v>
      </c>
      <c r="K506" s="360">
        <f t="shared" ca="1" si="218"/>
        <v>-5.8244651581223641</v>
      </c>
      <c r="L506" s="357">
        <f t="shared" ca="1" si="203"/>
        <v>184.3558247373488</v>
      </c>
      <c r="M506" s="359">
        <f t="shared" ca="1" si="219"/>
        <v>-1.4812716631484608</v>
      </c>
      <c r="N506" s="357">
        <f t="shared" ca="1" si="220"/>
        <v>-84.870614610730968</v>
      </c>
      <c r="O506" s="343"/>
      <c r="P506" s="363">
        <f t="shared" ca="1" si="221"/>
        <v>23</v>
      </c>
      <c r="Q506" s="357">
        <f t="shared" ca="1" si="222"/>
        <v>0</v>
      </c>
      <c r="R506" s="359">
        <f t="shared" ca="1" si="223"/>
        <v>0</v>
      </c>
      <c r="S506" s="360">
        <f t="shared" ca="1" si="224"/>
        <v>0.42898953648292248</v>
      </c>
      <c r="T506" s="357">
        <f t="shared" ca="1" si="204"/>
        <v>4.2083873528974696</v>
      </c>
      <c r="U506" s="364">
        <f t="shared" ca="1" si="205"/>
        <v>0</v>
      </c>
      <c r="V506" s="359">
        <f t="shared" ca="1" si="206"/>
        <v>1.2257137048293156</v>
      </c>
      <c r="W506" s="357">
        <f t="shared" ca="1" si="207"/>
        <v>3.3930696718777145</v>
      </c>
      <c r="X506" s="343"/>
      <c r="Y506" s="367" t="str">
        <f t="shared" ca="1" si="225"/>
        <v/>
      </c>
      <c r="Z506" s="368" t="str">
        <f t="shared" ca="1" si="226"/>
        <v/>
      </c>
      <c r="AA506" s="369" t="str">
        <f t="shared" ca="1" si="227"/>
        <v/>
      </c>
      <c r="AB506" s="344"/>
      <c r="AC506" s="363" t="e">
        <f t="shared" ca="1" si="228"/>
        <v>#N/A</v>
      </c>
      <c r="AD506" s="376" t="e">
        <f t="shared" ca="1" si="229"/>
        <v>#N/A</v>
      </c>
      <c r="AE506" s="377" t="e">
        <f t="shared" ca="1" si="208"/>
        <v>#N/A</v>
      </c>
      <c r="AF506" s="344"/>
      <c r="AG506" s="359">
        <f t="shared" ca="1" si="230"/>
        <v>1.861323669267926</v>
      </c>
      <c r="AH506" s="357">
        <f t="shared" ca="1" si="231"/>
        <v>-7.9093892732070907</v>
      </c>
    </row>
    <row r="507" spans="1:34">
      <c r="A507" s="402">
        <f t="shared" ca="1" si="209"/>
        <v>1E-4</v>
      </c>
      <c r="B507" s="357">
        <f t="shared" ca="1" si="210"/>
        <v>16.915399999999938</v>
      </c>
      <c r="C507" s="342"/>
      <c r="D507" s="359">
        <f t="shared" ca="1" si="211"/>
        <v>-0.70714504087436614</v>
      </c>
      <c r="E507" s="360">
        <f t="shared" ca="1" si="212"/>
        <v>-1.9322283893041652</v>
      </c>
      <c r="F507" s="357">
        <f t="shared" ca="1" si="213"/>
        <v>2.0575618234371906</v>
      </c>
      <c r="G507" s="359">
        <f t="shared" ca="1" si="214"/>
        <v>5.0101276055540742</v>
      </c>
      <c r="H507" s="360">
        <f t="shared" ca="1" si="215"/>
        <v>-55.815048462306571</v>
      </c>
      <c r="I507" s="357">
        <f t="shared" ca="1" si="216"/>
        <v>56.039459432381804</v>
      </c>
      <c r="J507" s="359">
        <f t="shared" ca="1" si="217"/>
        <v>184.26379383972827</v>
      </c>
      <c r="K507" s="360">
        <f t="shared" ca="1" si="218"/>
        <v>-5.8300466533074529</v>
      </c>
      <c r="L507" s="357">
        <f t="shared" ca="1" si="203"/>
        <v>184.35600116131187</v>
      </c>
      <c r="M507" s="359">
        <f t="shared" ca="1" si="219"/>
        <v>-1.4812732282318861</v>
      </c>
      <c r="N507" s="357">
        <f t="shared" ca="1" si="220"/>
        <v>-84.870704283405814</v>
      </c>
      <c r="O507" s="343"/>
      <c r="P507" s="363">
        <f t="shared" ca="1" si="221"/>
        <v>23</v>
      </c>
      <c r="Q507" s="357">
        <f t="shared" ca="1" si="222"/>
        <v>0</v>
      </c>
      <c r="R507" s="359">
        <f t="shared" ca="1" si="223"/>
        <v>0</v>
      </c>
      <c r="S507" s="360">
        <f t="shared" ca="1" si="224"/>
        <v>0.42898953648292248</v>
      </c>
      <c r="T507" s="357">
        <f t="shared" ca="1" si="204"/>
        <v>4.2083873528974696</v>
      </c>
      <c r="U507" s="364">
        <f t="shared" ca="1" si="205"/>
        <v>0</v>
      </c>
      <c r="V507" s="359">
        <f t="shared" ca="1" si="206"/>
        <v>1.2257143889610789</v>
      </c>
      <c r="W507" s="357">
        <f t="shared" ca="1" si="207"/>
        <v>3.3930941050138608</v>
      </c>
      <c r="X507" s="343"/>
      <c r="Y507" s="367" t="str">
        <f t="shared" ca="1" si="225"/>
        <v/>
      </c>
      <c r="Z507" s="368" t="str">
        <f t="shared" ca="1" si="226"/>
        <v/>
      </c>
      <c r="AA507" s="369" t="str">
        <f t="shared" ca="1" si="227"/>
        <v/>
      </c>
      <c r="AB507" s="344"/>
      <c r="AC507" s="363" t="e">
        <f t="shared" ca="1" si="228"/>
        <v>#N/A</v>
      </c>
      <c r="AD507" s="376" t="e">
        <f t="shared" ca="1" si="229"/>
        <v>#N/A</v>
      </c>
      <c r="AE507" s="377" t="e">
        <f t="shared" ca="1" si="208"/>
        <v>#N/A</v>
      </c>
      <c r="AF507" s="344"/>
      <c r="AG507" s="359">
        <f t="shared" ca="1" si="230"/>
        <v>1.8612680855825792</v>
      </c>
      <c r="AH507" s="357">
        <f t="shared" ca="1" si="231"/>
        <v>-7.9094462296116825</v>
      </c>
    </row>
    <row r="508" spans="1:34">
      <c r="A508" s="402">
        <f t="shared" ca="1" si="209"/>
        <v>1E-4</v>
      </c>
      <c r="B508" s="357">
        <f t="shared" ca="1" si="210"/>
        <v>16.915499999999938</v>
      </c>
      <c r="C508" s="342"/>
      <c r="D508" s="359">
        <f t="shared" ca="1" si="211"/>
        <v>-0.70713780349165356</v>
      </c>
      <c r="E508" s="360">
        <f t="shared" ca="1" si="212"/>
        <v>-1.9321705555639719</v>
      </c>
      <c r="F508" s="357">
        <f t="shared" ca="1" si="213"/>
        <v>2.0575050252466913</v>
      </c>
      <c r="G508" s="359">
        <f t="shared" ca="1" si="214"/>
        <v>5.0100568917737247</v>
      </c>
      <c r="H508" s="360">
        <f t="shared" ca="1" si="215"/>
        <v>-55.815241679362124</v>
      </c>
      <c r="I508" s="357">
        <f t="shared" ca="1" si="216"/>
        <v>56.039645553700751</v>
      </c>
      <c r="J508" s="359">
        <f t="shared" ca="1" si="217"/>
        <v>184.26379383972827</v>
      </c>
      <c r="K508" s="360">
        <f t="shared" ca="1" si="218"/>
        <v>-5.8356281678145363</v>
      </c>
      <c r="L508" s="357">
        <f t="shared" ca="1" si="203"/>
        <v>184.35617775470089</v>
      </c>
      <c r="M508" s="359">
        <f t="shared" ca="1" si="219"/>
        <v>-1.4812747932828256</v>
      </c>
      <c r="N508" s="357">
        <f t="shared" ca="1" si="220"/>
        <v>-84.87079395421938</v>
      </c>
      <c r="O508" s="343"/>
      <c r="P508" s="363">
        <f t="shared" ca="1" si="221"/>
        <v>23</v>
      </c>
      <c r="Q508" s="357">
        <f t="shared" ca="1" si="222"/>
        <v>0</v>
      </c>
      <c r="R508" s="359">
        <f t="shared" ca="1" si="223"/>
        <v>0</v>
      </c>
      <c r="S508" s="360">
        <f t="shared" ca="1" si="224"/>
        <v>0.42898953648292248</v>
      </c>
      <c r="T508" s="357">
        <f t="shared" ca="1" si="204"/>
        <v>4.2083873528974696</v>
      </c>
      <c r="U508" s="364">
        <f t="shared" ca="1" si="205"/>
        <v>0</v>
      </c>
      <c r="V508" s="359">
        <f t="shared" ca="1" si="206"/>
        <v>1.2257150730955921</v>
      </c>
      <c r="W508" s="357">
        <f t="shared" ca="1" si="207"/>
        <v>3.393118537584555</v>
      </c>
      <c r="X508" s="343"/>
      <c r="Y508" s="367" t="str">
        <f t="shared" ca="1" si="225"/>
        <v/>
      </c>
      <c r="Z508" s="368" t="str">
        <f t="shared" ca="1" si="226"/>
        <v/>
      </c>
      <c r="AA508" s="369" t="str">
        <f t="shared" ca="1" si="227"/>
        <v/>
      </c>
      <c r="AB508" s="344"/>
      <c r="AC508" s="363" t="e">
        <f t="shared" ca="1" si="228"/>
        <v>#N/A</v>
      </c>
      <c r="AD508" s="376" t="e">
        <f t="shared" ca="1" si="229"/>
        <v>#N/A</v>
      </c>
      <c r="AE508" s="377" t="e">
        <f t="shared" ca="1" si="208"/>
        <v>#N/A</v>
      </c>
      <c r="AF508" s="344"/>
      <c r="AG508" s="359">
        <f t="shared" ca="1" si="230"/>
        <v>1.8612125031629256</v>
      </c>
      <c r="AH508" s="357">
        <f t="shared" ca="1" si="231"/>
        <v>-7.9095031846981554</v>
      </c>
    </row>
    <row r="509" spans="1:34">
      <c r="A509" s="402">
        <f t="shared" ca="1" si="209"/>
        <v>1E-4</v>
      </c>
      <c r="B509" s="357">
        <f t="shared" ca="1" si="210"/>
        <v>16.915599999999937</v>
      </c>
      <c r="C509" s="342"/>
      <c r="D509" s="359">
        <f t="shared" ca="1" si="211"/>
        <v>-0.70713056606772207</v>
      </c>
      <c r="E509" s="360">
        <f t="shared" ca="1" si="212"/>
        <v>-1.932112723162934</v>
      </c>
      <c r="F509" s="357">
        <f t="shared" ca="1" si="213"/>
        <v>2.0574482283827571</v>
      </c>
      <c r="G509" s="359">
        <f t="shared" ca="1" si="214"/>
        <v>5.009986178717118</v>
      </c>
      <c r="H509" s="360">
        <f t="shared" ca="1" si="215"/>
        <v>-55.815434890634442</v>
      </c>
      <c r="I509" s="357">
        <f t="shared" ca="1" si="216"/>
        <v>56.039831669461584</v>
      </c>
      <c r="J509" s="359">
        <f t="shared" ca="1" si="217"/>
        <v>184.26379383972827</v>
      </c>
      <c r="K509" s="360">
        <f t="shared" ca="1" si="218"/>
        <v>-5.8412097016430362</v>
      </c>
      <c r="L509" s="357">
        <f t="shared" ca="1" si="203"/>
        <v>184.3563545175171</v>
      </c>
      <c r="M509" s="359">
        <f t="shared" ca="1" si="219"/>
        <v>-1.48127635830128</v>
      </c>
      <c r="N509" s="357">
        <f t="shared" ca="1" si="220"/>
        <v>-84.870883623171665</v>
      </c>
      <c r="O509" s="343"/>
      <c r="P509" s="363">
        <f t="shared" ca="1" si="221"/>
        <v>23</v>
      </c>
      <c r="Q509" s="357">
        <f t="shared" ca="1" si="222"/>
        <v>0</v>
      </c>
      <c r="R509" s="359">
        <f t="shared" ca="1" si="223"/>
        <v>0</v>
      </c>
      <c r="S509" s="360">
        <f t="shared" ca="1" si="224"/>
        <v>0.42898953648292248</v>
      </c>
      <c r="T509" s="357">
        <f t="shared" ca="1" si="204"/>
        <v>4.2083873528974696</v>
      </c>
      <c r="U509" s="364">
        <f t="shared" ca="1" si="205"/>
        <v>0</v>
      </c>
      <c r="V509" s="359">
        <f t="shared" ca="1" si="206"/>
        <v>1.2257157572328563</v>
      </c>
      <c r="W509" s="357">
        <f t="shared" ca="1" si="207"/>
        <v>3.3931429695898063</v>
      </c>
      <c r="X509" s="343"/>
      <c r="Y509" s="367" t="str">
        <f t="shared" ca="1" si="225"/>
        <v/>
      </c>
      <c r="Z509" s="368" t="str">
        <f t="shared" ca="1" si="226"/>
        <v/>
      </c>
      <c r="AA509" s="369" t="str">
        <f t="shared" ca="1" si="227"/>
        <v/>
      </c>
      <c r="AB509" s="344"/>
      <c r="AC509" s="363" t="e">
        <f t="shared" ca="1" si="228"/>
        <v>#N/A</v>
      </c>
      <c r="AD509" s="376" t="e">
        <f t="shared" ca="1" si="229"/>
        <v>#N/A</v>
      </c>
      <c r="AE509" s="377" t="e">
        <f t="shared" ca="1" si="208"/>
        <v>#N/A</v>
      </c>
      <c r="AF509" s="344"/>
      <c r="AG509" s="359">
        <f t="shared" ca="1" si="230"/>
        <v>1.8611569220089477</v>
      </c>
      <c r="AH509" s="357">
        <f t="shared" ca="1" si="231"/>
        <v>-7.9095601384665253</v>
      </c>
    </row>
    <row r="510" spans="1:34">
      <c r="A510" s="402">
        <f t="shared" ca="1" si="209"/>
        <v>1E-4</v>
      </c>
      <c r="B510" s="357">
        <f t="shared" ca="1" si="210"/>
        <v>16.915699999999937</v>
      </c>
      <c r="C510" s="342"/>
      <c r="D510" s="359">
        <f t="shared" ca="1" si="211"/>
        <v>-0.70712332860258054</v>
      </c>
      <c r="E510" s="360">
        <f t="shared" ca="1" si="212"/>
        <v>-1.932054892101025</v>
      </c>
      <c r="F510" s="357">
        <f t="shared" ca="1" si="213"/>
        <v>2.0573914328453631</v>
      </c>
      <c r="G510" s="359">
        <f t="shared" ca="1" si="214"/>
        <v>5.0099154663842578</v>
      </c>
      <c r="H510" s="360">
        <f t="shared" ca="1" si="215"/>
        <v>-55.815628096123653</v>
      </c>
      <c r="I510" s="357">
        <f t="shared" ca="1" si="216"/>
        <v>56.040017779664424</v>
      </c>
      <c r="J510" s="359">
        <f t="shared" ca="1" si="217"/>
        <v>184.26379383972827</v>
      </c>
      <c r="K510" s="360">
        <f t="shared" ca="1" si="218"/>
        <v>-5.8467912547923744</v>
      </c>
      <c r="L510" s="357">
        <f t="shared" ca="1" si="203"/>
        <v>184.35653144976177</v>
      </c>
      <c r="M510" s="359">
        <f t="shared" ca="1" si="219"/>
        <v>-1.4812779232872506</v>
      </c>
      <c r="N510" s="357">
        <f t="shared" ca="1" si="220"/>
        <v>-84.870973290262782</v>
      </c>
      <c r="O510" s="343"/>
      <c r="P510" s="363">
        <f t="shared" ca="1" si="221"/>
        <v>23</v>
      </c>
      <c r="Q510" s="357">
        <f t="shared" ca="1" si="222"/>
        <v>0</v>
      </c>
      <c r="R510" s="359">
        <f t="shared" ca="1" si="223"/>
        <v>0</v>
      </c>
      <c r="S510" s="360">
        <f t="shared" ca="1" si="224"/>
        <v>0.42898953648292248</v>
      </c>
      <c r="T510" s="357">
        <f t="shared" ca="1" si="204"/>
        <v>4.2083873528974696</v>
      </c>
      <c r="U510" s="364">
        <f t="shared" ca="1" si="205"/>
        <v>0</v>
      </c>
      <c r="V510" s="359">
        <f t="shared" ca="1" si="206"/>
        <v>1.2257164413728698</v>
      </c>
      <c r="W510" s="357">
        <f t="shared" ca="1" si="207"/>
        <v>3.3931674010296189</v>
      </c>
      <c r="X510" s="343"/>
      <c r="Y510" s="367" t="str">
        <f t="shared" ca="1" si="225"/>
        <v/>
      </c>
      <c r="Z510" s="368" t="str">
        <f t="shared" ca="1" si="226"/>
        <v/>
      </c>
      <c r="AA510" s="369" t="str">
        <f t="shared" ca="1" si="227"/>
        <v/>
      </c>
      <c r="AB510" s="344"/>
      <c r="AC510" s="363" t="e">
        <f t="shared" ca="1" si="228"/>
        <v>#N/A</v>
      </c>
      <c r="AD510" s="376" t="e">
        <f t="shared" ca="1" si="229"/>
        <v>#N/A</v>
      </c>
      <c r="AE510" s="377" t="e">
        <f t="shared" ca="1" si="208"/>
        <v>#N/A</v>
      </c>
      <c r="AF510" s="344"/>
      <c r="AG510" s="359">
        <f t="shared" ca="1" si="230"/>
        <v>1.8611013421206311</v>
      </c>
      <c r="AH510" s="357">
        <f t="shared" ca="1" si="231"/>
        <v>-7.9096170909168153</v>
      </c>
    </row>
    <row r="511" spans="1:34">
      <c r="A511" s="402">
        <f t="shared" ca="1" si="209"/>
        <v>1E-4</v>
      </c>
      <c r="B511" s="357">
        <f t="shared" ca="1" si="210"/>
        <v>16.915799999999937</v>
      </c>
      <c r="C511" s="342"/>
      <c r="D511" s="359">
        <f t="shared" ca="1" si="211"/>
        <v>-0.70711609109623086</v>
      </c>
      <c r="E511" s="360">
        <f t="shared" ca="1" si="212"/>
        <v>-1.9319970623782403</v>
      </c>
      <c r="F511" s="357">
        <f t="shared" ca="1" si="213"/>
        <v>2.0573346386345035</v>
      </c>
      <c r="G511" s="359">
        <f t="shared" ca="1" si="214"/>
        <v>5.0098447547751483</v>
      </c>
      <c r="H511" s="360">
        <f t="shared" ca="1" si="215"/>
        <v>-55.815821295829892</v>
      </c>
      <c r="I511" s="357">
        <f t="shared" ca="1" si="216"/>
        <v>56.040203884309399</v>
      </c>
      <c r="J511" s="359">
        <f t="shared" ca="1" si="217"/>
        <v>184.26379383972827</v>
      </c>
      <c r="K511" s="360">
        <f t="shared" ca="1" si="218"/>
        <v>-5.8523728272619717</v>
      </c>
      <c r="L511" s="357">
        <f t="shared" ca="1" si="203"/>
        <v>184.3567085514361</v>
      </c>
      <c r="M511" s="359">
        <f t="shared" ca="1" si="219"/>
        <v>-1.4812794882407383</v>
      </c>
      <c r="N511" s="357">
        <f t="shared" ca="1" si="220"/>
        <v>-84.871062955492761</v>
      </c>
      <c r="O511" s="343"/>
      <c r="P511" s="363">
        <f t="shared" ca="1" si="221"/>
        <v>23</v>
      </c>
      <c r="Q511" s="357">
        <f t="shared" ca="1" si="222"/>
        <v>0</v>
      </c>
      <c r="R511" s="359">
        <f t="shared" ca="1" si="223"/>
        <v>0</v>
      </c>
      <c r="S511" s="360">
        <f t="shared" ca="1" si="224"/>
        <v>0.42898953648292248</v>
      </c>
      <c r="T511" s="357">
        <f t="shared" ca="1" si="204"/>
        <v>4.2083873528974696</v>
      </c>
      <c r="U511" s="364">
        <f t="shared" ca="1" si="205"/>
        <v>0</v>
      </c>
      <c r="V511" s="359">
        <f t="shared" ca="1" si="206"/>
        <v>1.2257171255156341</v>
      </c>
      <c r="W511" s="357">
        <f t="shared" ca="1" si="207"/>
        <v>3.3931918319040042</v>
      </c>
      <c r="X511" s="343"/>
      <c r="Y511" s="367" t="str">
        <f t="shared" ca="1" si="225"/>
        <v/>
      </c>
      <c r="Z511" s="368" t="str">
        <f t="shared" ca="1" si="226"/>
        <v/>
      </c>
      <c r="AA511" s="369" t="str">
        <f t="shared" ca="1" si="227"/>
        <v/>
      </c>
      <c r="AB511" s="344"/>
      <c r="AC511" s="363" t="e">
        <f t="shared" ca="1" si="228"/>
        <v>#N/A</v>
      </c>
      <c r="AD511" s="376" t="e">
        <f t="shared" ca="1" si="229"/>
        <v>#N/A</v>
      </c>
      <c r="AE511" s="377" t="e">
        <f t="shared" ca="1" si="208"/>
        <v>#N/A</v>
      </c>
      <c r="AF511" s="344"/>
      <c r="AG511" s="359">
        <f t="shared" ca="1" si="230"/>
        <v>1.8610457634979642</v>
      </c>
      <c r="AH511" s="357">
        <f t="shared" ca="1" si="231"/>
        <v>-7.9096740420490335</v>
      </c>
    </row>
    <row r="512" spans="1:34">
      <c r="A512" s="402">
        <f t="shared" ca="1" si="209"/>
        <v>1E-4</v>
      </c>
      <c r="B512" s="357">
        <f t="shared" ca="1" si="210"/>
        <v>16.915899999999937</v>
      </c>
      <c r="C512" s="342"/>
      <c r="D512" s="359">
        <f t="shared" ca="1" si="211"/>
        <v>-0.70710885354868036</v>
      </c>
      <c r="E512" s="360">
        <f t="shared" ca="1" si="212"/>
        <v>-1.9319392339945489</v>
      </c>
      <c r="F512" s="357">
        <f t="shared" ca="1" si="213"/>
        <v>2.057277845750149</v>
      </c>
      <c r="G512" s="359">
        <f t="shared" ca="1" si="214"/>
        <v>5.0097740438897933</v>
      </c>
      <c r="H512" s="360">
        <f t="shared" ca="1" si="215"/>
        <v>-55.816014489753293</v>
      </c>
      <c r="I512" s="357">
        <f t="shared" ca="1" si="216"/>
        <v>56.040389983396629</v>
      </c>
      <c r="J512" s="359">
        <f t="shared" ca="1" si="217"/>
        <v>184.26379383972827</v>
      </c>
      <c r="K512" s="360">
        <f t="shared" ca="1" si="218"/>
        <v>-5.8579544190512509</v>
      </c>
      <c r="L512" s="357">
        <f t="shared" ca="1" si="203"/>
        <v>184.35688582254139</v>
      </c>
      <c r="M512" s="359">
        <f t="shared" ca="1" si="219"/>
        <v>-1.4812810531617437</v>
      </c>
      <c r="N512" s="357">
        <f t="shared" ca="1" si="220"/>
        <v>-84.871152618861643</v>
      </c>
      <c r="O512" s="343"/>
      <c r="P512" s="363">
        <f t="shared" ca="1" si="221"/>
        <v>23</v>
      </c>
      <c r="Q512" s="357">
        <f t="shared" ca="1" si="222"/>
        <v>0</v>
      </c>
      <c r="R512" s="359">
        <f t="shared" ca="1" si="223"/>
        <v>0</v>
      </c>
      <c r="S512" s="360">
        <f t="shared" ca="1" si="224"/>
        <v>0.42898953648292248</v>
      </c>
      <c r="T512" s="357">
        <f t="shared" ca="1" si="204"/>
        <v>4.2083873528974696</v>
      </c>
      <c r="U512" s="364">
        <f t="shared" ca="1" si="205"/>
        <v>0</v>
      </c>
      <c r="V512" s="359">
        <f t="shared" ca="1" si="206"/>
        <v>1.2257178096611476</v>
      </c>
      <c r="W512" s="357">
        <f t="shared" ca="1" si="207"/>
        <v>3.3932162622129658</v>
      </c>
      <c r="X512" s="343"/>
      <c r="Y512" s="367" t="str">
        <f t="shared" ca="1" si="225"/>
        <v/>
      </c>
      <c r="Z512" s="368" t="str">
        <f t="shared" ca="1" si="226"/>
        <v/>
      </c>
      <c r="AA512" s="369" t="str">
        <f t="shared" ca="1" si="227"/>
        <v/>
      </c>
      <c r="AB512" s="344"/>
      <c r="AC512" s="363" t="e">
        <f t="shared" ca="1" si="228"/>
        <v>#N/A</v>
      </c>
      <c r="AD512" s="376" t="e">
        <f t="shared" ca="1" si="229"/>
        <v>#N/A</v>
      </c>
      <c r="AE512" s="377" t="e">
        <f t="shared" ca="1" si="208"/>
        <v>#N/A</v>
      </c>
      <c r="AF512" s="344"/>
      <c r="AG512" s="359">
        <f t="shared" ca="1" si="230"/>
        <v>1.8609901861409259</v>
      </c>
      <c r="AH512" s="357">
        <f t="shared" ca="1" si="231"/>
        <v>-7.9097309918632082</v>
      </c>
    </row>
    <row r="513" spans="1:34">
      <c r="A513" s="402">
        <f t="shared" ca="1" si="209"/>
        <v>1E-4</v>
      </c>
      <c r="B513" s="357">
        <f t="shared" ca="1" si="210"/>
        <v>16.915999999999936</v>
      </c>
      <c r="C513" s="342"/>
      <c r="D513" s="359">
        <f t="shared" ca="1" si="211"/>
        <v>-0.70710161595993604</v>
      </c>
      <c r="E513" s="360">
        <f t="shared" ca="1" si="212"/>
        <v>-1.9318814069499446</v>
      </c>
      <c r="F513" s="357">
        <f t="shared" ca="1" si="213"/>
        <v>2.0572210541922931</v>
      </c>
      <c r="G513" s="359">
        <f t="shared" ca="1" si="214"/>
        <v>5.0097033337281971</v>
      </c>
      <c r="H513" s="360">
        <f t="shared" ca="1" si="215"/>
        <v>-55.816207677893985</v>
      </c>
      <c r="I513" s="357">
        <f t="shared" ca="1" si="216"/>
        <v>56.04057607692625</v>
      </c>
      <c r="J513" s="359">
        <f t="shared" ca="1" si="217"/>
        <v>184.26379383972827</v>
      </c>
      <c r="K513" s="360">
        <f t="shared" ca="1" si="218"/>
        <v>-5.8635360301596329</v>
      </c>
      <c r="L513" s="357">
        <f t="shared" ca="1" si="203"/>
        <v>184.35706326307889</v>
      </c>
      <c r="M513" s="359">
        <f t="shared" ca="1" si="219"/>
        <v>-1.4812826180502681</v>
      </c>
      <c r="N513" s="357">
        <f t="shared" ca="1" si="220"/>
        <v>-84.871242280369501</v>
      </c>
      <c r="O513" s="343"/>
      <c r="P513" s="363">
        <f t="shared" ca="1" si="221"/>
        <v>23</v>
      </c>
      <c r="Q513" s="357">
        <f t="shared" ca="1" si="222"/>
        <v>0</v>
      </c>
      <c r="R513" s="359">
        <f t="shared" ca="1" si="223"/>
        <v>0</v>
      </c>
      <c r="S513" s="360">
        <f t="shared" ca="1" si="224"/>
        <v>0.42898953648292248</v>
      </c>
      <c r="T513" s="357">
        <f t="shared" ca="1" si="204"/>
        <v>4.2083873528974696</v>
      </c>
      <c r="U513" s="364">
        <f t="shared" ca="1" si="205"/>
        <v>0</v>
      </c>
      <c r="V513" s="359">
        <f t="shared" ca="1" si="206"/>
        <v>1.2257184938094114</v>
      </c>
      <c r="W513" s="357">
        <f t="shared" ca="1" si="207"/>
        <v>3.3932406919565135</v>
      </c>
      <c r="X513" s="343"/>
      <c r="Y513" s="367" t="str">
        <f t="shared" ca="1" si="225"/>
        <v/>
      </c>
      <c r="Z513" s="368" t="str">
        <f t="shared" ca="1" si="226"/>
        <v/>
      </c>
      <c r="AA513" s="369" t="str">
        <f t="shared" ca="1" si="227"/>
        <v/>
      </c>
      <c r="AB513" s="344"/>
      <c r="AC513" s="363" t="e">
        <f t="shared" ca="1" si="228"/>
        <v>#N/A</v>
      </c>
      <c r="AD513" s="376" t="e">
        <f t="shared" ca="1" si="229"/>
        <v>#N/A</v>
      </c>
      <c r="AE513" s="377" t="e">
        <f t="shared" ca="1" si="208"/>
        <v>#N/A</v>
      </c>
      <c r="AF513" s="344"/>
      <c r="AG513" s="359">
        <f t="shared" ca="1" si="230"/>
        <v>1.8609346100495063</v>
      </c>
      <c r="AH513" s="357">
        <f t="shared" ca="1" si="231"/>
        <v>-7.9097879403593456</v>
      </c>
    </row>
    <row r="514" spans="1:34">
      <c r="A514" s="402">
        <f t="shared" ca="1" si="209"/>
        <v>1E-4</v>
      </c>
      <c r="B514" s="357">
        <f t="shared" ca="1" si="210"/>
        <v>16.916099999999936</v>
      </c>
      <c r="C514" s="342"/>
      <c r="D514" s="359">
        <f t="shared" ca="1" si="211"/>
        <v>-0.70709437833000333</v>
      </c>
      <c r="E514" s="360">
        <f t="shared" ca="1" si="212"/>
        <v>-1.9318235812444042</v>
      </c>
      <c r="F514" s="357">
        <f t="shared" ca="1" si="213"/>
        <v>2.0571642639609142</v>
      </c>
      <c r="G514" s="359">
        <f t="shared" ca="1" si="214"/>
        <v>5.0096326242903642</v>
      </c>
      <c r="H514" s="360">
        <f t="shared" ca="1" si="215"/>
        <v>-55.816400860252109</v>
      </c>
      <c r="I514" s="357">
        <f t="shared" ca="1" si="216"/>
        <v>56.040762164898389</v>
      </c>
      <c r="J514" s="359">
        <f t="shared" ca="1" si="217"/>
        <v>184.26379383972827</v>
      </c>
      <c r="K514" s="360">
        <f t="shared" ca="1" si="218"/>
        <v>-5.8691176605865403</v>
      </c>
      <c r="L514" s="357">
        <f t="shared" ca="1" si="203"/>
        <v>184.35724087304976</v>
      </c>
      <c r="M514" s="359">
        <f t="shared" ca="1" si="219"/>
        <v>-1.4812841829063121</v>
      </c>
      <c r="N514" s="357">
        <f t="shared" ca="1" si="220"/>
        <v>-84.871331940016361</v>
      </c>
      <c r="O514" s="343"/>
      <c r="P514" s="363">
        <f t="shared" ca="1" si="221"/>
        <v>23</v>
      </c>
      <c r="Q514" s="357">
        <f t="shared" ca="1" si="222"/>
        <v>0</v>
      </c>
      <c r="R514" s="359">
        <f t="shared" ca="1" si="223"/>
        <v>0</v>
      </c>
      <c r="S514" s="360">
        <f t="shared" ca="1" si="224"/>
        <v>0.42898953648292248</v>
      </c>
      <c r="T514" s="357">
        <f t="shared" ca="1" si="204"/>
        <v>4.2083873528974696</v>
      </c>
      <c r="U514" s="364">
        <f t="shared" ca="1" si="205"/>
        <v>0</v>
      </c>
      <c r="V514" s="359">
        <f t="shared" ca="1" si="206"/>
        <v>1.2257191779604253</v>
      </c>
      <c r="W514" s="357">
        <f t="shared" ca="1" si="207"/>
        <v>3.3932651211346565</v>
      </c>
      <c r="X514" s="343"/>
      <c r="Y514" s="367" t="str">
        <f t="shared" ca="1" si="225"/>
        <v/>
      </c>
      <c r="Z514" s="368" t="str">
        <f t="shared" ca="1" si="226"/>
        <v/>
      </c>
      <c r="AA514" s="369" t="str">
        <f t="shared" ca="1" si="227"/>
        <v/>
      </c>
      <c r="AB514" s="344"/>
      <c r="AC514" s="363" t="e">
        <f t="shared" ca="1" si="228"/>
        <v>#N/A</v>
      </c>
      <c r="AD514" s="376" t="e">
        <f t="shared" ca="1" si="229"/>
        <v>#N/A</v>
      </c>
      <c r="AE514" s="377" t="e">
        <f t="shared" ca="1" si="208"/>
        <v>#N/A</v>
      </c>
      <c r="AF514" s="344"/>
      <c r="AG514" s="359">
        <f t="shared" ca="1" si="230"/>
        <v>1.8608790352236886</v>
      </c>
      <c r="AH514" s="357">
        <f t="shared" ca="1" si="231"/>
        <v>-7.9098448875374698</v>
      </c>
    </row>
    <row r="515" spans="1:34">
      <c r="A515" s="402">
        <f t="shared" ca="1" si="209"/>
        <v>1E-4</v>
      </c>
      <c r="B515" s="357">
        <f t="shared" ca="1" si="210"/>
        <v>16.916199999999936</v>
      </c>
      <c r="C515" s="342"/>
      <c r="D515" s="359">
        <f t="shared" ca="1" si="211"/>
        <v>-0.70708714065888867</v>
      </c>
      <c r="E515" s="360">
        <f t="shared" ca="1" si="212"/>
        <v>-1.931765756877903</v>
      </c>
      <c r="F515" s="357">
        <f t="shared" ca="1" si="213"/>
        <v>2.0571074750559877</v>
      </c>
      <c r="G515" s="359">
        <f t="shared" ca="1" si="214"/>
        <v>5.009561915576298</v>
      </c>
      <c r="H515" s="360">
        <f t="shared" ca="1" si="215"/>
        <v>-55.816594036827794</v>
      </c>
      <c r="I515" s="357">
        <f t="shared" ca="1" si="216"/>
        <v>56.040948247313167</v>
      </c>
      <c r="J515" s="359">
        <f t="shared" ca="1" si="217"/>
        <v>184.26379383972827</v>
      </c>
      <c r="K515" s="360">
        <f t="shared" ca="1" si="218"/>
        <v>-5.874699310331394</v>
      </c>
      <c r="L515" s="357">
        <f t="shared" ca="1" si="203"/>
        <v>184.35741865245535</v>
      </c>
      <c r="M515" s="359">
        <f t="shared" ca="1" si="219"/>
        <v>-1.4812857477298771</v>
      </c>
      <c r="N515" s="357">
        <f t="shared" ca="1" si="220"/>
        <v>-84.871421597802325</v>
      </c>
      <c r="O515" s="343"/>
      <c r="P515" s="363">
        <f t="shared" ca="1" si="221"/>
        <v>23</v>
      </c>
      <c r="Q515" s="357">
        <f t="shared" ca="1" si="222"/>
        <v>0</v>
      </c>
      <c r="R515" s="359">
        <f t="shared" ca="1" si="223"/>
        <v>0</v>
      </c>
      <c r="S515" s="360">
        <f t="shared" ca="1" si="224"/>
        <v>0.42898953648292248</v>
      </c>
      <c r="T515" s="357">
        <f t="shared" ca="1" si="204"/>
        <v>4.2083873528974696</v>
      </c>
      <c r="U515" s="364">
        <f t="shared" ca="1" si="205"/>
        <v>0</v>
      </c>
      <c r="V515" s="359">
        <f t="shared" ca="1" si="206"/>
        <v>1.2257198621141889</v>
      </c>
      <c r="W515" s="357">
        <f t="shared" ca="1" si="207"/>
        <v>3.3932895497474003</v>
      </c>
      <c r="X515" s="343"/>
      <c r="Y515" s="367" t="str">
        <f t="shared" ca="1" si="225"/>
        <v/>
      </c>
      <c r="Z515" s="368" t="str">
        <f t="shared" ca="1" si="226"/>
        <v/>
      </c>
      <c r="AA515" s="369" t="str">
        <f t="shared" ca="1" si="227"/>
        <v/>
      </c>
      <c r="AB515" s="344"/>
      <c r="AC515" s="363" t="e">
        <f t="shared" ca="1" si="228"/>
        <v>#N/A</v>
      </c>
      <c r="AD515" s="376" t="e">
        <f t="shared" ca="1" si="229"/>
        <v>#N/A</v>
      </c>
      <c r="AE515" s="377" t="e">
        <f t="shared" ca="1" si="208"/>
        <v>#N/A</v>
      </c>
      <c r="AF515" s="344"/>
      <c r="AG515" s="359">
        <f t="shared" ca="1" si="230"/>
        <v>1.8608234616634505</v>
      </c>
      <c r="AH515" s="357">
        <f t="shared" ca="1" si="231"/>
        <v>-7.909901833397603</v>
      </c>
    </row>
    <row r="516" spans="1:34">
      <c r="A516" s="402">
        <f t="shared" ca="1" si="209"/>
        <v>1E-4</v>
      </c>
      <c r="B516" s="357">
        <f t="shared" ca="1" si="210"/>
        <v>16.916299999999936</v>
      </c>
      <c r="C516" s="342"/>
      <c r="D516" s="359">
        <f t="shared" ca="1" si="211"/>
        <v>-0.70707990294659651</v>
      </c>
      <c r="E516" s="360">
        <f t="shared" ca="1" si="212"/>
        <v>-1.9317079338504319</v>
      </c>
      <c r="F516" s="357">
        <f t="shared" ca="1" si="213"/>
        <v>2.0570506874775041</v>
      </c>
      <c r="G516" s="359">
        <f t="shared" ca="1" si="214"/>
        <v>5.0094912075860032</v>
      </c>
      <c r="H516" s="360">
        <f t="shared" ca="1" si="215"/>
        <v>-55.816787207621182</v>
      </c>
      <c r="I516" s="357">
        <f t="shared" ca="1" si="216"/>
        <v>56.041134324170713</v>
      </c>
      <c r="J516" s="359">
        <f t="shared" ca="1" si="217"/>
        <v>184.26379383972827</v>
      </c>
      <c r="K516" s="360">
        <f t="shared" ca="1" si="218"/>
        <v>-5.8802809793936168</v>
      </c>
      <c r="L516" s="357">
        <f t="shared" ref="L516:L579" ca="1" si="232">SQRT(pos_x^2+pos_z^2)</f>
        <v>184.35759660129685</v>
      </c>
      <c r="M516" s="359">
        <f t="shared" ca="1" si="219"/>
        <v>-1.4812873125209636</v>
      </c>
      <c r="N516" s="357">
        <f t="shared" ca="1" si="220"/>
        <v>-84.871511253727391</v>
      </c>
      <c r="O516" s="343"/>
      <c r="P516" s="363">
        <f t="shared" ca="1" si="221"/>
        <v>23</v>
      </c>
      <c r="Q516" s="357">
        <f t="shared" ca="1" si="222"/>
        <v>0</v>
      </c>
      <c r="R516" s="359">
        <f t="shared" ca="1" si="223"/>
        <v>0</v>
      </c>
      <c r="S516" s="360">
        <f t="shared" ca="1" si="224"/>
        <v>0.42898953648292248</v>
      </c>
      <c r="T516" s="357">
        <f t="shared" ref="T516:T579" ca="1" si="233">m*g</f>
        <v>4.2083873528974696</v>
      </c>
      <c r="U516" s="364">
        <f t="shared" ref="U516:U579" ca="1" si="234">IF(pos_xz&lt;L_rampe,Poids*COS(Beta),0)</f>
        <v>0</v>
      </c>
      <c r="V516" s="359">
        <f t="shared" ref="V516:V579" ca="1" si="235">Rho_moyen*(20000-Alt_rampe-pos_z)/(20000+Alt_rampe+pos_z)</f>
        <v>1.2257205462707024</v>
      </c>
      <c r="W516" s="357">
        <f t="shared" ref="W516:W579" ca="1" si="236">1/2*Rho*Sref*Cx*vit_xz^2</f>
        <v>3.3933139777947523</v>
      </c>
      <c r="X516" s="343"/>
      <c r="Y516" s="367" t="str">
        <f t="shared" ca="1" si="225"/>
        <v/>
      </c>
      <c r="Z516" s="368" t="str">
        <f t="shared" ca="1" si="226"/>
        <v/>
      </c>
      <c r="AA516" s="369" t="str">
        <f t="shared" ca="1" si="227"/>
        <v/>
      </c>
      <c r="AB516" s="344"/>
      <c r="AC516" s="363" t="e">
        <f t="shared" ca="1" si="228"/>
        <v>#N/A</v>
      </c>
      <c r="AD516" s="376" t="e">
        <f t="shared" ca="1" si="229"/>
        <v>#N/A</v>
      </c>
      <c r="AE516" s="377" t="e">
        <f t="shared" ref="AE516:AE579" ca="1" si="237">IF(t&lt;T_para, pos_z, NA())</f>
        <v>#N/A</v>
      </c>
      <c r="AF516" s="344"/>
      <c r="AG516" s="359">
        <f t="shared" ca="1" si="230"/>
        <v>1.8607678893687858</v>
      </c>
      <c r="AH516" s="357">
        <f t="shared" ca="1" si="231"/>
        <v>-7.9099587779397567</v>
      </c>
    </row>
    <row r="517" spans="1:34">
      <c r="A517" s="402">
        <f t="shared" ref="A517:A580" ca="1" si="238">IF(B516+0.01&lt;=T_ini+ROUNDUP(Temps_fin_propu,0), 0.01, IF(K516&gt;0, 0.1, 0.0001))</f>
        <v>1E-4</v>
      </c>
      <c r="B517" s="357">
        <f t="shared" ref="B517:B580" ca="1" si="239">B516+pas</f>
        <v>16.916399999999935</v>
      </c>
      <c r="C517" s="342"/>
      <c r="D517" s="359">
        <f t="shared" ref="D517:D580" ca="1" si="240">IF(AND(L516&lt;L_rampe,Poussee&lt;Poids*SIN(M516)),0,(-W516+Poussee)/m*COS(M516)-U516/m*SIN(M516))</f>
        <v>-0.70707266519313472</v>
      </c>
      <c r="E517" s="360">
        <f t="shared" ref="E517:E580" ca="1" si="241">IF(AND(L516&lt;L_rampe,Poussee&lt;Poids*SIN(M516)),0,(-W516+Poussee)/m*SIN(M516)+U516/m*COS(M516)-Poids/m)</f>
        <v>-1.9316501121619707</v>
      </c>
      <c r="F517" s="357">
        <f t="shared" ref="F517:F580" ca="1" si="242">SQRT(acc_x^2+acc_z^2)</f>
        <v>2.0569939012254452</v>
      </c>
      <c r="G517" s="359">
        <f t="shared" ref="G517:G580" ca="1" si="243">G516+acc_x*pas</f>
        <v>5.009420500319484</v>
      </c>
      <c r="H517" s="360">
        <f t="shared" ref="H517:H580" ca="1" si="244">H516+acc_z*pas</f>
        <v>-55.816980372632401</v>
      </c>
      <c r="I517" s="357">
        <f t="shared" ref="I517:I580" ca="1" si="245">SQRT(vit_x^2+vit_z^2)</f>
        <v>56.041320395471161</v>
      </c>
      <c r="J517" s="359">
        <f t="shared" ref="J517:J580" ca="1" si="246">J516+0.5*(vit_x+G516)*pas*(K516&gt;=0)</f>
        <v>184.26379383972827</v>
      </c>
      <c r="K517" s="360">
        <f t="shared" ref="K517:K580" ca="1" si="247">K516+0.5*(vit_z+H516)*pas</f>
        <v>-5.8858626677726296</v>
      </c>
      <c r="L517" s="357">
        <f t="shared" ca="1" si="232"/>
        <v>184.35777471957553</v>
      </c>
      <c r="M517" s="359">
        <f t="shared" ref="M517:M580" ca="1" si="248">IF(AND(L516&gt;L_rampe,G517&gt;0),ATAN2(G517,H517),$M$4)</f>
        <v>-1.4812888772795727</v>
      </c>
      <c r="N517" s="357">
        <f t="shared" ref="N517:N580" ca="1" si="249">DEGREES(Beta)</f>
        <v>-84.87160090779166</v>
      </c>
      <c r="O517" s="343"/>
      <c r="P517" s="363">
        <f t="shared" ref="P517:P580" ca="1" si="250">MATCH(t-pas/2-T_ini,CdP_t)</f>
        <v>23</v>
      </c>
      <c r="Q517" s="357">
        <f t="shared" ref="Q517:Q580" ca="1" si="251">(INDEX(CdP,2,i_P+1)-INDEX(CdP,2,i_P+0))/(INDEX(CdP,1,i_P+1)-INDEX(CdP,1,i_P+0))*(t-pas/2-T_ini-INDEX(CdP,1,i_P+0))+INDEX(CdP,2,i_P+0)</f>
        <v>0</v>
      </c>
      <c r="R517" s="359">
        <f t="shared" ref="R517:R580" ca="1" si="252">Poussee/(g*ISP)</f>
        <v>0</v>
      </c>
      <c r="S517" s="360">
        <f t="shared" ref="S517:S580" ca="1" si="253">S516-Débit*pas</f>
        <v>0.42898953648292248</v>
      </c>
      <c r="T517" s="357">
        <f t="shared" ca="1" si="233"/>
        <v>4.2083873528974696</v>
      </c>
      <c r="U517" s="364">
        <f t="shared" ca="1" si="234"/>
        <v>0</v>
      </c>
      <c r="V517" s="359">
        <f t="shared" ca="1" si="235"/>
        <v>1.2257212304299654</v>
      </c>
      <c r="W517" s="357">
        <f t="shared" ca="1" si="236"/>
        <v>3.3933384052767219</v>
      </c>
      <c r="X517" s="343"/>
      <c r="Y517" s="367" t="str">
        <f t="shared" ref="Y517:Y580" ca="1" si="254">IF(AND(pos_z&lt;=0,K516&gt;0),"Impact balistique","") &amp; IF(AND(H518&lt;0,vit_z&gt;=0),"Apogée","") &amp; IF(AND(Poussee=0,Q516&gt;0),"Fin de propulsion","") &amp; IF(AND(L518&gt;L_rampe,pos_xz&lt;=L_rampe),"Sortie de rampe","")</f>
        <v/>
      </c>
      <c r="Z517" s="368" t="str">
        <f t="shared" ref="Z517:Z580" ca="1" si="255">IF(ABS(t-T_para)&lt;pas/2,"Para","")</f>
        <v/>
      </c>
      <c r="AA517" s="369" t="str">
        <f t="shared" ref="AA517:AA580" ca="1" si="256">IF(ABS(t-T_satellite)&lt;pas/2,"Satellite","")</f>
        <v/>
      </c>
      <c r="AB517" s="344"/>
      <c r="AC517" s="363" t="e">
        <f t="shared" ref="AC517:AC580" ca="1" si="257">IF(ABS(t-ROUND(t,0))&lt;0.001,t,NA())</f>
        <v>#N/A</v>
      </c>
      <c r="AD517" s="376" t="e">
        <f t="shared" ref="AD517:AD580" ca="1" si="258">IF(ABS(t-ROUND(t,0))&lt;0.001,pos_x,NA())</f>
        <v>#N/A</v>
      </c>
      <c r="AE517" s="377" t="e">
        <f t="shared" ca="1" si="237"/>
        <v>#N/A</v>
      </c>
      <c r="AF517" s="344"/>
      <c r="AG517" s="359">
        <f t="shared" ref="AG517:AG580" ca="1" si="259">IF(AND(L516&lt;L_rampe,Poussee&lt;Poids*SIN(M516)),0,(-W516+Poussee)/m-Poids*SIN(M516)/m)</f>
        <v>1.860712318339675</v>
      </c>
      <c r="AH517" s="357">
        <f t="shared" ref="AH517:AH580" ca="1" si="260">IF(AND(L516&lt;L_rampe,Poussee&lt;Poids*SIN(M516)), g*SIN(M516), (-W516+Poussee)/m)</f>
        <v>-7.9100157211639486</v>
      </c>
    </row>
    <row r="518" spans="1:34">
      <c r="A518" s="402">
        <f t="shared" ca="1" si="238"/>
        <v>1E-4</v>
      </c>
      <c r="B518" s="357">
        <f t="shared" ca="1" si="239"/>
        <v>16.916499999999935</v>
      </c>
      <c r="C518" s="342"/>
      <c r="D518" s="359">
        <f t="shared" ca="1" si="240"/>
        <v>-0.70706542739850842</v>
      </c>
      <c r="E518" s="360">
        <f t="shared" ca="1" si="241"/>
        <v>-1.931592291812497</v>
      </c>
      <c r="F518" s="357">
        <f t="shared" ca="1" si="242"/>
        <v>2.0569371162997885</v>
      </c>
      <c r="G518" s="359">
        <f t="shared" ca="1" si="243"/>
        <v>5.0093497937767442</v>
      </c>
      <c r="H518" s="360">
        <f t="shared" ca="1" si="244"/>
        <v>-55.817173531861584</v>
      </c>
      <c r="I518" s="357">
        <f t="shared" ca="1" si="245"/>
        <v>56.041506461214624</v>
      </c>
      <c r="J518" s="359">
        <f t="shared" ca="1" si="246"/>
        <v>184.26379383972827</v>
      </c>
      <c r="K518" s="360">
        <f t="shared" ca="1" si="247"/>
        <v>-5.891444375467854</v>
      </c>
      <c r="L518" s="357">
        <f t="shared" ca="1" si="232"/>
        <v>184.35795300729262</v>
      </c>
      <c r="M518" s="359">
        <f t="shared" ca="1" si="248"/>
        <v>-1.4812904420057051</v>
      </c>
      <c r="N518" s="357">
        <f t="shared" ca="1" si="249"/>
        <v>-84.871690559995145</v>
      </c>
      <c r="O518" s="343"/>
      <c r="P518" s="363">
        <f t="shared" ca="1" si="250"/>
        <v>23</v>
      </c>
      <c r="Q518" s="357">
        <f t="shared" ca="1" si="251"/>
        <v>0</v>
      </c>
      <c r="R518" s="359">
        <f t="shared" ca="1" si="252"/>
        <v>0</v>
      </c>
      <c r="S518" s="360">
        <f t="shared" ca="1" si="253"/>
        <v>0.42898953648292248</v>
      </c>
      <c r="T518" s="357">
        <f t="shared" ca="1" si="233"/>
        <v>4.2083873528974696</v>
      </c>
      <c r="U518" s="364">
        <f t="shared" ca="1" si="234"/>
        <v>0</v>
      </c>
      <c r="V518" s="359">
        <f t="shared" ca="1" si="235"/>
        <v>1.2257219145919782</v>
      </c>
      <c r="W518" s="357">
        <f t="shared" ca="1" si="236"/>
        <v>3.3933628321933162</v>
      </c>
      <c r="X518" s="343"/>
      <c r="Y518" s="367" t="str">
        <f t="shared" ca="1" si="254"/>
        <v/>
      </c>
      <c r="Z518" s="368" t="str">
        <f t="shared" ca="1" si="255"/>
        <v/>
      </c>
      <c r="AA518" s="369" t="str">
        <f t="shared" ca="1" si="256"/>
        <v/>
      </c>
      <c r="AB518" s="344"/>
      <c r="AC518" s="363" t="e">
        <f t="shared" ca="1" si="257"/>
        <v>#N/A</v>
      </c>
      <c r="AD518" s="376" t="e">
        <f t="shared" ca="1" si="258"/>
        <v>#N/A</v>
      </c>
      <c r="AE518" s="377" t="e">
        <f t="shared" ca="1" si="237"/>
        <v>#N/A</v>
      </c>
      <c r="AF518" s="344"/>
      <c r="AG518" s="359">
        <f t="shared" ca="1" si="259"/>
        <v>1.860656748576103</v>
      </c>
      <c r="AH518" s="357">
        <f t="shared" ca="1" si="260"/>
        <v>-7.910072663070201</v>
      </c>
    </row>
    <row r="519" spans="1:34">
      <c r="A519" s="402">
        <f t="shared" ca="1" si="238"/>
        <v>1E-4</v>
      </c>
      <c r="B519" s="357">
        <f t="shared" ca="1" si="239"/>
        <v>16.916599999999935</v>
      </c>
      <c r="C519" s="342"/>
      <c r="D519" s="359">
        <f t="shared" ca="1" si="240"/>
        <v>-0.70705818956272581</v>
      </c>
      <c r="E519" s="360">
        <f t="shared" ca="1" si="241"/>
        <v>-1.931534472801995</v>
      </c>
      <c r="F519" s="357">
        <f t="shared" ca="1" si="242"/>
        <v>2.0568803327005196</v>
      </c>
      <c r="G519" s="359">
        <f t="shared" ca="1" si="243"/>
        <v>5.009279087957788</v>
      </c>
      <c r="H519" s="360">
        <f t="shared" ca="1" si="244"/>
        <v>-55.817366685308862</v>
      </c>
      <c r="I519" s="357">
        <f t="shared" ca="1" si="245"/>
        <v>56.041692521401231</v>
      </c>
      <c r="J519" s="359">
        <f t="shared" ca="1" si="246"/>
        <v>184.26379383972827</v>
      </c>
      <c r="K519" s="360">
        <f t="shared" ca="1" si="247"/>
        <v>-5.897026102478713</v>
      </c>
      <c r="L519" s="357">
        <f t="shared" ca="1" si="232"/>
        <v>184.35813146444937</v>
      </c>
      <c r="M519" s="359">
        <f t="shared" ca="1" si="248"/>
        <v>-1.4812920066993622</v>
      </c>
      <c r="N519" s="357">
        <f t="shared" ca="1" si="249"/>
        <v>-84.871780210337917</v>
      </c>
      <c r="O519" s="343"/>
      <c r="P519" s="363">
        <f t="shared" ca="1" si="250"/>
        <v>23</v>
      </c>
      <c r="Q519" s="357">
        <f t="shared" ca="1" si="251"/>
        <v>0</v>
      </c>
      <c r="R519" s="359">
        <f t="shared" ca="1" si="252"/>
        <v>0</v>
      </c>
      <c r="S519" s="360">
        <f t="shared" ca="1" si="253"/>
        <v>0.42898953648292248</v>
      </c>
      <c r="T519" s="357">
        <f t="shared" ca="1" si="233"/>
        <v>4.2083873528974696</v>
      </c>
      <c r="U519" s="364">
        <f t="shared" ca="1" si="234"/>
        <v>0</v>
      </c>
      <c r="V519" s="359">
        <f t="shared" ca="1" si="235"/>
        <v>1.2257225987567399</v>
      </c>
      <c r="W519" s="357">
        <f t="shared" ca="1" si="236"/>
        <v>3.3933872585445384</v>
      </c>
      <c r="X519" s="343"/>
      <c r="Y519" s="367" t="str">
        <f t="shared" ca="1" si="254"/>
        <v/>
      </c>
      <c r="Z519" s="368" t="str">
        <f t="shared" ca="1" si="255"/>
        <v/>
      </c>
      <c r="AA519" s="369" t="str">
        <f t="shared" ca="1" si="256"/>
        <v/>
      </c>
      <c r="AB519" s="344"/>
      <c r="AC519" s="363" t="e">
        <f t="shared" ca="1" si="257"/>
        <v>#N/A</v>
      </c>
      <c r="AD519" s="376" t="e">
        <f t="shared" ca="1" si="258"/>
        <v>#N/A</v>
      </c>
      <c r="AE519" s="377" t="e">
        <f t="shared" ca="1" si="237"/>
        <v>#N/A</v>
      </c>
      <c r="AF519" s="344"/>
      <c r="AG519" s="359">
        <f t="shared" ca="1" si="259"/>
        <v>1.8606011800780475</v>
      </c>
      <c r="AH519" s="357">
        <f t="shared" ca="1" si="260"/>
        <v>-7.9101296036585307</v>
      </c>
    </row>
    <row r="520" spans="1:34">
      <c r="A520" s="402">
        <f t="shared" ca="1" si="238"/>
        <v>1E-4</v>
      </c>
      <c r="B520" s="357">
        <f t="shared" ca="1" si="239"/>
        <v>16.916699999999935</v>
      </c>
      <c r="C520" s="342"/>
      <c r="D520" s="359">
        <f t="shared" ca="1" si="240"/>
        <v>-0.70705095168578824</v>
      </c>
      <c r="E520" s="360">
        <f t="shared" ca="1" si="241"/>
        <v>-1.9314766551304583</v>
      </c>
      <c r="F520" s="357">
        <f t="shared" ca="1" si="242"/>
        <v>2.0568235504276302</v>
      </c>
      <c r="G520" s="359">
        <f t="shared" ca="1" si="243"/>
        <v>5.009208382862619</v>
      </c>
      <c r="H520" s="360">
        <f t="shared" ca="1" si="244"/>
        <v>-55.817559832974375</v>
      </c>
      <c r="I520" s="357">
        <f t="shared" ca="1" si="245"/>
        <v>56.041878576031117</v>
      </c>
      <c r="J520" s="359">
        <f t="shared" ca="1" si="246"/>
        <v>184.26379383972827</v>
      </c>
      <c r="K520" s="360">
        <f t="shared" ca="1" si="247"/>
        <v>-5.9026078488046272</v>
      </c>
      <c r="L520" s="357">
        <f t="shared" ca="1" si="232"/>
        <v>184.35831009104703</v>
      </c>
      <c r="M520" s="359">
        <f t="shared" ca="1" si="248"/>
        <v>-1.4812935713605446</v>
      </c>
      <c r="N520" s="357">
        <f t="shared" ca="1" si="249"/>
        <v>-84.871869858820034</v>
      </c>
      <c r="O520" s="343"/>
      <c r="P520" s="363">
        <f t="shared" ca="1" si="250"/>
        <v>23</v>
      </c>
      <c r="Q520" s="357">
        <f t="shared" ca="1" si="251"/>
        <v>0</v>
      </c>
      <c r="R520" s="359">
        <f t="shared" ca="1" si="252"/>
        <v>0</v>
      </c>
      <c r="S520" s="360">
        <f t="shared" ca="1" si="253"/>
        <v>0.42898953648292248</v>
      </c>
      <c r="T520" s="357">
        <f t="shared" ca="1" si="233"/>
        <v>4.2083873528974696</v>
      </c>
      <c r="U520" s="364">
        <f t="shared" ca="1" si="234"/>
        <v>0</v>
      </c>
      <c r="V520" s="359">
        <f t="shared" ca="1" si="235"/>
        <v>1.2257232829242519</v>
      </c>
      <c r="W520" s="357">
        <f t="shared" ca="1" si="236"/>
        <v>3.393411684330403</v>
      </c>
      <c r="X520" s="343"/>
      <c r="Y520" s="367" t="str">
        <f t="shared" ca="1" si="254"/>
        <v/>
      </c>
      <c r="Z520" s="368" t="str">
        <f t="shared" ca="1" si="255"/>
        <v/>
      </c>
      <c r="AA520" s="369" t="str">
        <f t="shared" ca="1" si="256"/>
        <v/>
      </c>
      <c r="AB520" s="344"/>
      <c r="AC520" s="363" t="e">
        <f t="shared" ca="1" si="257"/>
        <v>#N/A</v>
      </c>
      <c r="AD520" s="376" t="e">
        <f t="shared" ca="1" si="258"/>
        <v>#N/A</v>
      </c>
      <c r="AE520" s="377" t="e">
        <f t="shared" ca="1" si="237"/>
        <v>#N/A</v>
      </c>
      <c r="AF520" s="344"/>
      <c r="AG520" s="359">
        <f t="shared" ca="1" si="259"/>
        <v>1.860545612845514</v>
      </c>
      <c r="AH520" s="357">
        <f t="shared" ca="1" si="260"/>
        <v>-7.9101865429289431</v>
      </c>
    </row>
    <row r="521" spans="1:34">
      <c r="A521" s="402">
        <f t="shared" ca="1" si="238"/>
        <v>1E-4</v>
      </c>
      <c r="B521" s="357">
        <f t="shared" ca="1" si="239"/>
        <v>16.916799999999935</v>
      </c>
      <c r="C521" s="342"/>
      <c r="D521" s="359">
        <f t="shared" ca="1" si="240"/>
        <v>-0.70704371376770592</v>
      </c>
      <c r="E521" s="360">
        <f t="shared" ca="1" si="241"/>
        <v>-1.9314188387978488</v>
      </c>
      <c r="F521" s="357">
        <f t="shared" ca="1" si="242"/>
        <v>2.0567667694810856</v>
      </c>
      <c r="G521" s="359">
        <f t="shared" ca="1" si="243"/>
        <v>5.0091376784912427</v>
      </c>
      <c r="H521" s="360">
        <f t="shared" ca="1" si="244"/>
        <v>-55.817752974858251</v>
      </c>
      <c r="I521" s="357">
        <f t="shared" ca="1" si="245"/>
        <v>56.042064625104402</v>
      </c>
      <c r="J521" s="359">
        <f t="shared" ca="1" si="246"/>
        <v>184.26379383972827</v>
      </c>
      <c r="K521" s="360">
        <f t="shared" ca="1" si="247"/>
        <v>-5.9081896144450186</v>
      </c>
      <c r="L521" s="357">
        <f t="shared" ca="1" si="232"/>
        <v>184.35848888708685</v>
      </c>
      <c r="M521" s="359">
        <f t="shared" ca="1" si="248"/>
        <v>-1.4812951359892534</v>
      </c>
      <c r="N521" s="357">
        <f t="shared" ca="1" si="249"/>
        <v>-84.871959505441566</v>
      </c>
      <c r="O521" s="343"/>
      <c r="P521" s="363">
        <f t="shared" ca="1" si="250"/>
        <v>23</v>
      </c>
      <c r="Q521" s="357">
        <f t="shared" ca="1" si="251"/>
        <v>0</v>
      </c>
      <c r="R521" s="359">
        <f t="shared" ca="1" si="252"/>
        <v>0</v>
      </c>
      <c r="S521" s="360">
        <f t="shared" ca="1" si="253"/>
        <v>0.42898953648292248</v>
      </c>
      <c r="T521" s="357">
        <f t="shared" ca="1" si="233"/>
        <v>4.2083873528974696</v>
      </c>
      <c r="U521" s="364">
        <f t="shared" ca="1" si="234"/>
        <v>0</v>
      </c>
      <c r="V521" s="359">
        <f t="shared" ca="1" si="235"/>
        <v>1.225723967094513</v>
      </c>
      <c r="W521" s="357">
        <f t="shared" ca="1" si="236"/>
        <v>3.3934361095509131</v>
      </c>
      <c r="X521" s="343"/>
      <c r="Y521" s="367" t="str">
        <f t="shared" ca="1" si="254"/>
        <v/>
      </c>
      <c r="Z521" s="368" t="str">
        <f t="shared" ca="1" si="255"/>
        <v/>
      </c>
      <c r="AA521" s="369" t="str">
        <f t="shared" ca="1" si="256"/>
        <v/>
      </c>
      <c r="AB521" s="344"/>
      <c r="AC521" s="363" t="e">
        <f t="shared" ca="1" si="257"/>
        <v>#N/A</v>
      </c>
      <c r="AD521" s="376" t="e">
        <f t="shared" ca="1" si="258"/>
        <v>#N/A</v>
      </c>
      <c r="AE521" s="377" t="e">
        <f t="shared" ca="1" si="237"/>
        <v>#N/A</v>
      </c>
      <c r="AF521" s="344"/>
      <c r="AG521" s="359">
        <f t="shared" ca="1" si="259"/>
        <v>1.8604900468784642</v>
      </c>
      <c r="AH521" s="357">
        <f t="shared" ca="1" si="260"/>
        <v>-7.9102434808814746</v>
      </c>
    </row>
    <row r="522" spans="1:34">
      <c r="A522" s="402">
        <f t="shared" ca="1" si="238"/>
        <v>1E-4</v>
      </c>
      <c r="B522" s="357">
        <f t="shared" ca="1" si="239"/>
        <v>16.916899999999934</v>
      </c>
      <c r="C522" s="342"/>
      <c r="D522" s="359">
        <f t="shared" ca="1" si="240"/>
        <v>-0.70703647580848217</v>
      </c>
      <c r="E522" s="360">
        <f t="shared" ca="1" si="241"/>
        <v>-1.931361023804163</v>
      </c>
      <c r="F522" s="357">
        <f t="shared" ca="1" si="242"/>
        <v>2.0567099898608805</v>
      </c>
      <c r="G522" s="359">
        <f t="shared" ca="1" si="243"/>
        <v>5.0090669748436616</v>
      </c>
      <c r="H522" s="360">
        <f t="shared" ca="1" si="244"/>
        <v>-55.817946110960634</v>
      </c>
      <c r="I522" s="357">
        <f t="shared" ca="1" si="245"/>
        <v>56.042250668621215</v>
      </c>
      <c r="J522" s="359">
        <f t="shared" ca="1" si="246"/>
        <v>184.26379383972827</v>
      </c>
      <c r="K522" s="360">
        <f t="shared" ca="1" si="247"/>
        <v>-5.9137713993993097</v>
      </c>
      <c r="L522" s="357">
        <f t="shared" ca="1" si="232"/>
        <v>184.35866785257002</v>
      </c>
      <c r="M522" s="359">
        <f t="shared" ca="1" si="248"/>
        <v>-1.4812967005854893</v>
      </c>
      <c r="N522" s="357">
        <f t="shared" ca="1" si="249"/>
        <v>-84.872049150202514</v>
      </c>
      <c r="O522" s="343"/>
      <c r="P522" s="363">
        <f t="shared" ca="1" si="250"/>
        <v>23</v>
      </c>
      <c r="Q522" s="357">
        <f t="shared" ca="1" si="251"/>
        <v>0</v>
      </c>
      <c r="R522" s="359">
        <f t="shared" ca="1" si="252"/>
        <v>0</v>
      </c>
      <c r="S522" s="360">
        <f t="shared" ca="1" si="253"/>
        <v>0.42898953648292248</v>
      </c>
      <c r="T522" s="357">
        <f t="shared" ca="1" si="233"/>
        <v>4.2083873528974696</v>
      </c>
      <c r="U522" s="364">
        <f t="shared" ca="1" si="234"/>
        <v>0</v>
      </c>
      <c r="V522" s="359">
        <f t="shared" ca="1" si="235"/>
        <v>1.2257246512675235</v>
      </c>
      <c r="W522" s="357">
        <f t="shared" ca="1" si="236"/>
        <v>3.3934605342060786</v>
      </c>
      <c r="X522" s="343"/>
      <c r="Y522" s="367" t="str">
        <f t="shared" ca="1" si="254"/>
        <v/>
      </c>
      <c r="Z522" s="368" t="str">
        <f t="shared" ca="1" si="255"/>
        <v/>
      </c>
      <c r="AA522" s="369" t="str">
        <f t="shared" ca="1" si="256"/>
        <v/>
      </c>
      <c r="AB522" s="344"/>
      <c r="AC522" s="363" t="e">
        <f t="shared" ca="1" si="257"/>
        <v>#N/A</v>
      </c>
      <c r="AD522" s="376" t="e">
        <f t="shared" ca="1" si="258"/>
        <v>#N/A</v>
      </c>
      <c r="AE522" s="377" t="e">
        <f t="shared" ca="1" si="237"/>
        <v>#N/A</v>
      </c>
      <c r="AF522" s="344"/>
      <c r="AG522" s="359">
        <f t="shared" ca="1" si="259"/>
        <v>1.8604344821768963</v>
      </c>
      <c r="AH522" s="357">
        <f t="shared" ca="1" si="260"/>
        <v>-7.9103004175161304</v>
      </c>
    </row>
    <row r="523" spans="1:34">
      <c r="A523" s="402">
        <f t="shared" ca="1" si="238"/>
        <v>1E-4</v>
      </c>
      <c r="B523" s="357">
        <f t="shared" ca="1" si="239"/>
        <v>16.916999999999934</v>
      </c>
      <c r="C523" s="342"/>
      <c r="D523" s="359">
        <f t="shared" ca="1" si="240"/>
        <v>-0.70702923780812577</v>
      </c>
      <c r="E523" s="360">
        <f t="shared" ca="1" si="241"/>
        <v>-1.9313032101493759</v>
      </c>
      <c r="F523" s="357">
        <f t="shared" ca="1" si="242"/>
        <v>2.0566532115669922</v>
      </c>
      <c r="G523" s="359">
        <f t="shared" ca="1" si="243"/>
        <v>5.0089962719198811</v>
      </c>
      <c r="H523" s="360">
        <f t="shared" ca="1" si="244"/>
        <v>-55.818139241281649</v>
      </c>
      <c r="I523" s="357">
        <f t="shared" ca="1" si="245"/>
        <v>56.042436706581682</v>
      </c>
      <c r="J523" s="359">
        <f t="shared" ca="1" si="246"/>
        <v>184.26379383972827</v>
      </c>
      <c r="K523" s="360">
        <f t="shared" ca="1" si="247"/>
        <v>-5.9193532036669216</v>
      </c>
      <c r="L523" s="357">
        <f t="shared" ca="1" si="232"/>
        <v>184.35884698749786</v>
      </c>
      <c r="M523" s="359">
        <f t="shared" ca="1" si="248"/>
        <v>-1.4812982651492534</v>
      </c>
      <c r="N523" s="357">
        <f t="shared" ca="1" si="249"/>
        <v>-84.872138793102977</v>
      </c>
      <c r="O523" s="343"/>
      <c r="P523" s="363">
        <f t="shared" ca="1" si="250"/>
        <v>23</v>
      </c>
      <c r="Q523" s="357">
        <f t="shared" ca="1" si="251"/>
        <v>0</v>
      </c>
      <c r="R523" s="359">
        <f t="shared" ca="1" si="252"/>
        <v>0</v>
      </c>
      <c r="S523" s="360">
        <f t="shared" ca="1" si="253"/>
        <v>0.42898953648292248</v>
      </c>
      <c r="T523" s="357">
        <f t="shared" ca="1" si="233"/>
        <v>4.2083873528974696</v>
      </c>
      <c r="U523" s="364">
        <f t="shared" ca="1" si="234"/>
        <v>0</v>
      </c>
      <c r="V523" s="359">
        <f t="shared" ca="1" si="235"/>
        <v>1.2257253354432831</v>
      </c>
      <c r="W523" s="357">
        <f t="shared" ca="1" si="236"/>
        <v>3.3934849582959052</v>
      </c>
      <c r="X523" s="343"/>
      <c r="Y523" s="367" t="str">
        <f t="shared" ca="1" si="254"/>
        <v/>
      </c>
      <c r="Z523" s="368" t="str">
        <f t="shared" ca="1" si="255"/>
        <v/>
      </c>
      <c r="AA523" s="369" t="str">
        <f t="shared" ca="1" si="256"/>
        <v/>
      </c>
      <c r="AB523" s="344"/>
      <c r="AC523" s="363" t="e">
        <f t="shared" ca="1" si="257"/>
        <v>#N/A</v>
      </c>
      <c r="AD523" s="376" t="e">
        <f t="shared" ca="1" si="258"/>
        <v>#N/A</v>
      </c>
      <c r="AE523" s="377" t="e">
        <f t="shared" ca="1" si="237"/>
        <v>#N/A</v>
      </c>
      <c r="AF523" s="344"/>
      <c r="AG523" s="359">
        <f t="shared" ca="1" si="259"/>
        <v>1.8603789187407838</v>
      </c>
      <c r="AH523" s="357">
        <f t="shared" ca="1" si="260"/>
        <v>-7.9103573528329356</v>
      </c>
    </row>
    <row r="524" spans="1:34">
      <c r="A524" s="402">
        <f t="shared" ca="1" si="238"/>
        <v>1E-4</v>
      </c>
      <c r="B524" s="357">
        <f t="shared" ca="1" si="239"/>
        <v>16.917099999999934</v>
      </c>
      <c r="C524" s="342"/>
      <c r="D524" s="359">
        <f t="shared" ca="1" si="240"/>
        <v>-0.70702199976664082</v>
      </c>
      <c r="E524" s="360">
        <f t="shared" ca="1" si="241"/>
        <v>-1.9312453978334734</v>
      </c>
      <c r="F524" s="357">
        <f t="shared" ca="1" si="242"/>
        <v>2.0565964345994066</v>
      </c>
      <c r="G524" s="359">
        <f t="shared" ca="1" si="243"/>
        <v>5.0089255697199047</v>
      </c>
      <c r="H524" s="360">
        <f t="shared" ca="1" si="244"/>
        <v>-55.818332365821433</v>
      </c>
      <c r="I524" s="357">
        <f t="shared" ca="1" si="245"/>
        <v>56.042622738985926</v>
      </c>
      <c r="J524" s="359">
        <f t="shared" ca="1" si="246"/>
        <v>184.26379383972827</v>
      </c>
      <c r="K524" s="360">
        <f t="shared" ca="1" si="247"/>
        <v>-5.9249350272472769</v>
      </c>
      <c r="L524" s="357">
        <f t="shared" ca="1" si="232"/>
        <v>184.35902629187154</v>
      </c>
      <c r="M524" s="359">
        <f t="shared" ca="1" si="248"/>
        <v>-1.4812998296805466</v>
      </c>
      <c r="N524" s="357">
        <f t="shared" ca="1" si="249"/>
        <v>-84.872228434142997</v>
      </c>
      <c r="O524" s="343"/>
      <c r="P524" s="363">
        <f t="shared" ca="1" si="250"/>
        <v>23</v>
      </c>
      <c r="Q524" s="357">
        <f t="shared" ca="1" si="251"/>
        <v>0</v>
      </c>
      <c r="R524" s="359">
        <f t="shared" ca="1" si="252"/>
        <v>0</v>
      </c>
      <c r="S524" s="360">
        <f t="shared" ca="1" si="253"/>
        <v>0.42898953648292248</v>
      </c>
      <c r="T524" s="357">
        <f t="shared" ca="1" si="233"/>
        <v>4.2083873528974696</v>
      </c>
      <c r="U524" s="364">
        <f t="shared" ca="1" si="234"/>
        <v>0</v>
      </c>
      <c r="V524" s="359">
        <f t="shared" ca="1" si="235"/>
        <v>1.2257260196217923</v>
      </c>
      <c r="W524" s="357">
        <f t="shared" ca="1" si="236"/>
        <v>3.3935093818204014</v>
      </c>
      <c r="X524" s="343"/>
      <c r="Y524" s="367" t="str">
        <f t="shared" ca="1" si="254"/>
        <v/>
      </c>
      <c r="Z524" s="368" t="str">
        <f t="shared" ca="1" si="255"/>
        <v/>
      </c>
      <c r="AA524" s="369" t="str">
        <f t="shared" ca="1" si="256"/>
        <v/>
      </c>
      <c r="AB524" s="344"/>
      <c r="AC524" s="363" t="e">
        <f t="shared" ca="1" si="257"/>
        <v>#N/A</v>
      </c>
      <c r="AD524" s="376" t="e">
        <f t="shared" ca="1" si="258"/>
        <v>#N/A</v>
      </c>
      <c r="AE524" s="377" t="e">
        <f t="shared" ca="1" si="237"/>
        <v>#N/A</v>
      </c>
      <c r="AF524" s="344"/>
      <c r="AG524" s="359">
        <f t="shared" ca="1" si="259"/>
        <v>1.860323356570122</v>
      </c>
      <c r="AH524" s="357">
        <f t="shared" ca="1" si="260"/>
        <v>-7.9104142868319016</v>
      </c>
    </row>
    <row r="525" spans="1:34">
      <c r="A525" s="402">
        <f t="shared" ca="1" si="238"/>
        <v>1E-4</v>
      </c>
      <c r="B525" s="357">
        <f t="shared" ca="1" si="239"/>
        <v>16.917199999999934</v>
      </c>
      <c r="C525" s="342"/>
      <c r="D525" s="359">
        <f t="shared" ca="1" si="240"/>
        <v>-0.70701476168403388</v>
      </c>
      <c r="E525" s="360">
        <f t="shared" ca="1" si="241"/>
        <v>-1.931187586856435</v>
      </c>
      <c r="F525" s="357">
        <f t="shared" ca="1" si="242"/>
        <v>2.0565396589581031</v>
      </c>
      <c r="G525" s="359">
        <f t="shared" ca="1" si="243"/>
        <v>5.0088548682437359</v>
      </c>
      <c r="H525" s="360">
        <f t="shared" ca="1" si="244"/>
        <v>-55.818525484580121</v>
      </c>
      <c r="I525" s="357">
        <f t="shared" ca="1" si="245"/>
        <v>56.042808765834081</v>
      </c>
      <c r="J525" s="359">
        <f t="shared" ca="1" si="246"/>
        <v>184.26379383972827</v>
      </c>
      <c r="K525" s="360">
        <f t="shared" ca="1" si="247"/>
        <v>-5.9305168701397974</v>
      </c>
      <c r="L525" s="357">
        <f t="shared" ca="1" si="232"/>
        <v>184.35920576569237</v>
      </c>
      <c r="M525" s="359">
        <f t="shared" ca="1" si="248"/>
        <v>-1.48130139417937</v>
      </c>
      <c r="N525" s="357">
        <f t="shared" ca="1" si="249"/>
        <v>-84.872318073322631</v>
      </c>
      <c r="O525" s="343"/>
      <c r="P525" s="363">
        <f t="shared" ca="1" si="250"/>
        <v>23</v>
      </c>
      <c r="Q525" s="357">
        <f t="shared" ca="1" si="251"/>
        <v>0</v>
      </c>
      <c r="R525" s="359">
        <f t="shared" ca="1" si="252"/>
        <v>0</v>
      </c>
      <c r="S525" s="360">
        <f t="shared" ca="1" si="253"/>
        <v>0.42898953648292248</v>
      </c>
      <c r="T525" s="357">
        <f t="shared" ca="1" si="233"/>
        <v>4.2083873528974696</v>
      </c>
      <c r="U525" s="364">
        <f t="shared" ca="1" si="234"/>
        <v>0</v>
      </c>
      <c r="V525" s="359">
        <f t="shared" ca="1" si="235"/>
        <v>1.2257267038030502</v>
      </c>
      <c r="W525" s="357">
        <f t="shared" ca="1" si="236"/>
        <v>3.3935338047795747</v>
      </c>
      <c r="X525" s="343"/>
      <c r="Y525" s="367" t="str">
        <f t="shared" ca="1" si="254"/>
        <v/>
      </c>
      <c r="Z525" s="368" t="str">
        <f t="shared" ca="1" si="255"/>
        <v/>
      </c>
      <c r="AA525" s="369" t="str">
        <f t="shared" ca="1" si="256"/>
        <v/>
      </c>
      <c r="AB525" s="344"/>
      <c r="AC525" s="363" t="e">
        <f t="shared" ca="1" si="257"/>
        <v>#N/A</v>
      </c>
      <c r="AD525" s="376" t="e">
        <f t="shared" ca="1" si="258"/>
        <v>#N/A</v>
      </c>
      <c r="AE525" s="377" t="e">
        <f t="shared" ca="1" si="237"/>
        <v>#N/A</v>
      </c>
      <c r="AF525" s="344"/>
      <c r="AG525" s="359">
        <f t="shared" ca="1" si="259"/>
        <v>1.8602677956648925</v>
      </c>
      <c r="AH525" s="357">
        <f t="shared" ca="1" si="260"/>
        <v>-7.9104712195130489</v>
      </c>
    </row>
    <row r="526" spans="1:34">
      <c r="A526" s="402">
        <f t="shared" ca="1" si="238"/>
        <v>1E-4</v>
      </c>
      <c r="B526" s="357">
        <f t="shared" ca="1" si="239"/>
        <v>16.917299999999933</v>
      </c>
      <c r="C526" s="342"/>
      <c r="D526" s="359">
        <f t="shared" ca="1" si="240"/>
        <v>-0.70700752356030971</v>
      </c>
      <c r="E526" s="360">
        <f t="shared" ca="1" si="241"/>
        <v>-1.9311297772182447</v>
      </c>
      <c r="F526" s="357">
        <f t="shared" ca="1" si="242"/>
        <v>2.0564828846430667</v>
      </c>
      <c r="G526" s="359">
        <f t="shared" ca="1" si="243"/>
        <v>5.0087841674913802</v>
      </c>
      <c r="H526" s="360">
        <f t="shared" ca="1" si="244"/>
        <v>-55.81871859755784</v>
      </c>
      <c r="I526" s="357">
        <f t="shared" ca="1" si="245"/>
        <v>56.042994787126268</v>
      </c>
      <c r="J526" s="359">
        <f t="shared" ca="1" si="246"/>
        <v>184.26379383972827</v>
      </c>
      <c r="K526" s="360">
        <f t="shared" ca="1" si="247"/>
        <v>-5.9360987323439041</v>
      </c>
      <c r="L526" s="357">
        <f t="shared" ca="1" si="232"/>
        <v>184.35938540896151</v>
      </c>
      <c r="M526" s="359">
        <f t="shared" ca="1" si="248"/>
        <v>-1.4813029586457243</v>
      </c>
      <c r="N526" s="357">
        <f t="shared" ca="1" si="249"/>
        <v>-84.872407710641923</v>
      </c>
      <c r="O526" s="343"/>
      <c r="P526" s="363">
        <f t="shared" ca="1" si="250"/>
        <v>23</v>
      </c>
      <c r="Q526" s="357">
        <f t="shared" ca="1" si="251"/>
        <v>0</v>
      </c>
      <c r="R526" s="359">
        <f t="shared" ca="1" si="252"/>
        <v>0</v>
      </c>
      <c r="S526" s="360">
        <f t="shared" ca="1" si="253"/>
        <v>0.42898953648292248</v>
      </c>
      <c r="T526" s="357">
        <f t="shared" ca="1" si="233"/>
        <v>4.2083873528974696</v>
      </c>
      <c r="U526" s="364">
        <f t="shared" ca="1" si="234"/>
        <v>0</v>
      </c>
      <c r="V526" s="359">
        <f t="shared" ca="1" si="235"/>
        <v>1.2257273879870576</v>
      </c>
      <c r="W526" s="357">
        <f t="shared" ca="1" si="236"/>
        <v>3.3935582271734335</v>
      </c>
      <c r="X526" s="343"/>
      <c r="Y526" s="367" t="str">
        <f t="shared" ca="1" si="254"/>
        <v/>
      </c>
      <c r="Z526" s="368" t="str">
        <f t="shared" ca="1" si="255"/>
        <v/>
      </c>
      <c r="AA526" s="369" t="str">
        <f t="shared" ca="1" si="256"/>
        <v/>
      </c>
      <c r="AB526" s="344"/>
      <c r="AC526" s="363" t="e">
        <f t="shared" ca="1" si="257"/>
        <v>#N/A</v>
      </c>
      <c r="AD526" s="376" t="e">
        <f t="shared" ca="1" si="258"/>
        <v>#N/A</v>
      </c>
      <c r="AE526" s="377" t="e">
        <f t="shared" ca="1" si="237"/>
        <v>#N/A</v>
      </c>
      <c r="AF526" s="344"/>
      <c r="AG526" s="359">
        <f t="shared" ca="1" si="259"/>
        <v>1.8602122360250792</v>
      </c>
      <c r="AH526" s="357">
        <f t="shared" ca="1" si="260"/>
        <v>-7.9105281508763952</v>
      </c>
    </row>
    <row r="527" spans="1:34">
      <c r="A527" s="402">
        <f t="shared" ca="1" si="238"/>
        <v>1E-4</v>
      </c>
      <c r="B527" s="357">
        <f t="shared" ca="1" si="239"/>
        <v>16.917399999999933</v>
      </c>
      <c r="C527" s="342"/>
      <c r="D527" s="359">
        <f t="shared" ca="1" si="240"/>
        <v>-0.70700028539547644</v>
      </c>
      <c r="E527" s="360">
        <f t="shared" ca="1" si="241"/>
        <v>-1.9310719689188813</v>
      </c>
      <c r="F527" s="357">
        <f t="shared" ca="1" si="242"/>
        <v>2.056426111654277</v>
      </c>
      <c r="G527" s="359">
        <f t="shared" ca="1" si="243"/>
        <v>5.0087134674628411</v>
      </c>
      <c r="H527" s="360">
        <f t="shared" ca="1" si="244"/>
        <v>-55.818911704754733</v>
      </c>
      <c r="I527" s="357">
        <f t="shared" ca="1" si="245"/>
        <v>56.043180802862608</v>
      </c>
      <c r="J527" s="359">
        <f t="shared" ca="1" si="246"/>
        <v>184.26379383972827</v>
      </c>
      <c r="K527" s="360">
        <f t="shared" ca="1" si="247"/>
        <v>-5.9416806138590195</v>
      </c>
      <c r="L527" s="357">
        <f t="shared" ca="1" si="232"/>
        <v>184.3595652216803</v>
      </c>
      <c r="M527" s="359">
        <f t="shared" ca="1" si="248"/>
        <v>-1.4813045230796105</v>
      </c>
      <c r="N527" s="357">
        <f t="shared" ca="1" si="249"/>
        <v>-84.872497346100928</v>
      </c>
      <c r="O527" s="343"/>
      <c r="P527" s="363">
        <f t="shared" ca="1" si="250"/>
        <v>23</v>
      </c>
      <c r="Q527" s="357">
        <f t="shared" ca="1" si="251"/>
        <v>0</v>
      </c>
      <c r="R527" s="359">
        <f t="shared" ca="1" si="252"/>
        <v>0</v>
      </c>
      <c r="S527" s="360">
        <f t="shared" ca="1" si="253"/>
        <v>0.42898953648292248</v>
      </c>
      <c r="T527" s="357">
        <f t="shared" ca="1" si="233"/>
        <v>4.2083873528974696</v>
      </c>
      <c r="U527" s="364">
        <f t="shared" ca="1" si="234"/>
        <v>0</v>
      </c>
      <c r="V527" s="359">
        <f t="shared" ca="1" si="235"/>
        <v>1.2257280721738137</v>
      </c>
      <c r="W527" s="357">
        <f t="shared" ca="1" si="236"/>
        <v>3.3935826490019831</v>
      </c>
      <c r="X527" s="343"/>
      <c r="Y527" s="367" t="str">
        <f t="shared" ca="1" si="254"/>
        <v/>
      </c>
      <c r="Z527" s="368" t="str">
        <f t="shared" ca="1" si="255"/>
        <v/>
      </c>
      <c r="AA527" s="369" t="str">
        <f t="shared" ca="1" si="256"/>
        <v/>
      </c>
      <c r="AB527" s="344"/>
      <c r="AC527" s="363" t="e">
        <f t="shared" ca="1" si="257"/>
        <v>#N/A</v>
      </c>
      <c r="AD527" s="376" t="e">
        <f t="shared" ca="1" si="258"/>
        <v>#N/A</v>
      </c>
      <c r="AE527" s="377" t="e">
        <f t="shared" ca="1" si="237"/>
        <v>#N/A</v>
      </c>
      <c r="AF527" s="344"/>
      <c r="AG527" s="359">
        <f t="shared" ca="1" si="259"/>
        <v>1.8601566776506626</v>
      </c>
      <c r="AH527" s="357">
        <f t="shared" ca="1" si="260"/>
        <v>-7.91058508092196</v>
      </c>
    </row>
    <row r="528" spans="1:34">
      <c r="A528" s="402">
        <f t="shared" ca="1" si="238"/>
        <v>1E-4</v>
      </c>
      <c r="B528" s="357">
        <f t="shared" ca="1" si="239"/>
        <v>16.917499999999933</v>
      </c>
      <c r="C528" s="342"/>
      <c r="D528" s="359">
        <f t="shared" ca="1" si="240"/>
        <v>-0.70699304718953837</v>
      </c>
      <c r="E528" s="360">
        <f t="shared" ca="1" si="241"/>
        <v>-1.9310141619583314</v>
      </c>
      <c r="F528" s="357">
        <f t="shared" ca="1" si="242"/>
        <v>2.0563693399917207</v>
      </c>
      <c r="G528" s="359">
        <f t="shared" ca="1" si="243"/>
        <v>5.008642768158122</v>
      </c>
      <c r="H528" s="360">
        <f t="shared" ca="1" si="244"/>
        <v>-55.819104806170927</v>
      </c>
      <c r="I528" s="357">
        <f t="shared" ca="1" si="245"/>
        <v>56.043366813043242</v>
      </c>
      <c r="J528" s="359">
        <f t="shared" ca="1" si="246"/>
        <v>184.26379383972827</v>
      </c>
      <c r="K528" s="360">
        <f t="shared" ca="1" si="247"/>
        <v>-5.9472625146845655</v>
      </c>
      <c r="L528" s="357">
        <f t="shared" ca="1" si="232"/>
        <v>184.35974520384988</v>
      </c>
      <c r="M528" s="359">
        <f t="shared" ca="1" si="248"/>
        <v>-1.4813060874810295</v>
      </c>
      <c r="N528" s="357">
        <f t="shared" ca="1" si="249"/>
        <v>-84.872586979699705</v>
      </c>
      <c r="O528" s="343"/>
      <c r="P528" s="363">
        <f t="shared" ca="1" si="250"/>
        <v>23</v>
      </c>
      <c r="Q528" s="357">
        <f t="shared" ca="1" si="251"/>
        <v>0</v>
      </c>
      <c r="R528" s="359">
        <f t="shared" ca="1" si="252"/>
        <v>0</v>
      </c>
      <c r="S528" s="360">
        <f t="shared" ca="1" si="253"/>
        <v>0.42898953648292248</v>
      </c>
      <c r="T528" s="357">
        <f t="shared" ca="1" si="233"/>
        <v>4.2083873528974696</v>
      </c>
      <c r="U528" s="364">
        <f t="shared" ca="1" si="234"/>
        <v>0</v>
      </c>
      <c r="V528" s="359">
        <f t="shared" ca="1" si="235"/>
        <v>1.225728756363319</v>
      </c>
      <c r="W528" s="357">
        <f t="shared" ca="1" si="236"/>
        <v>3.3936070702652334</v>
      </c>
      <c r="X528" s="343"/>
      <c r="Y528" s="367" t="str">
        <f t="shared" ca="1" si="254"/>
        <v/>
      </c>
      <c r="Z528" s="368" t="str">
        <f t="shared" ca="1" si="255"/>
        <v/>
      </c>
      <c r="AA528" s="369" t="str">
        <f t="shared" ca="1" si="256"/>
        <v/>
      </c>
      <c r="AB528" s="344"/>
      <c r="AC528" s="363" t="e">
        <f t="shared" ca="1" si="257"/>
        <v>#N/A</v>
      </c>
      <c r="AD528" s="376" t="e">
        <f t="shared" ca="1" si="258"/>
        <v>#N/A</v>
      </c>
      <c r="AE528" s="377" t="e">
        <f t="shared" ca="1" si="237"/>
        <v>#N/A</v>
      </c>
      <c r="AF528" s="344"/>
      <c r="AG528" s="359">
        <f t="shared" ca="1" si="259"/>
        <v>1.8601011205416356</v>
      </c>
      <c r="AH528" s="357">
        <f t="shared" ca="1" si="260"/>
        <v>-7.9106420096497558</v>
      </c>
    </row>
    <row r="529" spans="1:34">
      <c r="A529" s="402">
        <f t="shared" ca="1" si="238"/>
        <v>1E-4</v>
      </c>
      <c r="B529" s="357">
        <f t="shared" ca="1" si="239"/>
        <v>16.917599999999933</v>
      </c>
      <c r="C529" s="342"/>
      <c r="D529" s="359">
        <f t="shared" ca="1" si="240"/>
        <v>-0.70698580894250207</v>
      </c>
      <c r="E529" s="360">
        <f t="shared" ca="1" si="241"/>
        <v>-1.9309563563365737</v>
      </c>
      <c r="F529" s="357">
        <f t="shared" ca="1" si="242"/>
        <v>2.0563125696553772</v>
      </c>
      <c r="G529" s="359">
        <f t="shared" ca="1" si="243"/>
        <v>5.0085720695772276</v>
      </c>
      <c r="H529" s="360">
        <f t="shared" ca="1" si="244"/>
        <v>-55.819297901806557</v>
      </c>
      <c r="I529" s="357">
        <f t="shared" ca="1" si="245"/>
        <v>56.043552817668285</v>
      </c>
      <c r="J529" s="359">
        <f t="shared" ca="1" si="246"/>
        <v>184.26379383972827</v>
      </c>
      <c r="K529" s="360">
        <f t="shared" ca="1" si="247"/>
        <v>-5.9528444348199647</v>
      </c>
      <c r="L529" s="357">
        <f t="shared" ca="1" si="232"/>
        <v>184.35992535547157</v>
      </c>
      <c r="M529" s="359">
        <f t="shared" ca="1" si="248"/>
        <v>-1.4813076518499824</v>
      </c>
      <c r="N529" s="357">
        <f t="shared" ca="1" si="249"/>
        <v>-84.872676611438308</v>
      </c>
      <c r="O529" s="343"/>
      <c r="P529" s="363">
        <f t="shared" ca="1" si="250"/>
        <v>23</v>
      </c>
      <c r="Q529" s="357">
        <f t="shared" ca="1" si="251"/>
        <v>0</v>
      </c>
      <c r="R529" s="359">
        <f t="shared" ca="1" si="252"/>
        <v>0</v>
      </c>
      <c r="S529" s="360">
        <f t="shared" ca="1" si="253"/>
        <v>0.42898953648292248</v>
      </c>
      <c r="T529" s="357">
        <f t="shared" ca="1" si="233"/>
        <v>4.2083873528974696</v>
      </c>
      <c r="U529" s="364">
        <f t="shared" ca="1" si="234"/>
        <v>0</v>
      </c>
      <c r="V529" s="359">
        <f t="shared" ca="1" si="235"/>
        <v>1.2257294405555732</v>
      </c>
      <c r="W529" s="357">
        <f t="shared" ca="1" si="236"/>
        <v>3.3936314909631915</v>
      </c>
      <c r="X529" s="343"/>
      <c r="Y529" s="367" t="str">
        <f t="shared" ca="1" si="254"/>
        <v/>
      </c>
      <c r="Z529" s="368" t="str">
        <f t="shared" ca="1" si="255"/>
        <v/>
      </c>
      <c r="AA529" s="369" t="str">
        <f t="shared" ca="1" si="256"/>
        <v/>
      </c>
      <c r="AB529" s="344"/>
      <c r="AC529" s="363" t="e">
        <f t="shared" ca="1" si="257"/>
        <v>#N/A</v>
      </c>
      <c r="AD529" s="376" t="e">
        <f t="shared" ca="1" si="258"/>
        <v>#N/A</v>
      </c>
      <c r="AE529" s="377" t="e">
        <f t="shared" ca="1" si="237"/>
        <v>#N/A</v>
      </c>
      <c r="AF529" s="344"/>
      <c r="AG529" s="359">
        <f t="shared" ca="1" si="259"/>
        <v>1.8600455646979759</v>
      </c>
      <c r="AH529" s="357">
        <f t="shared" ca="1" si="260"/>
        <v>-7.9106989370598049</v>
      </c>
    </row>
    <row r="530" spans="1:34">
      <c r="A530" s="402">
        <f t="shared" ca="1" si="238"/>
        <v>1E-4</v>
      </c>
      <c r="B530" s="357">
        <f t="shared" ca="1" si="239"/>
        <v>16.917699999999932</v>
      </c>
      <c r="C530" s="342"/>
      <c r="D530" s="359">
        <f t="shared" ca="1" si="240"/>
        <v>-0.70697857065437397</v>
      </c>
      <c r="E530" s="360">
        <f t="shared" ca="1" si="241"/>
        <v>-1.9308985520535904</v>
      </c>
      <c r="F530" s="357">
        <f t="shared" ca="1" si="242"/>
        <v>2.0562558006452294</v>
      </c>
      <c r="G530" s="359">
        <f t="shared" ca="1" si="243"/>
        <v>5.0085013717201621</v>
      </c>
      <c r="H530" s="360">
        <f t="shared" ca="1" si="244"/>
        <v>-55.819490991661759</v>
      </c>
      <c r="I530" s="357">
        <f t="shared" ca="1" si="245"/>
        <v>56.043738816737871</v>
      </c>
      <c r="J530" s="359">
        <f t="shared" ca="1" si="246"/>
        <v>184.26379383972827</v>
      </c>
      <c r="K530" s="360">
        <f t="shared" ca="1" si="247"/>
        <v>-5.9584263742646382</v>
      </c>
      <c r="L530" s="357">
        <f t="shared" ca="1" si="232"/>
        <v>184.36010567654657</v>
      </c>
      <c r="M530" s="359">
        <f t="shared" ca="1" si="248"/>
        <v>-1.4813092161864698</v>
      </c>
      <c r="N530" s="357">
        <f t="shared" ca="1" si="249"/>
        <v>-84.872766241316768</v>
      </c>
      <c r="O530" s="343"/>
      <c r="P530" s="363">
        <f t="shared" ca="1" si="250"/>
        <v>23</v>
      </c>
      <c r="Q530" s="357">
        <f t="shared" ca="1" si="251"/>
        <v>0</v>
      </c>
      <c r="R530" s="359">
        <f t="shared" ca="1" si="252"/>
        <v>0</v>
      </c>
      <c r="S530" s="360">
        <f t="shared" ca="1" si="253"/>
        <v>0.42898953648292248</v>
      </c>
      <c r="T530" s="357">
        <f t="shared" ca="1" si="233"/>
        <v>4.2083873528974696</v>
      </c>
      <c r="U530" s="364">
        <f t="shared" ca="1" si="234"/>
        <v>0</v>
      </c>
      <c r="V530" s="359">
        <f t="shared" ca="1" si="235"/>
        <v>1.2257301247505761</v>
      </c>
      <c r="W530" s="357">
        <f t="shared" ca="1" si="236"/>
        <v>3.393655911095864</v>
      </c>
      <c r="X530" s="343"/>
      <c r="Y530" s="367" t="str">
        <f t="shared" ca="1" si="254"/>
        <v/>
      </c>
      <c r="Z530" s="368" t="str">
        <f t="shared" ca="1" si="255"/>
        <v/>
      </c>
      <c r="AA530" s="369" t="str">
        <f t="shared" ca="1" si="256"/>
        <v/>
      </c>
      <c r="AB530" s="344"/>
      <c r="AC530" s="363" t="e">
        <f t="shared" ca="1" si="257"/>
        <v>#N/A</v>
      </c>
      <c r="AD530" s="376" t="e">
        <f t="shared" ca="1" si="258"/>
        <v>#N/A</v>
      </c>
      <c r="AE530" s="377" t="e">
        <f t="shared" ca="1" si="237"/>
        <v>#N/A</v>
      </c>
      <c r="AF530" s="344"/>
      <c r="AG530" s="359">
        <f t="shared" ca="1" si="259"/>
        <v>1.8599900101196694</v>
      </c>
      <c r="AH530" s="357">
        <f t="shared" ca="1" si="260"/>
        <v>-7.9107558631521249</v>
      </c>
    </row>
    <row r="531" spans="1:34">
      <c r="A531" s="402">
        <f t="shared" ca="1" si="238"/>
        <v>1E-4</v>
      </c>
      <c r="B531" s="357">
        <f t="shared" ca="1" si="239"/>
        <v>16.917799999999932</v>
      </c>
      <c r="C531" s="342"/>
      <c r="D531" s="359">
        <f t="shared" ca="1" si="240"/>
        <v>-0.70697133232516041</v>
      </c>
      <c r="E531" s="360">
        <f t="shared" ca="1" si="241"/>
        <v>-1.9308407491093647</v>
      </c>
      <c r="F531" s="357">
        <f t="shared" ca="1" si="242"/>
        <v>2.0561990329612612</v>
      </c>
      <c r="G531" s="359">
        <f t="shared" ca="1" si="243"/>
        <v>5.0084306745869291</v>
      </c>
      <c r="H531" s="360">
        <f t="shared" ca="1" si="244"/>
        <v>-55.819684075736667</v>
      </c>
      <c r="I531" s="357">
        <f t="shared" ca="1" si="245"/>
        <v>56.043924810252122</v>
      </c>
      <c r="J531" s="359">
        <f t="shared" ca="1" si="246"/>
        <v>184.26379383972827</v>
      </c>
      <c r="K531" s="360">
        <f t="shared" ca="1" si="247"/>
        <v>-5.9640083330180085</v>
      </c>
      <c r="L531" s="357">
        <f t="shared" ca="1" si="232"/>
        <v>184.36028616707608</v>
      </c>
      <c r="M531" s="359">
        <f t="shared" ca="1" si="248"/>
        <v>-1.481310780490493</v>
      </c>
      <c r="N531" s="357">
        <f t="shared" ca="1" si="249"/>
        <v>-84.872855869335183</v>
      </c>
      <c r="O531" s="343"/>
      <c r="P531" s="363">
        <f t="shared" ca="1" si="250"/>
        <v>23</v>
      </c>
      <c r="Q531" s="357">
        <f t="shared" ca="1" si="251"/>
        <v>0</v>
      </c>
      <c r="R531" s="359">
        <f t="shared" ca="1" si="252"/>
        <v>0</v>
      </c>
      <c r="S531" s="360">
        <f t="shared" ca="1" si="253"/>
        <v>0.42898953648292248</v>
      </c>
      <c r="T531" s="357">
        <f t="shared" ca="1" si="233"/>
        <v>4.2083873528974696</v>
      </c>
      <c r="U531" s="364">
        <f t="shared" ca="1" si="234"/>
        <v>0</v>
      </c>
      <c r="V531" s="359">
        <f t="shared" ca="1" si="235"/>
        <v>1.2257308089483279</v>
      </c>
      <c r="W531" s="357">
        <f t="shared" ca="1" si="236"/>
        <v>3.3936803306632601</v>
      </c>
      <c r="X531" s="343"/>
      <c r="Y531" s="367" t="str">
        <f t="shared" ca="1" si="254"/>
        <v/>
      </c>
      <c r="Z531" s="368" t="str">
        <f t="shared" ca="1" si="255"/>
        <v/>
      </c>
      <c r="AA531" s="369" t="str">
        <f t="shared" ca="1" si="256"/>
        <v/>
      </c>
      <c r="AB531" s="344"/>
      <c r="AC531" s="363" t="e">
        <f t="shared" ca="1" si="257"/>
        <v>#N/A</v>
      </c>
      <c r="AD531" s="376" t="e">
        <f t="shared" ca="1" si="258"/>
        <v>#N/A</v>
      </c>
      <c r="AE531" s="377" t="e">
        <f t="shared" ca="1" si="237"/>
        <v>#N/A</v>
      </c>
      <c r="AF531" s="344"/>
      <c r="AG531" s="359">
        <f t="shared" ca="1" si="259"/>
        <v>1.8599344568067044</v>
      </c>
      <c r="AH531" s="357">
        <f t="shared" ca="1" si="260"/>
        <v>-7.9108127879267309</v>
      </c>
    </row>
    <row r="532" spans="1:34">
      <c r="A532" s="402">
        <f t="shared" ca="1" si="238"/>
        <v>1E-4</v>
      </c>
      <c r="B532" s="357">
        <f t="shared" ca="1" si="239"/>
        <v>16.917899999999932</v>
      </c>
      <c r="C532" s="342"/>
      <c r="D532" s="359">
        <f t="shared" ca="1" si="240"/>
        <v>-0.70696409395486604</v>
      </c>
      <c r="E532" s="360">
        <f t="shared" ca="1" si="241"/>
        <v>-1.9307829475038769</v>
      </c>
      <c r="F532" s="357">
        <f t="shared" ca="1" si="242"/>
        <v>2.0561422666034526</v>
      </c>
      <c r="G532" s="359">
        <f t="shared" ca="1" si="243"/>
        <v>5.0083599781775341</v>
      </c>
      <c r="H532" s="360">
        <f t="shared" ca="1" si="244"/>
        <v>-55.819877154031417</v>
      </c>
      <c r="I532" s="357">
        <f t="shared" ca="1" si="245"/>
        <v>56.044110798211165</v>
      </c>
      <c r="J532" s="359">
        <f t="shared" ca="1" si="246"/>
        <v>184.26379383972827</v>
      </c>
      <c r="K532" s="360">
        <f t="shared" ca="1" si="247"/>
        <v>-5.9695903110794966</v>
      </c>
      <c r="L532" s="357">
        <f t="shared" ca="1" si="232"/>
        <v>184.36046682706143</v>
      </c>
      <c r="M532" s="359">
        <f t="shared" ca="1" si="248"/>
        <v>-1.4813123447620529</v>
      </c>
      <c r="N532" s="357">
        <f t="shared" ca="1" si="249"/>
        <v>-84.872945495493568</v>
      </c>
      <c r="O532" s="343"/>
      <c r="P532" s="363">
        <f t="shared" ca="1" si="250"/>
        <v>23</v>
      </c>
      <c r="Q532" s="357">
        <f t="shared" ca="1" si="251"/>
        <v>0</v>
      </c>
      <c r="R532" s="359">
        <f t="shared" ca="1" si="252"/>
        <v>0</v>
      </c>
      <c r="S532" s="360">
        <f t="shared" ca="1" si="253"/>
        <v>0.42898953648292248</v>
      </c>
      <c r="T532" s="357">
        <f t="shared" ca="1" si="233"/>
        <v>4.2083873528974696</v>
      </c>
      <c r="U532" s="364">
        <f t="shared" ca="1" si="234"/>
        <v>0</v>
      </c>
      <c r="V532" s="359">
        <f t="shared" ca="1" si="235"/>
        <v>1.2257314931488281</v>
      </c>
      <c r="W532" s="357">
        <f t="shared" ca="1" si="236"/>
        <v>3.3937047496653863</v>
      </c>
      <c r="X532" s="343"/>
      <c r="Y532" s="367" t="str">
        <f t="shared" ca="1" si="254"/>
        <v/>
      </c>
      <c r="Z532" s="368" t="str">
        <f t="shared" ca="1" si="255"/>
        <v/>
      </c>
      <c r="AA532" s="369" t="str">
        <f t="shared" ca="1" si="256"/>
        <v/>
      </c>
      <c r="AB532" s="344"/>
      <c r="AC532" s="363" t="e">
        <f t="shared" ca="1" si="257"/>
        <v>#N/A</v>
      </c>
      <c r="AD532" s="376" t="e">
        <f t="shared" ca="1" si="258"/>
        <v>#N/A</v>
      </c>
      <c r="AE532" s="377" t="e">
        <f t="shared" ca="1" si="237"/>
        <v>#N/A</v>
      </c>
      <c r="AF532" s="344"/>
      <c r="AG532" s="359">
        <f t="shared" ca="1" si="259"/>
        <v>1.8598789047590625</v>
      </c>
      <c r="AH532" s="357">
        <f t="shared" ca="1" si="260"/>
        <v>-7.9108697113836435</v>
      </c>
    </row>
    <row r="533" spans="1:34">
      <c r="A533" s="402">
        <f t="shared" ca="1" si="238"/>
        <v>1E-4</v>
      </c>
      <c r="B533" s="357">
        <f t="shared" ca="1" si="239"/>
        <v>16.917999999999932</v>
      </c>
      <c r="C533" s="342"/>
      <c r="D533" s="359">
        <f t="shared" ca="1" si="240"/>
        <v>-0.70695685554349719</v>
      </c>
      <c r="E533" s="360">
        <f t="shared" ca="1" si="241"/>
        <v>-1.9307251472371085</v>
      </c>
      <c r="F533" s="357">
        <f t="shared" ca="1" si="242"/>
        <v>2.0560855015717863</v>
      </c>
      <c r="G533" s="359">
        <f t="shared" ca="1" si="243"/>
        <v>5.0082892824919796</v>
      </c>
      <c r="H533" s="360">
        <f t="shared" ca="1" si="244"/>
        <v>-55.820070226546143</v>
      </c>
      <c r="I533" s="357">
        <f t="shared" ca="1" si="245"/>
        <v>56.044296780615127</v>
      </c>
      <c r="J533" s="359">
        <f t="shared" ca="1" si="246"/>
        <v>184.26379383972827</v>
      </c>
      <c r="K533" s="360">
        <f t="shared" ca="1" si="247"/>
        <v>-5.9751723084485251</v>
      </c>
      <c r="L533" s="357">
        <f t="shared" ca="1" si="232"/>
        <v>184.36064765650377</v>
      </c>
      <c r="M533" s="359">
        <f t="shared" ca="1" si="248"/>
        <v>-1.48131390900115</v>
      </c>
      <c r="N533" s="357">
        <f t="shared" ca="1" si="249"/>
        <v>-84.873035119791979</v>
      </c>
      <c r="O533" s="343"/>
      <c r="P533" s="363">
        <f t="shared" ca="1" si="250"/>
        <v>23</v>
      </c>
      <c r="Q533" s="357">
        <f t="shared" ca="1" si="251"/>
        <v>0</v>
      </c>
      <c r="R533" s="359">
        <f t="shared" ca="1" si="252"/>
        <v>0</v>
      </c>
      <c r="S533" s="360">
        <f t="shared" ca="1" si="253"/>
        <v>0.42898953648292248</v>
      </c>
      <c r="T533" s="357">
        <f t="shared" ca="1" si="233"/>
        <v>4.2083873528974696</v>
      </c>
      <c r="U533" s="364">
        <f t="shared" ca="1" si="234"/>
        <v>0</v>
      </c>
      <c r="V533" s="359">
        <f t="shared" ca="1" si="235"/>
        <v>1.2257321773520768</v>
      </c>
      <c r="W533" s="357">
        <f t="shared" ca="1" si="236"/>
        <v>3.393729168102249</v>
      </c>
      <c r="X533" s="343"/>
      <c r="Y533" s="367" t="str">
        <f t="shared" ca="1" si="254"/>
        <v/>
      </c>
      <c r="Z533" s="368" t="str">
        <f t="shared" ca="1" si="255"/>
        <v/>
      </c>
      <c r="AA533" s="369" t="str">
        <f t="shared" ca="1" si="256"/>
        <v/>
      </c>
      <c r="AB533" s="344"/>
      <c r="AC533" s="363" t="e">
        <f t="shared" ca="1" si="257"/>
        <v>#N/A</v>
      </c>
      <c r="AD533" s="376" t="e">
        <f t="shared" ca="1" si="258"/>
        <v>#N/A</v>
      </c>
      <c r="AE533" s="377" t="e">
        <f t="shared" ca="1" si="237"/>
        <v>#N/A</v>
      </c>
      <c r="AF533" s="344"/>
      <c r="AG533" s="359">
        <f t="shared" ca="1" si="259"/>
        <v>1.8598233539767266</v>
      </c>
      <c r="AH533" s="357">
        <f t="shared" ca="1" si="260"/>
        <v>-7.9109266335228794</v>
      </c>
    </row>
    <row r="534" spans="1:34">
      <c r="A534" s="402">
        <f t="shared" ca="1" si="238"/>
        <v>1E-4</v>
      </c>
      <c r="B534" s="357">
        <f t="shared" ca="1" si="239"/>
        <v>16.918099999999932</v>
      </c>
      <c r="C534" s="342"/>
      <c r="D534" s="359">
        <f t="shared" ca="1" si="240"/>
        <v>-0.70694961709106152</v>
      </c>
      <c r="E534" s="360">
        <f t="shared" ca="1" si="241"/>
        <v>-1.930667348309048</v>
      </c>
      <c r="F534" s="357">
        <f t="shared" ca="1" si="242"/>
        <v>2.0560287378662512</v>
      </c>
      <c r="G534" s="359">
        <f t="shared" ca="1" si="243"/>
        <v>5.00821858753027</v>
      </c>
      <c r="H534" s="360">
        <f t="shared" ca="1" si="244"/>
        <v>-55.820263293280973</v>
      </c>
      <c r="I534" s="357">
        <f t="shared" ca="1" si="245"/>
        <v>56.044482757464138</v>
      </c>
      <c r="J534" s="359">
        <f t="shared" ca="1" si="246"/>
        <v>184.26379383972827</v>
      </c>
      <c r="K534" s="360">
        <f t="shared" ca="1" si="247"/>
        <v>-5.9807543251245168</v>
      </c>
      <c r="L534" s="357">
        <f t="shared" ca="1" si="232"/>
        <v>184.36082865540439</v>
      </c>
      <c r="M534" s="359">
        <f t="shared" ca="1" si="248"/>
        <v>-1.4813154732077858</v>
      </c>
      <c r="N534" s="357">
        <f t="shared" ca="1" si="249"/>
        <v>-84.873124742230502</v>
      </c>
      <c r="O534" s="343"/>
      <c r="P534" s="363">
        <f t="shared" ca="1" si="250"/>
        <v>23</v>
      </c>
      <c r="Q534" s="357">
        <f t="shared" ca="1" si="251"/>
        <v>0</v>
      </c>
      <c r="R534" s="359">
        <f t="shared" ca="1" si="252"/>
        <v>0</v>
      </c>
      <c r="S534" s="360">
        <f t="shared" ca="1" si="253"/>
        <v>0.42898953648292248</v>
      </c>
      <c r="T534" s="357">
        <f t="shared" ca="1" si="233"/>
        <v>4.2083873528974696</v>
      </c>
      <c r="U534" s="364">
        <f t="shared" ca="1" si="234"/>
        <v>0</v>
      </c>
      <c r="V534" s="359">
        <f t="shared" ca="1" si="235"/>
        <v>1.2257328615580747</v>
      </c>
      <c r="W534" s="357">
        <f t="shared" ca="1" si="236"/>
        <v>3.393753585973859</v>
      </c>
      <c r="X534" s="343"/>
      <c r="Y534" s="367" t="str">
        <f t="shared" ca="1" si="254"/>
        <v/>
      </c>
      <c r="Z534" s="368" t="str">
        <f t="shared" ca="1" si="255"/>
        <v/>
      </c>
      <c r="AA534" s="369" t="str">
        <f t="shared" ca="1" si="256"/>
        <v/>
      </c>
      <c r="AB534" s="344"/>
      <c r="AC534" s="363" t="e">
        <f t="shared" ca="1" si="257"/>
        <v>#N/A</v>
      </c>
      <c r="AD534" s="376" t="e">
        <f t="shared" ca="1" si="258"/>
        <v>#N/A</v>
      </c>
      <c r="AE534" s="377" t="e">
        <f t="shared" ca="1" si="237"/>
        <v>#N/A</v>
      </c>
      <c r="AF534" s="344"/>
      <c r="AG534" s="359">
        <f t="shared" ca="1" si="259"/>
        <v>1.859767804459687</v>
      </c>
      <c r="AH534" s="357">
        <f t="shared" ca="1" si="260"/>
        <v>-7.910983554344452</v>
      </c>
    </row>
    <row r="535" spans="1:34">
      <c r="A535" s="402">
        <f t="shared" ca="1" si="238"/>
        <v>1E-4</v>
      </c>
      <c r="B535" s="357">
        <f t="shared" ca="1" si="239"/>
        <v>16.918199999999931</v>
      </c>
      <c r="C535" s="342"/>
      <c r="D535" s="359">
        <f t="shared" ca="1" si="240"/>
        <v>-0.7069423785975627</v>
      </c>
      <c r="E535" s="360">
        <f t="shared" ca="1" si="241"/>
        <v>-1.9306095507196677</v>
      </c>
      <c r="F535" s="357">
        <f t="shared" ca="1" si="242"/>
        <v>2.0559719754868198</v>
      </c>
      <c r="G535" s="359">
        <f t="shared" ca="1" si="243"/>
        <v>5.0081478932924099</v>
      </c>
      <c r="H535" s="360">
        <f t="shared" ca="1" si="244"/>
        <v>-55.820456354236043</v>
      </c>
      <c r="I535" s="357">
        <f t="shared" ca="1" si="245"/>
        <v>56.044668728758317</v>
      </c>
      <c r="J535" s="359">
        <f t="shared" ca="1" si="246"/>
        <v>184.26379383972827</v>
      </c>
      <c r="K535" s="360">
        <f t="shared" ca="1" si="247"/>
        <v>-5.9863363611068925</v>
      </c>
      <c r="L535" s="357">
        <f t="shared" ca="1" si="232"/>
        <v>184.3610098237645</v>
      </c>
      <c r="M535" s="359">
        <f t="shared" ca="1" si="248"/>
        <v>-1.4813170373819609</v>
      </c>
      <c r="N535" s="357">
        <f t="shared" ca="1" si="249"/>
        <v>-84.873214362809151</v>
      </c>
      <c r="O535" s="343"/>
      <c r="P535" s="363">
        <f t="shared" ca="1" si="250"/>
        <v>23</v>
      </c>
      <c r="Q535" s="357">
        <f t="shared" ca="1" si="251"/>
        <v>0</v>
      </c>
      <c r="R535" s="359">
        <f t="shared" ca="1" si="252"/>
        <v>0</v>
      </c>
      <c r="S535" s="360">
        <f t="shared" ca="1" si="253"/>
        <v>0.42898953648292248</v>
      </c>
      <c r="T535" s="357">
        <f t="shared" ca="1" si="233"/>
        <v>4.2083873528974696</v>
      </c>
      <c r="U535" s="364">
        <f t="shared" ca="1" si="234"/>
        <v>0</v>
      </c>
      <c r="V535" s="359">
        <f t="shared" ca="1" si="235"/>
        <v>1.2257335457668206</v>
      </c>
      <c r="W535" s="357">
        <f t="shared" ca="1" si="236"/>
        <v>3.3937780032802207</v>
      </c>
      <c r="X535" s="343"/>
      <c r="Y535" s="367" t="str">
        <f t="shared" ca="1" si="254"/>
        <v/>
      </c>
      <c r="Z535" s="368" t="str">
        <f t="shared" ca="1" si="255"/>
        <v/>
      </c>
      <c r="AA535" s="369" t="str">
        <f t="shared" ca="1" si="256"/>
        <v/>
      </c>
      <c r="AB535" s="344"/>
      <c r="AC535" s="363" t="e">
        <f t="shared" ca="1" si="257"/>
        <v>#N/A</v>
      </c>
      <c r="AD535" s="376" t="e">
        <f t="shared" ca="1" si="258"/>
        <v>#N/A</v>
      </c>
      <c r="AE535" s="377" t="e">
        <f t="shared" ca="1" si="237"/>
        <v>#N/A</v>
      </c>
      <c r="AF535" s="344"/>
      <c r="AG535" s="359">
        <f t="shared" ca="1" si="259"/>
        <v>1.8597122562079198</v>
      </c>
      <c r="AH535" s="357">
        <f t="shared" ca="1" si="260"/>
        <v>-7.911040473848387</v>
      </c>
    </row>
    <row r="536" spans="1:34">
      <c r="A536" s="402">
        <f t="shared" ca="1" si="238"/>
        <v>1E-4</v>
      </c>
      <c r="B536" s="357">
        <f t="shared" ca="1" si="239"/>
        <v>16.918299999999931</v>
      </c>
      <c r="C536" s="342"/>
      <c r="D536" s="359">
        <f t="shared" ca="1" si="240"/>
        <v>-0.70693514006300828</v>
      </c>
      <c r="E536" s="360">
        <f t="shared" ca="1" si="241"/>
        <v>-1.9305517544689561</v>
      </c>
      <c r="F536" s="357">
        <f t="shared" ca="1" si="242"/>
        <v>2.0559152144334818</v>
      </c>
      <c r="G536" s="359">
        <f t="shared" ca="1" si="243"/>
        <v>5.0080771997784037</v>
      </c>
      <c r="H536" s="360">
        <f t="shared" ca="1" si="244"/>
        <v>-55.820649409411487</v>
      </c>
      <c r="I536" s="357">
        <f t="shared" ca="1" si="245"/>
        <v>56.044854694497793</v>
      </c>
      <c r="J536" s="359">
        <f t="shared" ca="1" si="246"/>
        <v>184.26379383972827</v>
      </c>
      <c r="K536" s="360">
        <f t="shared" ca="1" si="247"/>
        <v>-5.9919184163950749</v>
      </c>
      <c r="L536" s="357">
        <f t="shared" ca="1" si="232"/>
        <v>184.36119116158534</v>
      </c>
      <c r="M536" s="359">
        <f t="shared" ca="1" si="248"/>
        <v>-1.4813186015236763</v>
      </c>
      <c r="N536" s="357">
        <f t="shared" ca="1" si="249"/>
        <v>-84.873303981528011</v>
      </c>
      <c r="O536" s="343"/>
      <c r="P536" s="363">
        <f t="shared" ca="1" si="250"/>
        <v>23</v>
      </c>
      <c r="Q536" s="357">
        <f t="shared" ca="1" si="251"/>
        <v>0</v>
      </c>
      <c r="R536" s="359">
        <f t="shared" ca="1" si="252"/>
        <v>0</v>
      </c>
      <c r="S536" s="360">
        <f t="shared" ca="1" si="253"/>
        <v>0.42898953648292248</v>
      </c>
      <c r="T536" s="357">
        <f t="shared" ca="1" si="233"/>
        <v>4.2083873528974696</v>
      </c>
      <c r="U536" s="364">
        <f t="shared" ca="1" si="234"/>
        <v>0</v>
      </c>
      <c r="V536" s="359">
        <f t="shared" ca="1" si="235"/>
        <v>1.2257342299783149</v>
      </c>
      <c r="W536" s="357">
        <f t="shared" ca="1" si="236"/>
        <v>3.393802420021343</v>
      </c>
      <c r="X536" s="343"/>
      <c r="Y536" s="367" t="str">
        <f t="shared" ca="1" si="254"/>
        <v/>
      </c>
      <c r="Z536" s="368" t="str">
        <f t="shared" ca="1" si="255"/>
        <v/>
      </c>
      <c r="AA536" s="369" t="str">
        <f t="shared" ca="1" si="256"/>
        <v/>
      </c>
      <c r="AB536" s="344"/>
      <c r="AC536" s="363" t="e">
        <f t="shared" ca="1" si="257"/>
        <v>#N/A</v>
      </c>
      <c r="AD536" s="376" t="e">
        <f t="shared" ca="1" si="258"/>
        <v>#N/A</v>
      </c>
      <c r="AE536" s="377" t="e">
        <f t="shared" ca="1" si="237"/>
        <v>#N/A</v>
      </c>
      <c r="AF536" s="344"/>
      <c r="AG536" s="359">
        <f t="shared" ca="1" si="259"/>
        <v>1.8596567092214178</v>
      </c>
      <c r="AH536" s="357">
        <f t="shared" ca="1" si="260"/>
        <v>-7.9110973920346952</v>
      </c>
    </row>
    <row r="537" spans="1:34">
      <c r="A537" s="402">
        <f t="shared" ca="1" si="238"/>
        <v>1E-4</v>
      </c>
      <c r="B537" s="357">
        <f t="shared" ca="1" si="239"/>
        <v>16.918399999999931</v>
      </c>
      <c r="C537" s="342"/>
      <c r="D537" s="359">
        <f t="shared" ca="1" si="240"/>
        <v>-0.70692790148740303</v>
      </c>
      <c r="E537" s="360">
        <f t="shared" ca="1" si="241"/>
        <v>-1.9304939595568946</v>
      </c>
      <c r="F537" s="357">
        <f t="shared" ca="1" si="242"/>
        <v>2.0558584547062186</v>
      </c>
      <c r="G537" s="359">
        <f t="shared" ca="1" si="243"/>
        <v>5.0080065069882549</v>
      </c>
      <c r="H537" s="360">
        <f t="shared" ca="1" si="244"/>
        <v>-55.820842458807441</v>
      </c>
      <c r="I537" s="357">
        <f t="shared" ca="1" si="245"/>
        <v>56.045040654682701</v>
      </c>
      <c r="J537" s="359">
        <f t="shared" ca="1" si="246"/>
        <v>184.26379383972827</v>
      </c>
      <c r="K537" s="360">
        <f t="shared" ca="1" si="247"/>
        <v>-5.9975004909884859</v>
      </c>
      <c r="L537" s="357">
        <f t="shared" ca="1" si="232"/>
        <v>184.36137266886817</v>
      </c>
      <c r="M537" s="359">
        <f t="shared" ca="1" si="248"/>
        <v>-1.4813201656329329</v>
      </c>
      <c r="N537" s="357">
        <f t="shared" ca="1" si="249"/>
        <v>-84.873393598387111</v>
      </c>
      <c r="O537" s="343"/>
      <c r="P537" s="363">
        <f t="shared" ca="1" si="250"/>
        <v>23</v>
      </c>
      <c r="Q537" s="357">
        <f t="shared" ca="1" si="251"/>
        <v>0</v>
      </c>
      <c r="R537" s="359">
        <f t="shared" ca="1" si="252"/>
        <v>0</v>
      </c>
      <c r="S537" s="360">
        <f t="shared" ca="1" si="253"/>
        <v>0.42898953648292248</v>
      </c>
      <c r="T537" s="357">
        <f t="shared" ca="1" si="233"/>
        <v>4.2083873528974696</v>
      </c>
      <c r="U537" s="364">
        <f t="shared" ca="1" si="234"/>
        <v>0</v>
      </c>
      <c r="V537" s="359">
        <f t="shared" ca="1" si="235"/>
        <v>1.225734914192558</v>
      </c>
      <c r="W537" s="357">
        <f t="shared" ca="1" si="236"/>
        <v>3.3938268361972348</v>
      </c>
      <c r="X537" s="343"/>
      <c r="Y537" s="367" t="str">
        <f t="shared" ca="1" si="254"/>
        <v/>
      </c>
      <c r="Z537" s="368" t="str">
        <f t="shared" ca="1" si="255"/>
        <v/>
      </c>
      <c r="AA537" s="369" t="str">
        <f t="shared" ca="1" si="256"/>
        <v/>
      </c>
      <c r="AB537" s="344"/>
      <c r="AC537" s="363" t="e">
        <f t="shared" ca="1" si="257"/>
        <v>#N/A</v>
      </c>
      <c r="AD537" s="376" t="e">
        <f t="shared" ca="1" si="258"/>
        <v>#N/A</v>
      </c>
      <c r="AE537" s="377" t="e">
        <f t="shared" ca="1" si="237"/>
        <v>#N/A</v>
      </c>
      <c r="AF537" s="344"/>
      <c r="AG537" s="359">
        <f t="shared" ca="1" si="259"/>
        <v>1.8596011635001641</v>
      </c>
      <c r="AH537" s="357">
        <f t="shared" ca="1" si="260"/>
        <v>-7.9111543089033969</v>
      </c>
    </row>
    <row r="538" spans="1:34">
      <c r="A538" s="402">
        <f t="shared" ca="1" si="238"/>
        <v>1E-4</v>
      </c>
      <c r="B538" s="357">
        <f t="shared" ca="1" si="239"/>
        <v>16.918499999999931</v>
      </c>
      <c r="C538" s="342"/>
      <c r="D538" s="359">
        <f t="shared" ca="1" si="240"/>
        <v>-0.70692066287075528</v>
      </c>
      <c r="E538" s="360">
        <f t="shared" ca="1" si="241"/>
        <v>-1.9304361659834601</v>
      </c>
      <c r="F538" s="357">
        <f t="shared" ca="1" si="242"/>
        <v>2.0558016963050081</v>
      </c>
      <c r="G538" s="359">
        <f t="shared" ca="1" si="243"/>
        <v>5.0079358149219679</v>
      </c>
      <c r="H538" s="360">
        <f t="shared" ca="1" si="244"/>
        <v>-55.821035502424039</v>
      </c>
      <c r="I538" s="357">
        <f t="shared" ca="1" si="245"/>
        <v>56.045226609313154</v>
      </c>
      <c r="J538" s="359">
        <f t="shared" ca="1" si="246"/>
        <v>184.26379383972827</v>
      </c>
      <c r="K538" s="360">
        <f t="shared" ca="1" si="247"/>
        <v>-6.0030825848865472</v>
      </c>
      <c r="L538" s="357">
        <f t="shared" ca="1" si="232"/>
        <v>184.36155434561419</v>
      </c>
      <c r="M538" s="359">
        <f t="shared" ca="1" si="248"/>
        <v>-1.4813217297097316</v>
      </c>
      <c r="N538" s="357">
        <f t="shared" ca="1" si="249"/>
        <v>-84.873483213386507</v>
      </c>
      <c r="O538" s="343"/>
      <c r="P538" s="363">
        <f t="shared" ca="1" si="250"/>
        <v>23</v>
      </c>
      <c r="Q538" s="357">
        <f t="shared" ca="1" si="251"/>
        <v>0</v>
      </c>
      <c r="R538" s="359">
        <f t="shared" ca="1" si="252"/>
        <v>0</v>
      </c>
      <c r="S538" s="360">
        <f t="shared" ca="1" si="253"/>
        <v>0.42898953648292248</v>
      </c>
      <c r="T538" s="357">
        <f t="shared" ca="1" si="233"/>
        <v>4.2083873528974696</v>
      </c>
      <c r="U538" s="364">
        <f t="shared" ca="1" si="234"/>
        <v>0</v>
      </c>
      <c r="V538" s="359">
        <f t="shared" ca="1" si="235"/>
        <v>1.2257355984095488</v>
      </c>
      <c r="W538" s="357">
        <f t="shared" ca="1" si="236"/>
        <v>3.3938512518079</v>
      </c>
      <c r="X538" s="343"/>
      <c r="Y538" s="367" t="str">
        <f t="shared" ca="1" si="254"/>
        <v/>
      </c>
      <c r="Z538" s="368" t="str">
        <f t="shared" ca="1" si="255"/>
        <v/>
      </c>
      <c r="AA538" s="369" t="str">
        <f t="shared" ca="1" si="256"/>
        <v/>
      </c>
      <c r="AB538" s="344"/>
      <c r="AC538" s="363" t="e">
        <f t="shared" ca="1" si="257"/>
        <v>#N/A</v>
      </c>
      <c r="AD538" s="376" t="e">
        <f t="shared" ca="1" si="258"/>
        <v>#N/A</v>
      </c>
      <c r="AE538" s="377" t="e">
        <f t="shared" ca="1" si="237"/>
        <v>#N/A</v>
      </c>
      <c r="AF538" s="344"/>
      <c r="AG538" s="359">
        <f t="shared" ca="1" si="259"/>
        <v>1.8595456190441366</v>
      </c>
      <c r="AH538" s="357">
        <f t="shared" ca="1" si="260"/>
        <v>-7.9112112244545125</v>
      </c>
    </row>
    <row r="539" spans="1:34">
      <c r="A539" s="402">
        <f t="shared" ca="1" si="238"/>
        <v>1E-4</v>
      </c>
      <c r="B539" s="357">
        <f t="shared" ca="1" si="239"/>
        <v>16.91859999999993</v>
      </c>
      <c r="C539" s="342"/>
      <c r="D539" s="359">
        <f t="shared" ca="1" si="240"/>
        <v>-0.70691342421306891</v>
      </c>
      <c r="E539" s="360">
        <f t="shared" ca="1" si="241"/>
        <v>-1.9303783737486455</v>
      </c>
      <c r="F539" s="357">
        <f t="shared" ca="1" si="242"/>
        <v>2.055744939229843</v>
      </c>
      <c r="G539" s="359">
        <f t="shared" ca="1" si="243"/>
        <v>5.0078651235795464</v>
      </c>
      <c r="H539" s="360">
        <f t="shared" ca="1" si="244"/>
        <v>-55.821228540261416</v>
      </c>
      <c r="I539" s="357">
        <f t="shared" ca="1" si="245"/>
        <v>56.045412558389287</v>
      </c>
      <c r="J539" s="359">
        <f t="shared" ca="1" si="246"/>
        <v>184.26379383972827</v>
      </c>
      <c r="K539" s="360">
        <f t="shared" ca="1" si="247"/>
        <v>-6.0086646980886815</v>
      </c>
      <c r="L539" s="357">
        <f t="shared" ca="1" si="232"/>
        <v>184.36173619182463</v>
      </c>
      <c r="M539" s="359">
        <f t="shared" ca="1" si="248"/>
        <v>-1.4813232937540737</v>
      </c>
      <c r="N539" s="357">
        <f t="shared" ca="1" si="249"/>
        <v>-84.873572826526285</v>
      </c>
      <c r="O539" s="343"/>
      <c r="P539" s="363">
        <f t="shared" ca="1" si="250"/>
        <v>23</v>
      </c>
      <c r="Q539" s="357">
        <f t="shared" ca="1" si="251"/>
        <v>0</v>
      </c>
      <c r="R539" s="359">
        <f t="shared" ca="1" si="252"/>
        <v>0</v>
      </c>
      <c r="S539" s="360">
        <f t="shared" ca="1" si="253"/>
        <v>0.42898953648292248</v>
      </c>
      <c r="T539" s="357">
        <f t="shared" ca="1" si="233"/>
        <v>4.2083873528974696</v>
      </c>
      <c r="U539" s="364">
        <f t="shared" ca="1" si="234"/>
        <v>0</v>
      </c>
      <c r="V539" s="359">
        <f t="shared" ca="1" si="235"/>
        <v>1.2257362826292881</v>
      </c>
      <c r="W539" s="357">
        <f t="shared" ca="1" si="236"/>
        <v>3.3938756668533503</v>
      </c>
      <c r="X539" s="343"/>
      <c r="Y539" s="367" t="str">
        <f t="shared" ca="1" si="254"/>
        <v/>
      </c>
      <c r="Z539" s="368" t="str">
        <f t="shared" ca="1" si="255"/>
        <v/>
      </c>
      <c r="AA539" s="369" t="str">
        <f t="shared" ca="1" si="256"/>
        <v/>
      </c>
      <c r="AB539" s="344"/>
      <c r="AC539" s="363" t="e">
        <f t="shared" ca="1" si="257"/>
        <v>#N/A</v>
      </c>
      <c r="AD539" s="376" t="e">
        <f t="shared" ca="1" si="258"/>
        <v>#N/A</v>
      </c>
      <c r="AE539" s="377" t="e">
        <f t="shared" ca="1" si="237"/>
        <v>#N/A</v>
      </c>
      <c r="AF539" s="344"/>
      <c r="AG539" s="359">
        <f t="shared" ca="1" si="259"/>
        <v>1.8594900758533317</v>
      </c>
      <c r="AH539" s="357">
        <f t="shared" ca="1" si="260"/>
        <v>-7.911268138688051</v>
      </c>
    </row>
    <row r="540" spans="1:34">
      <c r="A540" s="402">
        <f t="shared" ca="1" si="238"/>
        <v>1E-4</v>
      </c>
      <c r="B540" s="357">
        <f t="shared" ca="1" si="239"/>
        <v>16.91869999999993</v>
      </c>
      <c r="C540" s="342"/>
      <c r="D540" s="359">
        <f t="shared" ca="1" si="240"/>
        <v>-0.70690618551434958</v>
      </c>
      <c r="E540" s="360">
        <f t="shared" ca="1" si="241"/>
        <v>-1.9303205828524206</v>
      </c>
      <c r="F540" s="357">
        <f t="shared" ca="1" si="242"/>
        <v>2.0556881834806942</v>
      </c>
      <c r="G540" s="359">
        <f t="shared" ca="1" si="243"/>
        <v>5.0077944329609947</v>
      </c>
      <c r="H540" s="360">
        <f t="shared" ca="1" si="244"/>
        <v>-55.8214215723197</v>
      </c>
      <c r="I540" s="357">
        <f t="shared" ca="1" si="245"/>
        <v>56.045598501911229</v>
      </c>
      <c r="J540" s="359">
        <f t="shared" ca="1" si="246"/>
        <v>184.26379383972827</v>
      </c>
      <c r="K540" s="360">
        <f t="shared" ca="1" si="247"/>
        <v>-6.0142468305943106</v>
      </c>
      <c r="L540" s="357">
        <f t="shared" ca="1" si="232"/>
        <v>184.36191820750074</v>
      </c>
      <c r="M540" s="359">
        <f t="shared" ca="1" si="248"/>
        <v>-1.4813248577659595</v>
      </c>
      <c r="N540" s="357">
        <f t="shared" ca="1" si="249"/>
        <v>-84.873662437806445</v>
      </c>
      <c r="O540" s="343"/>
      <c r="P540" s="363">
        <f t="shared" ca="1" si="250"/>
        <v>23</v>
      </c>
      <c r="Q540" s="357">
        <f t="shared" ca="1" si="251"/>
        <v>0</v>
      </c>
      <c r="R540" s="359">
        <f t="shared" ca="1" si="252"/>
        <v>0</v>
      </c>
      <c r="S540" s="360">
        <f t="shared" ca="1" si="253"/>
        <v>0.42898953648292248</v>
      </c>
      <c r="T540" s="357">
        <f t="shared" ca="1" si="233"/>
        <v>4.2083873528974696</v>
      </c>
      <c r="U540" s="364">
        <f t="shared" ca="1" si="234"/>
        <v>0</v>
      </c>
      <c r="V540" s="359">
        <f t="shared" ca="1" si="235"/>
        <v>1.2257369668517755</v>
      </c>
      <c r="W540" s="357">
        <f t="shared" ca="1" si="236"/>
        <v>3.3939000813335922</v>
      </c>
      <c r="X540" s="343"/>
      <c r="Y540" s="367" t="str">
        <f t="shared" ca="1" si="254"/>
        <v/>
      </c>
      <c r="Z540" s="368" t="str">
        <f t="shared" ca="1" si="255"/>
        <v/>
      </c>
      <c r="AA540" s="369" t="str">
        <f t="shared" ca="1" si="256"/>
        <v/>
      </c>
      <c r="AB540" s="344"/>
      <c r="AC540" s="363" t="e">
        <f t="shared" ca="1" si="257"/>
        <v>#N/A</v>
      </c>
      <c r="AD540" s="376" t="e">
        <f t="shared" ca="1" si="258"/>
        <v>#N/A</v>
      </c>
      <c r="AE540" s="377" t="e">
        <f t="shared" ca="1" si="237"/>
        <v>#N/A</v>
      </c>
      <c r="AF540" s="344"/>
      <c r="AG540" s="359">
        <f t="shared" ca="1" si="259"/>
        <v>1.8594345339277227</v>
      </c>
      <c r="AH540" s="357">
        <f t="shared" ca="1" si="260"/>
        <v>-7.9113250516040408</v>
      </c>
    </row>
    <row r="541" spans="1:34">
      <c r="A541" s="402">
        <f t="shared" ca="1" si="238"/>
        <v>1E-4</v>
      </c>
      <c r="B541" s="357">
        <f t="shared" ca="1" si="239"/>
        <v>16.91879999999993</v>
      </c>
      <c r="C541" s="342"/>
      <c r="D541" s="359">
        <f t="shared" ca="1" si="240"/>
        <v>-0.70689894677460663</v>
      </c>
      <c r="E541" s="360">
        <f t="shared" ca="1" si="241"/>
        <v>-1.9302627932947711</v>
      </c>
      <c r="F541" s="357">
        <f t="shared" ca="1" si="242"/>
        <v>2.055631429057549</v>
      </c>
      <c r="G541" s="359">
        <f t="shared" ca="1" si="243"/>
        <v>5.0077237430663173</v>
      </c>
      <c r="H541" s="360">
        <f t="shared" ca="1" si="244"/>
        <v>-55.821614598599027</v>
      </c>
      <c r="I541" s="357">
        <f t="shared" ca="1" si="245"/>
        <v>56.0457844398791</v>
      </c>
      <c r="J541" s="359">
        <f t="shared" ca="1" si="246"/>
        <v>184.26379383972827</v>
      </c>
      <c r="K541" s="360">
        <f t="shared" ca="1" si="247"/>
        <v>-6.0198289824028564</v>
      </c>
      <c r="L541" s="357">
        <f t="shared" ca="1" si="232"/>
        <v>184.36210039264375</v>
      </c>
      <c r="M541" s="359">
        <f t="shared" ca="1" si="248"/>
        <v>-1.4813264217453905</v>
      </c>
      <c r="N541" s="357">
        <f t="shared" ca="1" si="249"/>
        <v>-84.873752047227086</v>
      </c>
      <c r="O541" s="343"/>
      <c r="P541" s="363">
        <f t="shared" ca="1" si="250"/>
        <v>23</v>
      </c>
      <c r="Q541" s="357">
        <f t="shared" ca="1" si="251"/>
        <v>0</v>
      </c>
      <c r="R541" s="359">
        <f t="shared" ca="1" si="252"/>
        <v>0</v>
      </c>
      <c r="S541" s="360">
        <f t="shared" ca="1" si="253"/>
        <v>0.42898953648292248</v>
      </c>
      <c r="T541" s="357">
        <f t="shared" ca="1" si="233"/>
        <v>4.2083873528974696</v>
      </c>
      <c r="U541" s="364">
        <f t="shared" ca="1" si="234"/>
        <v>0</v>
      </c>
      <c r="V541" s="359">
        <f t="shared" ca="1" si="235"/>
        <v>1.225737651077011</v>
      </c>
      <c r="W541" s="357">
        <f t="shared" ca="1" si="236"/>
        <v>3.3939244952486316</v>
      </c>
      <c r="X541" s="343"/>
      <c r="Y541" s="367" t="str">
        <f t="shared" ca="1" si="254"/>
        <v/>
      </c>
      <c r="Z541" s="368" t="str">
        <f t="shared" ca="1" si="255"/>
        <v/>
      </c>
      <c r="AA541" s="369" t="str">
        <f t="shared" ca="1" si="256"/>
        <v/>
      </c>
      <c r="AB541" s="344"/>
      <c r="AC541" s="363" t="e">
        <f t="shared" ca="1" si="257"/>
        <v>#N/A</v>
      </c>
      <c r="AD541" s="376" t="e">
        <f t="shared" ca="1" si="258"/>
        <v>#N/A</v>
      </c>
      <c r="AE541" s="377" t="e">
        <f t="shared" ca="1" si="237"/>
        <v>#N/A</v>
      </c>
      <c r="AF541" s="344"/>
      <c r="AG541" s="359">
        <f t="shared" ca="1" si="259"/>
        <v>1.8593789932672991</v>
      </c>
      <c r="AH541" s="357">
        <f t="shared" ca="1" si="260"/>
        <v>-7.911381963202496</v>
      </c>
    </row>
    <row r="542" spans="1:34">
      <c r="A542" s="402">
        <f t="shared" ca="1" si="238"/>
        <v>1E-4</v>
      </c>
      <c r="B542" s="357">
        <f t="shared" ca="1" si="239"/>
        <v>16.91889999999993</v>
      </c>
      <c r="C542" s="342"/>
      <c r="D542" s="359">
        <f t="shared" ca="1" si="240"/>
        <v>-0.70689170799384093</v>
      </c>
      <c r="E542" s="360">
        <f t="shared" ca="1" si="241"/>
        <v>-1.930205005075682</v>
      </c>
      <c r="F542" s="357">
        <f t="shared" ca="1" si="242"/>
        <v>2.0555746759603903</v>
      </c>
      <c r="G542" s="359">
        <f t="shared" ca="1" si="243"/>
        <v>5.0076530538955177</v>
      </c>
      <c r="H542" s="360">
        <f t="shared" ca="1" si="244"/>
        <v>-55.821807619099538</v>
      </c>
      <c r="I542" s="357">
        <f t="shared" ca="1" si="245"/>
        <v>56.045970372293034</v>
      </c>
      <c r="J542" s="359">
        <f t="shared" ca="1" si="246"/>
        <v>184.26379383972827</v>
      </c>
      <c r="K542" s="360">
        <f t="shared" ca="1" si="247"/>
        <v>-6.0254111535137413</v>
      </c>
      <c r="L542" s="357">
        <f t="shared" ca="1" si="232"/>
        <v>184.36228274725491</v>
      </c>
      <c r="M542" s="359">
        <f t="shared" ca="1" si="248"/>
        <v>-1.4813279856923671</v>
      </c>
      <c r="N542" s="357">
        <f t="shared" ca="1" si="249"/>
        <v>-84.873841654788237</v>
      </c>
      <c r="O542" s="343"/>
      <c r="P542" s="363">
        <f t="shared" ca="1" si="250"/>
        <v>23</v>
      </c>
      <c r="Q542" s="357">
        <f t="shared" ca="1" si="251"/>
        <v>0</v>
      </c>
      <c r="R542" s="359">
        <f t="shared" ca="1" si="252"/>
        <v>0</v>
      </c>
      <c r="S542" s="360">
        <f t="shared" ca="1" si="253"/>
        <v>0.42898953648292248</v>
      </c>
      <c r="T542" s="357">
        <f t="shared" ca="1" si="233"/>
        <v>4.2083873528974696</v>
      </c>
      <c r="U542" s="364">
        <f t="shared" ca="1" si="234"/>
        <v>0</v>
      </c>
      <c r="V542" s="359">
        <f t="shared" ca="1" si="235"/>
        <v>1.2257383353049947</v>
      </c>
      <c r="W542" s="357">
        <f t="shared" ca="1" si="236"/>
        <v>3.3939489085984782</v>
      </c>
      <c r="X542" s="343"/>
      <c r="Y542" s="367" t="str">
        <f t="shared" ca="1" si="254"/>
        <v/>
      </c>
      <c r="Z542" s="368" t="str">
        <f t="shared" ca="1" si="255"/>
        <v/>
      </c>
      <c r="AA542" s="369" t="str">
        <f t="shared" ca="1" si="256"/>
        <v/>
      </c>
      <c r="AB542" s="344"/>
      <c r="AC542" s="363" t="e">
        <f t="shared" ca="1" si="257"/>
        <v>#N/A</v>
      </c>
      <c r="AD542" s="376" t="e">
        <f t="shared" ca="1" si="258"/>
        <v>#N/A</v>
      </c>
      <c r="AE542" s="377" t="e">
        <f t="shared" ca="1" si="237"/>
        <v>#N/A</v>
      </c>
      <c r="AF542" s="344"/>
      <c r="AG542" s="359">
        <f t="shared" ca="1" si="259"/>
        <v>1.8593234538720464</v>
      </c>
      <c r="AH542" s="357">
        <f t="shared" ca="1" si="260"/>
        <v>-7.9114388734834309</v>
      </c>
    </row>
    <row r="543" spans="1:34">
      <c r="A543" s="402">
        <f t="shared" ca="1" si="238"/>
        <v>1E-4</v>
      </c>
      <c r="B543" s="357">
        <f t="shared" ca="1" si="239"/>
        <v>16.918999999999929</v>
      </c>
      <c r="C543" s="342"/>
      <c r="D543" s="359">
        <f t="shared" ca="1" si="240"/>
        <v>-0.7068844691720646</v>
      </c>
      <c r="E543" s="360">
        <f t="shared" ca="1" si="241"/>
        <v>-1.930147218195132</v>
      </c>
      <c r="F543" s="357">
        <f t="shared" ca="1" si="242"/>
        <v>2.0555179241892003</v>
      </c>
      <c r="G543" s="359">
        <f t="shared" ca="1" si="243"/>
        <v>5.0075823654486005</v>
      </c>
      <c r="H543" s="360">
        <f t="shared" ca="1" si="244"/>
        <v>-55.822000633821354</v>
      </c>
      <c r="I543" s="357">
        <f t="shared" ca="1" si="245"/>
        <v>56.046156299153139</v>
      </c>
      <c r="J543" s="359">
        <f t="shared" ca="1" si="246"/>
        <v>184.26379383972827</v>
      </c>
      <c r="K543" s="360">
        <f t="shared" ca="1" si="247"/>
        <v>-6.0309933439263874</v>
      </c>
      <c r="L543" s="357">
        <f t="shared" ca="1" si="232"/>
        <v>184.36246527133545</v>
      </c>
      <c r="M543" s="359">
        <f t="shared" ca="1" si="248"/>
        <v>-1.4813295496068908</v>
      </c>
      <c r="N543" s="357">
        <f t="shared" ca="1" si="249"/>
        <v>-84.873931260489954</v>
      </c>
      <c r="O543" s="343"/>
      <c r="P543" s="363">
        <f t="shared" ca="1" si="250"/>
        <v>23</v>
      </c>
      <c r="Q543" s="357">
        <f t="shared" ca="1" si="251"/>
        <v>0</v>
      </c>
      <c r="R543" s="359">
        <f t="shared" ca="1" si="252"/>
        <v>0</v>
      </c>
      <c r="S543" s="360">
        <f t="shared" ca="1" si="253"/>
        <v>0.42898953648292248</v>
      </c>
      <c r="T543" s="357">
        <f t="shared" ca="1" si="233"/>
        <v>4.2083873528974696</v>
      </c>
      <c r="U543" s="364">
        <f t="shared" ca="1" si="234"/>
        <v>0</v>
      </c>
      <c r="V543" s="359">
        <f t="shared" ca="1" si="235"/>
        <v>1.2257390195357263</v>
      </c>
      <c r="W543" s="357">
        <f t="shared" ca="1" si="236"/>
        <v>3.3939733213831378</v>
      </c>
      <c r="X543" s="343"/>
      <c r="Y543" s="367" t="str">
        <f t="shared" ca="1" si="254"/>
        <v/>
      </c>
      <c r="Z543" s="368" t="str">
        <f t="shared" ca="1" si="255"/>
        <v/>
      </c>
      <c r="AA543" s="369" t="str">
        <f t="shared" ca="1" si="256"/>
        <v/>
      </c>
      <c r="AB543" s="344"/>
      <c r="AC543" s="363" t="e">
        <f t="shared" ca="1" si="257"/>
        <v>#N/A</v>
      </c>
      <c r="AD543" s="376" t="e">
        <f t="shared" ca="1" si="258"/>
        <v>#N/A</v>
      </c>
      <c r="AE543" s="377" t="e">
        <f t="shared" ca="1" si="237"/>
        <v>#N/A</v>
      </c>
      <c r="AF543" s="344"/>
      <c r="AG543" s="359">
        <f t="shared" ca="1" si="259"/>
        <v>1.8592679157419436</v>
      </c>
      <c r="AH543" s="357">
        <f t="shared" ca="1" si="260"/>
        <v>-7.9114957824468686</v>
      </c>
    </row>
    <row r="544" spans="1:34">
      <c r="A544" s="402">
        <f t="shared" ca="1" si="238"/>
        <v>1E-4</v>
      </c>
      <c r="B544" s="357">
        <f t="shared" ca="1" si="239"/>
        <v>16.919099999999929</v>
      </c>
      <c r="C544" s="342"/>
      <c r="D544" s="359">
        <f t="shared" ca="1" si="240"/>
        <v>-0.70687723030927829</v>
      </c>
      <c r="E544" s="360">
        <f t="shared" ca="1" si="241"/>
        <v>-1.9300894326531068</v>
      </c>
      <c r="F544" s="357">
        <f t="shared" ca="1" si="242"/>
        <v>2.0554611737439625</v>
      </c>
      <c r="G544" s="359">
        <f t="shared" ca="1" si="243"/>
        <v>5.0075116777255699</v>
      </c>
      <c r="H544" s="360">
        <f t="shared" ca="1" si="244"/>
        <v>-55.822193642764617</v>
      </c>
      <c r="I544" s="357">
        <f t="shared" ca="1" si="245"/>
        <v>56.046342220459564</v>
      </c>
      <c r="J544" s="359">
        <f t="shared" ca="1" si="246"/>
        <v>184.26379383972827</v>
      </c>
      <c r="K544" s="360">
        <f t="shared" ca="1" si="247"/>
        <v>-6.0365755536402164</v>
      </c>
      <c r="L544" s="357">
        <f t="shared" ca="1" si="232"/>
        <v>184.36264796488655</v>
      </c>
      <c r="M544" s="359">
        <f t="shared" ca="1" si="248"/>
        <v>-1.4813311134889622</v>
      </c>
      <c r="N544" s="357">
        <f t="shared" ca="1" si="249"/>
        <v>-84.874020864332309</v>
      </c>
      <c r="O544" s="343"/>
      <c r="P544" s="363">
        <f t="shared" ca="1" si="250"/>
        <v>23</v>
      </c>
      <c r="Q544" s="357">
        <f t="shared" ca="1" si="251"/>
        <v>0</v>
      </c>
      <c r="R544" s="359">
        <f t="shared" ca="1" si="252"/>
        <v>0</v>
      </c>
      <c r="S544" s="360">
        <f t="shared" ca="1" si="253"/>
        <v>0.42898953648292248</v>
      </c>
      <c r="T544" s="357">
        <f t="shared" ca="1" si="233"/>
        <v>4.2083873528974696</v>
      </c>
      <c r="U544" s="364">
        <f t="shared" ca="1" si="234"/>
        <v>0</v>
      </c>
      <c r="V544" s="359">
        <f t="shared" ca="1" si="235"/>
        <v>1.2257397037692057</v>
      </c>
      <c r="W544" s="357">
        <f t="shared" ca="1" si="236"/>
        <v>3.3939977336026188</v>
      </c>
      <c r="X544" s="343"/>
      <c r="Y544" s="367" t="str">
        <f t="shared" ca="1" si="254"/>
        <v/>
      </c>
      <c r="Z544" s="368" t="str">
        <f t="shared" ca="1" si="255"/>
        <v/>
      </c>
      <c r="AA544" s="369" t="str">
        <f t="shared" ca="1" si="256"/>
        <v/>
      </c>
      <c r="AB544" s="344"/>
      <c r="AC544" s="363" t="e">
        <f t="shared" ca="1" si="257"/>
        <v>#N/A</v>
      </c>
      <c r="AD544" s="376" t="e">
        <f t="shared" ca="1" si="258"/>
        <v>#N/A</v>
      </c>
      <c r="AE544" s="377" t="e">
        <f t="shared" ca="1" si="237"/>
        <v>#N/A</v>
      </c>
      <c r="AF544" s="344"/>
      <c r="AG544" s="359">
        <f t="shared" ca="1" si="259"/>
        <v>1.8592123788769834</v>
      </c>
      <c r="AH544" s="357">
        <f t="shared" ca="1" si="260"/>
        <v>-7.9115526900928215</v>
      </c>
    </row>
    <row r="545" spans="1:34">
      <c r="A545" s="402">
        <f t="shared" ca="1" si="238"/>
        <v>1E-4</v>
      </c>
      <c r="B545" s="357">
        <f t="shared" ca="1" si="239"/>
        <v>16.919199999999929</v>
      </c>
      <c r="C545" s="342"/>
      <c r="D545" s="359">
        <f t="shared" ca="1" si="240"/>
        <v>-0.70686999140549023</v>
      </c>
      <c r="E545" s="360">
        <f t="shared" ca="1" si="241"/>
        <v>-1.9300316484495861</v>
      </c>
      <c r="F545" s="357">
        <f t="shared" ca="1" si="242"/>
        <v>2.0554044246246588</v>
      </c>
      <c r="G545" s="359">
        <f t="shared" ca="1" si="243"/>
        <v>5.0074409907264297</v>
      </c>
      <c r="H545" s="360">
        <f t="shared" ca="1" si="244"/>
        <v>-55.822386645929463</v>
      </c>
      <c r="I545" s="357">
        <f t="shared" ca="1" si="245"/>
        <v>56.04652813621243</v>
      </c>
      <c r="J545" s="359">
        <f t="shared" ca="1" si="246"/>
        <v>184.26379383972827</v>
      </c>
      <c r="K545" s="360">
        <f t="shared" ca="1" si="247"/>
        <v>-6.0421577826546509</v>
      </c>
      <c r="L545" s="357">
        <f t="shared" ca="1" si="232"/>
        <v>184.36283082790951</v>
      </c>
      <c r="M545" s="359">
        <f t="shared" ca="1" si="248"/>
        <v>-1.4813326773385824</v>
      </c>
      <c r="N545" s="357">
        <f t="shared" ca="1" si="249"/>
        <v>-84.874110466315344</v>
      </c>
      <c r="O545" s="343"/>
      <c r="P545" s="363">
        <f t="shared" ca="1" si="250"/>
        <v>23</v>
      </c>
      <c r="Q545" s="357">
        <f t="shared" ca="1" si="251"/>
        <v>0</v>
      </c>
      <c r="R545" s="359">
        <f t="shared" ca="1" si="252"/>
        <v>0</v>
      </c>
      <c r="S545" s="360">
        <f t="shared" ca="1" si="253"/>
        <v>0.42898953648292248</v>
      </c>
      <c r="T545" s="357">
        <f t="shared" ca="1" si="233"/>
        <v>4.2083873528974696</v>
      </c>
      <c r="U545" s="364">
        <f t="shared" ca="1" si="234"/>
        <v>0</v>
      </c>
      <c r="V545" s="359">
        <f t="shared" ca="1" si="235"/>
        <v>1.2257403880054329</v>
      </c>
      <c r="W545" s="357">
        <f t="shared" ca="1" si="236"/>
        <v>3.3940221452569292</v>
      </c>
      <c r="X545" s="343"/>
      <c r="Y545" s="367" t="str">
        <f t="shared" ca="1" si="254"/>
        <v/>
      </c>
      <c r="Z545" s="368" t="str">
        <f t="shared" ca="1" si="255"/>
        <v/>
      </c>
      <c r="AA545" s="369" t="str">
        <f t="shared" ca="1" si="256"/>
        <v/>
      </c>
      <c r="AB545" s="344"/>
      <c r="AC545" s="363" t="e">
        <f t="shared" ca="1" si="257"/>
        <v>#N/A</v>
      </c>
      <c r="AD545" s="376" t="e">
        <f t="shared" ca="1" si="258"/>
        <v>#N/A</v>
      </c>
      <c r="AE545" s="377" t="e">
        <f t="shared" ca="1" si="237"/>
        <v>#N/A</v>
      </c>
      <c r="AF545" s="344"/>
      <c r="AG545" s="359">
        <f t="shared" ca="1" si="259"/>
        <v>1.8591568432771464</v>
      </c>
      <c r="AH545" s="357">
        <f t="shared" ca="1" si="260"/>
        <v>-7.9116095964213091</v>
      </c>
    </row>
    <row r="546" spans="1:34">
      <c r="A546" s="402">
        <f t="shared" ca="1" si="238"/>
        <v>1E-4</v>
      </c>
      <c r="B546" s="357">
        <f t="shared" ca="1" si="239"/>
        <v>16.919299999999929</v>
      </c>
      <c r="C546" s="342"/>
      <c r="D546" s="359">
        <f t="shared" ca="1" si="240"/>
        <v>-0.7068627524607054</v>
      </c>
      <c r="E546" s="360">
        <f t="shared" ca="1" si="241"/>
        <v>-1.9299738655845511</v>
      </c>
      <c r="F546" s="357">
        <f t="shared" ca="1" si="242"/>
        <v>2.0553476768312704</v>
      </c>
      <c r="G546" s="359">
        <f t="shared" ca="1" si="243"/>
        <v>5.0073703044511833</v>
      </c>
      <c r="H546" s="360">
        <f t="shared" ca="1" si="244"/>
        <v>-55.822579643316018</v>
      </c>
      <c r="I546" s="357">
        <f t="shared" ca="1" si="245"/>
        <v>56.04671404641185</v>
      </c>
      <c r="J546" s="359">
        <f t="shared" ca="1" si="246"/>
        <v>184.26379383972827</v>
      </c>
      <c r="K546" s="360">
        <f t="shared" ca="1" si="247"/>
        <v>-6.0477400309691127</v>
      </c>
      <c r="L546" s="357">
        <f t="shared" ca="1" si="232"/>
        <v>184.36301386040549</v>
      </c>
      <c r="M546" s="359">
        <f t="shared" ca="1" si="248"/>
        <v>-1.481334241155752</v>
      </c>
      <c r="N546" s="357">
        <f t="shared" ca="1" si="249"/>
        <v>-84.874200066439087</v>
      </c>
      <c r="O546" s="343"/>
      <c r="P546" s="363">
        <f t="shared" ca="1" si="250"/>
        <v>23</v>
      </c>
      <c r="Q546" s="357">
        <f t="shared" ca="1" si="251"/>
        <v>0</v>
      </c>
      <c r="R546" s="359">
        <f t="shared" ca="1" si="252"/>
        <v>0</v>
      </c>
      <c r="S546" s="360">
        <f t="shared" ca="1" si="253"/>
        <v>0.42898953648292248</v>
      </c>
      <c r="T546" s="357">
        <f t="shared" ca="1" si="233"/>
        <v>4.2083873528974696</v>
      </c>
      <c r="U546" s="364">
        <f t="shared" ca="1" si="234"/>
        <v>0</v>
      </c>
      <c r="V546" s="359">
        <f t="shared" ca="1" si="235"/>
        <v>1.2257410722444078</v>
      </c>
      <c r="W546" s="357">
        <f t="shared" ca="1" si="236"/>
        <v>3.3940465563460749</v>
      </c>
      <c r="X546" s="343"/>
      <c r="Y546" s="367" t="str">
        <f t="shared" ca="1" si="254"/>
        <v/>
      </c>
      <c r="Z546" s="368" t="str">
        <f t="shared" ca="1" si="255"/>
        <v/>
      </c>
      <c r="AA546" s="369" t="str">
        <f t="shared" ca="1" si="256"/>
        <v/>
      </c>
      <c r="AB546" s="344"/>
      <c r="AC546" s="363" t="e">
        <f t="shared" ca="1" si="257"/>
        <v>#N/A</v>
      </c>
      <c r="AD546" s="376" t="e">
        <f t="shared" ca="1" si="258"/>
        <v>#N/A</v>
      </c>
      <c r="AE546" s="377" t="e">
        <f t="shared" ca="1" si="237"/>
        <v>#N/A</v>
      </c>
      <c r="AF546" s="344"/>
      <c r="AG546" s="359">
        <f t="shared" ca="1" si="259"/>
        <v>1.8591013089424147</v>
      </c>
      <c r="AH546" s="357">
        <f t="shared" ca="1" si="260"/>
        <v>-7.9116665014323511</v>
      </c>
    </row>
    <row r="547" spans="1:34">
      <c r="A547" s="402">
        <f t="shared" ca="1" si="238"/>
        <v>1E-4</v>
      </c>
      <c r="B547" s="357">
        <f t="shared" ca="1" si="239"/>
        <v>16.919399999999928</v>
      </c>
      <c r="C547" s="342"/>
      <c r="D547" s="359">
        <f t="shared" ca="1" si="240"/>
        <v>-0.70685551347493292</v>
      </c>
      <c r="E547" s="360">
        <f t="shared" ca="1" si="241"/>
        <v>-1.9299160840579868</v>
      </c>
      <c r="F547" s="357">
        <f t="shared" ca="1" si="242"/>
        <v>2.0552909303637832</v>
      </c>
      <c r="G547" s="359">
        <f t="shared" ca="1" si="243"/>
        <v>5.007299618899836</v>
      </c>
      <c r="H547" s="360">
        <f t="shared" ca="1" si="244"/>
        <v>-55.822772634924426</v>
      </c>
      <c r="I547" s="357">
        <f t="shared" ca="1" si="245"/>
        <v>56.046899951057966</v>
      </c>
      <c r="J547" s="359">
        <f t="shared" ca="1" si="246"/>
        <v>184.26379383972827</v>
      </c>
      <c r="K547" s="360">
        <f t="shared" ca="1" si="247"/>
        <v>-6.0533222985830246</v>
      </c>
      <c r="L547" s="357">
        <f t="shared" ca="1" si="232"/>
        <v>184.36319706237578</v>
      </c>
      <c r="M547" s="359">
        <f t="shared" ca="1" si="248"/>
        <v>-1.4813358049404723</v>
      </c>
      <c r="N547" s="357">
        <f t="shared" ca="1" si="249"/>
        <v>-84.874289664703625</v>
      </c>
      <c r="O547" s="343"/>
      <c r="P547" s="363">
        <f t="shared" ca="1" si="250"/>
        <v>23</v>
      </c>
      <c r="Q547" s="357">
        <f t="shared" ca="1" si="251"/>
        <v>0</v>
      </c>
      <c r="R547" s="359">
        <f t="shared" ca="1" si="252"/>
        <v>0</v>
      </c>
      <c r="S547" s="360">
        <f t="shared" ca="1" si="253"/>
        <v>0.42898953648292248</v>
      </c>
      <c r="T547" s="357">
        <f t="shared" ca="1" si="233"/>
        <v>4.2083873528974696</v>
      </c>
      <c r="U547" s="364">
        <f t="shared" ca="1" si="234"/>
        <v>0</v>
      </c>
      <c r="V547" s="359">
        <f t="shared" ca="1" si="235"/>
        <v>1.2257417564861304</v>
      </c>
      <c r="W547" s="357">
        <f t="shared" ca="1" si="236"/>
        <v>3.3940709668700655</v>
      </c>
      <c r="X547" s="343"/>
      <c r="Y547" s="367" t="str">
        <f t="shared" ca="1" si="254"/>
        <v/>
      </c>
      <c r="Z547" s="368" t="str">
        <f t="shared" ca="1" si="255"/>
        <v/>
      </c>
      <c r="AA547" s="369" t="str">
        <f t="shared" ca="1" si="256"/>
        <v/>
      </c>
      <c r="AB547" s="344"/>
      <c r="AC547" s="363" t="e">
        <f t="shared" ca="1" si="257"/>
        <v>#N/A</v>
      </c>
      <c r="AD547" s="376" t="e">
        <f t="shared" ca="1" si="258"/>
        <v>#N/A</v>
      </c>
      <c r="AE547" s="377" t="e">
        <f t="shared" ca="1" si="237"/>
        <v>#N/A</v>
      </c>
      <c r="AF547" s="344"/>
      <c r="AG547" s="359">
        <f t="shared" ca="1" si="259"/>
        <v>1.8590457758727803</v>
      </c>
      <c r="AH547" s="357">
        <f t="shared" ca="1" si="260"/>
        <v>-7.9117234051259606</v>
      </c>
    </row>
    <row r="548" spans="1:34">
      <c r="A548" s="402">
        <f t="shared" ca="1" si="238"/>
        <v>1E-4</v>
      </c>
      <c r="B548" s="357">
        <f t="shared" ca="1" si="239"/>
        <v>16.919499999999928</v>
      </c>
      <c r="C548" s="342"/>
      <c r="D548" s="359">
        <f t="shared" ca="1" si="240"/>
        <v>-0.70684827444817444</v>
      </c>
      <c r="E548" s="360">
        <f t="shared" ca="1" si="241"/>
        <v>-1.9298583038698727</v>
      </c>
      <c r="F548" s="357">
        <f t="shared" ca="1" si="242"/>
        <v>2.0552341852221767</v>
      </c>
      <c r="G548" s="359">
        <f t="shared" ca="1" si="243"/>
        <v>5.0072289340723914</v>
      </c>
      <c r="H548" s="360">
        <f t="shared" ca="1" si="244"/>
        <v>-55.822965620754815</v>
      </c>
      <c r="I548" s="357">
        <f t="shared" ca="1" si="245"/>
        <v>56.0470858501509</v>
      </c>
      <c r="J548" s="359">
        <f t="shared" ca="1" si="246"/>
        <v>184.26379383972827</v>
      </c>
      <c r="K548" s="360">
        <f t="shared" ca="1" si="247"/>
        <v>-6.0589045854958083</v>
      </c>
      <c r="L548" s="357">
        <f t="shared" ca="1" si="232"/>
        <v>184.36338043382156</v>
      </c>
      <c r="M548" s="359">
        <f t="shared" ca="1" si="248"/>
        <v>-1.4813373686927442</v>
      </c>
      <c r="N548" s="357">
        <f t="shared" ca="1" si="249"/>
        <v>-84.874379261109013</v>
      </c>
      <c r="O548" s="343"/>
      <c r="P548" s="363">
        <f t="shared" ca="1" si="250"/>
        <v>23</v>
      </c>
      <c r="Q548" s="357">
        <f t="shared" ca="1" si="251"/>
        <v>0</v>
      </c>
      <c r="R548" s="359">
        <f t="shared" ca="1" si="252"/>
        <v>0</v>
      </c>
      <c r="S548" s="360">
        <f t="shared" ca="1" si="253"/>
        <v>0.42898953648292248</v>
      </c>
      <c r="T548" s="357">
        <f t="shared" ca="1" si="233"/>
        <v>4.2083873528974696</v>
      </c>
      <c r="U548" s="364">
        <f t="shared" ca="1" si="234"/>
        <v>0</v>
      </c>
      <c r="V548" s="359">
        <f t="shared" ca="1" si="235"/>
        <v>1.2257424407306003</v>
      </c>
      <c r="W548" s="357">
        <f t="shared" ca="1" si="236"/>
        <v>3.3940953768289082</v>
      </c>
      <c r="X548" s="343"/>
      <c r="Y548" s="367" t="str">
        <f t="shared" ca="1" si="254"/>
        <v/>
      </c>
      <c r="Z548" s="368" t="str">
        <f t="shared" ca="1" si="255"/>
        <v/>
      </c>
      <c r="AA548" s="369" t="str">
        <f t="shared" ca="1" si="256"/>
        <v/>
      </c>
      <c r="AB548" s="344"/>
      <c r="AC548" s="363" t="e">
        <f t="shared" ca="1" si="257"/>
        <v>#N/A</v>
      </c>
      <c r="AD548" s="376" t="e">
        <f t="shared" ca="1" si="258"/>
        <v>#N/A</v>
      </c>
      <c r="AE548" s="377" t="e">
        <f t="shared" ca="1" si="237"/>
        <v>#N/A</v>
      </c>
      <c r="AF548" s="344"/>
      <c r="AG548" s="359">
        <f t="shared" ca="1" si="259"/>
        <v>1.8589902440682211</v>
      </c>
      <c r="AH548" s="357">
        <f t="shared" ca="1" si="260"/>
        <v>-7.91178030750216</v>
      </c>
    </row>
    <row r="549" spans="1:34">
      <c r="A549" s="402">
        <f t="shared" ca="1" si="238"/>
        <v>1E-4</v>
      </c>
      <c r="B549" s="357">
        <f t="shared" ca="1" si="239"/>
        <v>16.919599999999928</v>
      </c>
      <c r="C549" s="342"/>
      <c r="D549" s="359">
        <f t="shared" ca="1" si="240"/>
        <v>-0.70684103538043808</v>
      </c>
      <c r="E549" s="360">
        <f t="shared" ca="1" si="241"/>
        <v>-1.9298005250201893</v>
      </c>
      <c r="F549" s="357">
        <f t="shared" ca="1" si="242"/>
        <v>2.0551774414064319</v>
      </c>
      <c r="G549" s="359">
        <f t="shared" ca="1" si="243"/>
        <v>5.0071582499688532</v>
      </c>
      <c r="H549" s="360">
        <f t="shared" ca="1" si="244"/>
        <v>-55.823158600807318</v>
      </c>
      <c r="I549" s="357">
        <f t="shared" ca="1" si="245"/>
        <v>56.047271743690779</v>
      </c>
      <c r="J549" s="359">
        <f t="shared" ca="1" si="246"/>
        <v>184.26379383972827</v>
      </c>
      <c r="K549" s="360">
        <f t="shared" ca="1" si="247"/>
        <v>-6.0644868917068866</v>
      </c>
      <c r="L549" s="357">
        <f t="shared" ca="1" si="232"/>
        <v>184.36356397474412</v>
      </c>
      <c r="M549" s="359">
        <f t="shared" ca="1" si="248"/>
        <v>-1.4813389324125683</v>
      </c>
      <c r="N549" s="357">
        <f t="shared" ca="1" si="249"/>
        <v>-84.874468855655266</v>
      </c>
      <c r="O549" s="343"/>
      <c r="P549" s="363">
        <f t="shared" ca="1" si="250"/>
        <v>23</v>
      </c>
      <c r="Q549" s="357">
        <f t="shared" ca="1" si="251"/>
        <v>0</v>
      </c>
      <c r="R549" s="359">
        <f t="shared" ca="1" si="252"/>
        <v>0</v>
      </c>
      <c r="S549" s="360">
        <f t="shared" ca="1" si="253"/>
        <v>0.42898953648292248</v>
      </c>
      <c r="T549" s="357">
        <f t="shared" ca="1" si="233"/>
        <v>4.2083873528974696</v>
      </c>
      <c r="U549" s="364">
        <f t="shared" ca="1" si="234"/>
        <v>0</v>
      </c>
      <c r="V549" s="359">
        <f t="shared" ca="1" si="235"/>
        <v>1.2257431249778186</v>
      </c>
      <c r="W549" s="357">
        <f t="shared" ca="1" si="236"/>
        <v>3.3941197862226109</v>
      </c>
      <c r="X549" s="343"/>
      <c r="Y549" s="367" t="str">
        <f t="shared" ca="1" si="254"/>
        <v/>
      </c>
      <c r="Z549" s="368" t="str">
        <f t="shared" ca="1" si="255"/>
        <v/>
      </c>
      <c r="AA549" s="369" t="str">
        <f t="shared" ca="1" si="256"/>
        <v/>
      </c>
      <c r="AB549" s="344"/>
      <c r="AC549" s="363" t="e">
        <f t="shared" ca="1" si="257"/>
        <v>#N/A</v>
      </c>
      <c r="AD549" s="376" t="e">
        <f t="shared" ca="1" si="258"/>
        <v>#N/A</v>
      </c>
      <c r="AE549" s="377" t="e">
        <f t="shared" ca="1" si="237"/>
        <v>#N/A</v>
      </c>
      <c r="AF549" s="344"/>
      <c r="AG549" s="359">
        <f t="shared" ca="1" si="259"/>
        <v>1.858934713528722</v>
      </c>
      <c r="AH549" s="357">
        <f t="shared" ca="1" si="260"/>
        <v>-7.9118372085609661</v>
      </c>
    </row>
    <row r="550" spans="1:34">
      <c r="A550" s="402">
        <f t="shared" ca="1" si="238"/>
        <v>1E-4</v>
      </c>
      <c r="B550" s="357">
        <f t="shared" ca="1" si="239"/>
        <v>16.919699999999928</v>
      </c>
      <c r="C550" s="342"/>
      <c r="D550" s="359">
        <f t="shared" ca="1" si="240"/>
        <v>-0.70683379627173193</v>
      </c>
      <c r="E550" s="360">
        <f t="shared" ca="1" si="241"/>
        <v>-1.9297427475089197</v>
      </c>
      <c r="F550" s="357">
        <f t="shared" ca="1" si="242"/>
        <v>2.055120698916534</v>
      </c>
      <c r="G550" s="359">
        <f t="shared" ca="1" si="243"/>
        <v>5.0070875665892256</v>
      </c>
      <c r="H550" s="360">
        <f t="shared" ca="1" si="244"/>
        <v>-55.823351575082071</v>
      </c>
      <c r="I550" s="357">
        <f t="shared" ca="1" si="245"/>
        <v>56.04745763167773</v>
      </c>
      <c r="J550" s="359">
        <f t="shared" ca="1" si="246"/>
        <v>184.26379383972827</v>
      </c>
      <c r="K550" s="360">
        <f t="shared" ca="1" si="247"/>
        <v>-6.0700692172156812</v>
      </c>
      <c r="L550" s="357">
        <f t="shared" ca="1" si="232"/>
        <v>184.36374768514463</v>
      </c>
      <c r="M550" s="359">
        <f t="shared" ca="1" si="248"/>
        <v>-1.4813404960999459</v>
      </c>
      <c r="N550" s="357">
        <f t="shared" ca="1" si="249"/>
        <v>-84.874558448342484</v>
      </c>
      <c r="O550" s="343"/>
      <c r="P550" s="363">
        <f t="shared" ca="1" si="250"/>
        <v>23</v>
      </c>
      <c r="Q550" s="357">
        <f t="shared" ca="1" si="251"/>
        <v>0</v>
      </c>
      <c r="R550" s="359">
        <f t="shared" ca="1" si="252"/>
        <v>0</v>
      </c>
      <c r="S550" s="360">
        <f t="shared" ca="1" si="253"/>
        <v>0.42898953648292248</v>
      </c>
      <c r="T550" s="357">
        <f t="shared" ca="1" si="233"/>
        <v>4.2083873528974696</v>
      </c>
      <c r="U550" s="364">
        <f t="shared" ca="1" si="234"/>
        <v>0</v>
      </c>
      <c r="V550" s="359">
        <f t="shared" ca="1" si="235"/>
        <v>1.2257438092277837</v>
      </c>
      <c r="W550" s="357">
        <f t="shared" ca="1" si="236"/>
        <v>3.3941441950511804</v>
      </c>
      <c r="X550" s="343"/>
      <c r="Y550" s="367" t="str">
        <f t="shared" ca="1" si="254"/>
        <v/>
      </c>
      <c r="Z550" s="368" t="str">
        <f t="shared" ca="1" si="255"/>
        <v/>
      </c>
      <c r="AA550" s="369" t="str">
        <f t="shared" ca="1" si="256"/>
        <v/>
      </c>
      <c r="AB550" s="344"/>
      <c r="AC550" s="363" t="e">
        <f t="shared" ca="1" si="257"/>
        <v>#N/A</v>
      </c>
      <c r="AD550" s="376" t="e">
        <f t="shared" ca="1" si="258"/>
        <v>#N/A</v>
      </c>
      <c r="AE550" s="377" t="e">
        <f t="shared" ca="1" si="237"/>
        <v>#N/A</v>
      </c>
      <c r="AF550" s="344"/>
      <c r="AG550" s="359">
        <f t="shared" ca="1" si="259"/>
        <v>1.8588791842542678</v>
      </c>
      <c r="AH550" s="357">
        <f t="shared" ca="1" si="260"/>
        <v>-7.9118941083023975</v>
      </c>
    </row>
    <row r="551" spans="1:34">
      <c r="A551" s="402">
        <f t="shared" ca="1" si="238"/>
        <v>1E-4</v>
      </c>
      <c r="B551" s="357">
        <f t="shared" ca="1" si="239"/>
        <v>16.919799999999928</v>
      </c>
      <c r="C551" s="342"/>
      <c r="D551" s="359">
        <f t="shared" ca="1" si="240"/>
        <v>-0.70682655712205877</v>
      </c>
      <c r="E551" s="360">
        <f t="shared" ca="1" si="241"/>
        <v>-1.9296849713360453</v>
      </c>
      <c r="F551" s="357">
        <f t="shared" ca="1" si="242"/>
        <v>2.0550639577524632</v>
      </c>
      <c r="G551" s="359">
        <f t="shared" ca="1" si="243"/>
        <v>5.0070168839335132</v>
      </c>
      <c r="H551" s="360">
        <f t="shared" ca="1" si="244"/>
        <v>-55.823544543579203</v>
      </c>
      <c r="I551" s="357">
        <f t="shared" ca="1" si="245"/>
        <v>56.047643514111876</v>
      </c>
      <c r="J551" s="359">
        <f t="shared" ca="1" si="246"/>
        <v>184.26379383972827</v>
      </c>
      <c r="K551" s="360">
        <f t="shared" ca="1" si="247"/>
        <v>-6.0756515620216138</v>
      </c>
      <c r="L551" s="357">
        <f t="shared" ca="1" si="232"/>
        <v>184.36393156502433</v>
      </c>
      <c r="M551" s="359">
        <f t="shared" ca="1" si="248"/>
        <v>-1.4813420597548779</v>
      </c>
      <c r="N551" s="357">
        <f t="shared" ca="1" si="249"/>
        <v>-84.874648039170708</v>
      </c>
      <c r="O551" s="343"/>
      <c r="P551" s="363">
        <f t="shared" ca="1" si="250"/>
        <v>23</v>
      </c>
      <c r="Q551" s="357">
        <f t="shared" ca="1" si="251"/>
        <v>0</v>
      </c>
      <c r="R551" s="359">
        <f t="shared" ca="1" si="252"/>
        <v>0</v>
      </c>
      <c r="S551" s="360">
        <f t="shared" ca="1" si="253"/>
        <v>0.42898953648292248</v>
      </c>
      <c r="T551" s="357">
        <f t="shared" ca="1" si="233"/>
        <v>4.2083873528974696</v>
      </c>
      <c r="U551" s="364">
        <f t="shared" ca="1" si="234"/>
        <v>0</v>
      </c>
      <c r="V551" s="359">
        <f t="shared" ca="1" si="235"/>
        <v>1.2257444934804969</v>
      </c>
      <c r="W551" s="357">
        <f t="shared" ca="1" si="236"/>
        <v>3.394168603314625</v>
      </c>
      <c r="X551" s="343"/>
      <c r="Y551" s="367" t="str">
        <f t="shared" ca="1" si="254"/>
        <v/>
      </c>
      <c r="Z551" s="368" t="str">
        <f t="shared" ca="1" si="255"/>
        <v/>
      </c>
      <c r="AA551" s="369" t="str">
        <f t="shared" ca="1" si="256"/>
        <v/>
      </c>
      <c r="AB551" s="344"/>
      <c r="AC551" s="363" t="e">
        <f t="shared" ca="1" si="257"/>
        <v>#N/A</v>
      </c>
      <c r="AD551" s="376" t="e">
        <f t="shared" ca="1" si="258"/>
        <v>#N/A</v>
      </c>
      <c r="AE551" s="377" t="e">
        <f t="shared" ca="1" si="237"/>
        <v>#N/A</v>
      </c>
      <c r="AF551" s="344"/>
      <c r="AG551" s="359">
        <f t="shared" ca="1" si="259"/>
        <v>1.8588236562448479</v>
      </c>
      <c r="AH551" s="357">
        <f t="shared" ca="1" si="260"/>
        <v>-7.9119510067264702</v>
      </c>
    </row>
    <row r="552" spans="1:34">
      <c r="A552" s="402">
        <f t="shared" ca="1" si="238"/>
        <v>1E-4</v>
      </c>
      <c r="B552" s="357">
        <f t="shared" ca="1" si="239"/>
        <v>16.919899999999927</v>
      </c>
      <c r="C552" s="342"/>
      <c r="D552" s="359">
        <f t="shared" ca="1" si="240"/>
        <v>-0.70681931793142494</v>
      </c>
      <c r="E552" s="360">
        <f t="shared" ca="1" si="241"/>
        <v>-1.9296271965015501</v>
      </c>
      <c r="F552" s="357">
        <f t="shared" ca="1" si="242"/>
        <v>2.0550072179142038</v>
      </c>
      <c r="G552" s="359">
        <f t="shared" ca="1" si="243"/>
        <v>5.0069462020017204</v>
      </c>
      <c r="H552" s="360">
        <f t="shared" ca="1" si="244"/>
        <v>-55.823737506298855</v>
      </c>
      <c r="I552" s="357">
        <f t="shared" ca="1" si="245"/>
        <v>56.047829390993343</v>
      </c>
      <c r="J552" s="359">
        <f t="shared" ca="1" si="246"/>
        <v>184.26379383972827</v>
      </c>
      <c r="K552" s="360">
        <f t="shared" ca="1" si="247"/>
        <v>-6.0812339261241073</v>
      </c>
      <c r="L552" s="357">
        <f t="shared" ca="1" si="232"/>
        <v>184.36411561438447</v>
      </c>
      <c r="M552" s="359">
        <f t="shared" ca="1" si="248"/>
        <v>-1.4813436233773649</v>
      </c>
      <c r="N552" s="357">
        <f t="shared" ca="1" si="249"/>
        <v>-84.874737628139968</v>
      </c>
      <c r="O552" s="343"/>
      <c r="P552" s="363">
        <f t="shared" ca="1" si="250"/>
        <v>23</v>
      </c>
      <c r="Q552" s="357">
        <f t="shared" ca="1" si="251"/>
        <v>0</v>
      </c>
      <c r="R552" s="359">
        <f t="shared" ca="1" si="252"/>
        <v>0</v>
      </c>
      <c r="S552" s="360">
        <f t="shared" ca="1" si="253"/>
        <v>0.42898953648292248</v>
      </c>
      <c r="T552" s="357">
        <f t="shared" ca="1" si="233"/>
        <v>4.2083873528974696</v>
      </c>
      <c r="U552" s="364">
        <f t="shared" ca="1" si="234"/>
        <v>0</v>
      </c>
      <c r="V552" s="359">
        <f t="shared" ca="1" si="235"/>
        <v>1.2257451777359569</v>
      </c>
      <c r="W552" s="357">
        <f t="shared" ca="1" si="236"/>
        <v>3.3941930110129506</v>
      </c>
      <c r="X552" s="343"/>
      <c r="Y552" s="367" t="str">
        <f t="shared" ca="1" si="254"/>
        <v/>
      </c>
      <c r="Z552" s="368" t="str">
        <f t="shared" ca="1" si="255"/>
        <v/>
      </c>
      <c r="AA552" s="369" t="str">
        <f t="shared" ca="1" si="256"/>
        <v/>
      </c>
      <c r="AB552" s="344"/>
      <c r="AC552" s="363" t="e">
        <f t="shared" ca="1" si="257"/>
        <v>#N/A</v>
      </c>
      <c r="AD552" s="376" t="e">
        <f t="shared" ca="1" si="258"/>
        <v>#N/A</v>
      </c>
      <c r="AE552" s="377" t="e">
        <f t="shared" ca="1" si="237"/>
        <v>#N/A</v>
      </c>
      <c r="AF552" s="344"/>
      <c r="AG552" s="359">
        <f t="shared" ca="1" si="259"/>
        <v>1.8587681295004366</v>
      </c>
      <c r="AH552" s="357">
        <f t="shared" ca="1" si="260"/>
        <v>-7.912007903833203</v>
      </c>
    </row>
    <row r="553" spans="1:34">
      <c r="A553" s="402">
        <f t="shared" ca="1" si="238"/>
        <v>1E-4</v>
      </c>
      <c r="B553" s="357">
        <f t="shared" ca="1" si="239"/>
        <v>16.919999999999927</v>
      </c>
      <c r="C553" s="342"/>
      <c r="D553" s="359">
        <f t="shared" ca="1" si="240"/>
        <v>-0.70681207869983842</v>
      </c>
      <c r="E553" s="360">
        <f t="shared" ca="1" si="241"/>
        <v>-1.9295694230054172</v>
      </c>
      <c r="F553" s="357">
        <f t="shared" ca="1" si="242"/>
        <v>2.0549504794017412</v>
      </c>
      <c r="G553" s="359">
        <f t="shared" ca="1" si="243"/>
        <v>5.0068755207938507</v>
      </c>
      <c r="H553" s="360">
        <f t="shared" ca="1" si="244"/>
        <v>-55.823930463241155</v>
      </c>
      <c r="I553" s="357">
        <f t="shared" ca="1" si="245"/>
        <v>56.048015262322252</v>
      </c>
      <c r="J553" s="359">
        <f t="shared" ca="1" si="246"/>
        <v>184.26379383972827</v>
      </c>
      <c r="K553" s="360">
        <f t="shared" ca="1" si="247"/>
        <v>-6.0868163095225842</v>
      </c>
      <c r="L553" s="357">
        <f t="shared" ca="1" si="232"/>
        <v>184.36429983322626</v>
      </c>
      <c r="M553" s="359">
        <f t="shared" ca="1" si="248"/>
        <v>-1.4813451869674081</v>
      </c>
      <c r="N553" s="357">
        <f t="shared" ca="1" si="249"/>
        <v>-84.87482721525032</v>
      </c>
      <c r="O553" s="343"/>
      <c r="P553" s="363">
        <f t="shared" ca="1" si="250"/>
        <v>23</v>
      </c>
      <c r="Q553" s="357">
        <f t="shared" ca="1" si="251"/>
        <v>0</v>
      </c>
      <c r="R553" s="359">
        <f t="shared" ca="1" si="252"/>
        <v>0</v>
      </c>
      <c r="S553" s="360">
        <f t="shared" ca="1" si="253"/>
        <v>0.42898953648292248</v>
      </c>
      <c r="T553" s="357">
        <f t="shared" ca="1" si="233"/>
        <v>4.2083873528974696</v>
      </c>
      <c r="U553" s="364">
        <f t="shared" ca="1" si="234"/>
        <v>0</v>
      </c>
      <c r="V553" s="359">
        <f t="shared" ca="1" si="235"/>
        <v>1.2257458619941641</v>
      </c>
      <c r="W553" s="357">
        <f t="shared" ca="1" si="236"/>
        <v>3.3942174181461646</v>
      </c>
      <c r="X553" s="343"/>
      <c r="Y553" s="367" t="str">
        <f t="shared" ca="1" si="254"/>
        <v/>
      </c>
      <c r="Z553" s="368" t="str">
        <f t="shared" ca="1" si="255"/>
        <v/>
      </c>
      <c r="AA553" s="369" t="str">
        <f t="shared" ca="1" si="256"/>
        <v/>
      </c>
      <c r="AB553" s="344"/>
      <c r="AC553" s="363" t="e">
        <f t="shared" ca="1" si="257"/>
        <v>#N/A</v>
      </c>
      <c r="AD553" s="376" t="e">
        <f t="shared" ca="1" si="258"/>
        <v>#N/A</v>
      </c>
      <c r="AE553" s="377" t="e">
        <f t="shared" ca="1" si="237"/>
        <v>#N/A</v>
      </c>
      <c r="AF553" s="344"/>
      <c r="AG553" s="359">
        <f t="shared" ca="1" si="259"/>
        <v>1.858712604021032</v>
      </c>
      <c r="AH553" s="357">
        <f t="shared" ca="1" si="260"/>
        <v>-7.9120647996226099</v>
      </c>
    </row>
    <row r="554" spans="1:34">
      <c r="A554" s="402">
        <f t="shared" ca="1" si="238"/>
        <v>1E-4</v>
      </c>
      <c r="B554" s="357">
        <f t="shared" ca="1" si="239"/>
        <v>16.920099999999927</v>
      </c>
      <c r="C554" s="342"/>
      <c r="D554" s="359">
        <f t="shared" ca="1" si="240"/>
        <v>-0.70680483942730354</v>
      </c>
      <c r="E554" s="360">
        <f t="shared" ca="1" si="241"/>
        <v>-1.9295116508476298</v>
      </c>
      <c r="F554" s="357">
        <f t="shared" ca="1" si="242"/>
        <v>2.0548937422150573</v>
      </c>
      <c r="G554" s="359">
        <f t="shared" ca="1" si="243"/>
        <v>5.0068048403099077</v>
      </c>
      <c r="H554" s="360">
        <f t="shared" ca="1" si="244"/>
        <v>-55.824123414406237</v>
      </c>
      <c r="I554" s="357">
        <f t="shared" ca="1" si="245"/>
        <v>56.048201128098746</v>
      </c>
      <c r="J554" s="359">
        <f t="shared" ca="1" si="246"/>
        <v>184.26379383972827</v>
      </c>
      <c r="K554" s="360">
        <f t="shared" ca="1" si="247"/>
        <v>-6.0923987122164664</v>
      </c>
      <c r="L554" s="357">
        <f t="shared" ca="1" si="232"/>
        <v>184.36448422155092</v>
      </c>
      <c r="M554" s="359">
        <f t="shared" ca="1" si="248"/>
        <v>-1.4813467505250084</v>
      </c>
      <c r="N554" s="357">
        <f t="shared" ca="1" si="249"/>
        <v>-84.87491680050185</v>
      </c>
      <c r="O554" s="343"/>
      <c r="P554" s="363">
        <f t="shared" ca="1" si="250"/>
        <v>23</v>
      </c>
      <c r="Q554" s="357">
        <f t="shared" ca="1" si="251"/>
        <v>0</v>
      </c>
      <c r="R554" s="359">
        <f t="shared" ca="1" si="252"/>
        <v>0</v>
      </c>
      <c r="S554" s="360">
        <f t="shared" ca="1" si="253"/>
        <v>0.42898953648292248</v>
      </c>
      <c r="T554" s="357">
        <f t="shared" ca="1" si="233"/>
        <v>4.2083873528974696</v>
      </c>
      <c r="U554" s="364">
        <f t="shared" ca="1" si="234"/>
        <v>0</v>
      </c>
      <c r="V554" s="359">
        <f t="shared" ca="1" si="235"/>
        <v>1.2257465462551187</v>
      </c>
      <c r="W554" s="357">
        <f t="shared" ca="1" si="236"/>
        <v>3.3942418247142774</v>
      </c>
      <c r="X554" s="343"/>
      <c r="Y554" s="367" t="str">
        <f t="shared" ca="1" si="254"/>
        <v/>
      </c>
      <c r="Z554" s="368" t="str">
        <f t="shared" ca="1" si="255"/>
        <v/>
      </c>
      <c r="AA554" s="369" t="str">
        <f t="shared" ca="1" si="256"/>
        <v/>
      </c>
      <c r="AB554" s="344"/>
      <c r="AC554" s="363" t="e">
        <f t="shared" ca="1" si="257"/>
        <v>#N/A</v>
      </c>
      <c r="AD554" s="376" t="e">
        <f t="shared" ca="1" si="258"/>
        <v>#N/A</v>
      </c>
      <c r="AE554" s="377" t="e">
        <f t="shared" ca="1" si="237"/>
        <v>#N/A</v>
      </c>
      <c r="AF554" s="344"/>
      <c r="AG554" s="359">
        <f t="shared" ca="1" si="259"/>
        <v>1.8586570798066164</v>
      </c>
      <c r="AH554" s="357">
        <f t="shared" ca="1" si="260"/>
        <v>-7.9121216940947088</v>
      </c>
    </row>
    <row r="555" spans="1:34">
      <c r="A555" s="402">
        <f t="shared" ca="1" si="238"/>
        <v>1E-4</v>
      </c>
      <c r="B555" s="357">
        <f t="shared" ca="1" si="239"/>
        <v>16.920199999999927</v>
      </c>
      <c r="C555" s="342"/>
      <c r="D555" s="359">
        <f t="shared" ca="1" si="240"/>
        <v>-0.70679760011382731</v>
      </c>
      <c r="E555" s="360">
        <f t="shared" ca="1" si="241"/>
        <v>-1.9294538800281629</v>
      </c>
      <c r="F555" s="357">
        <f t="shared" ca="1" si="242"/>
        <v>2.0548370063541288</v>
      </c>
      <c r="G555" s="359">
        <f t="shared" ca="1" si="243"/>
        <v>5.0067341605498967</v>
      </c>
      <c r="H555" s="360">
        <f t="shared" ca="1" si="244"/>
        <v>-55.824316359794238</v>
      </c>
      <c r="I555" s="357">
        <f t="shared" ca="1" si="245"/>
        <v>56.048386988322932</v>
      </c>
      <c r="J555" s="359">
        <f t="shared" ca="1" si="246"/>
        <v>184.26379383972827</v>
      </c>
      <c r="K555" s="360">
        <f t="shared" ca="1" si="247"/>
        <v>-6.0979811342051766</v>
      </c>
      <c r="L555" s="357">
        <f t="shared" ca="1" si="232"/>
        <v>184.3646687793597</v>
      </c>
      <c r="M555" s="359">
        <f t="shared" ca="1" si="248"/>
        <v>-1.4813483140501666</v>
      </c>
      <c r="N555" s="357">
        <f t="shared" ca="1" si="249"/>
        <v>-84.875006383894572</v>
      </c>
      <c r="O555" s="343"/>
      <c r="P555" s="363">
        <f t="shared" ca="1" si="250"/>
        <v>23</v>
      </c>
      <c r="Q555" s="357">
        <f t="shared" ca="1" si="251"/>
        <v>0</v>
      </c>
      <c r="R555" s="359">
        <f t="shared" ca="1" si="252"/>
        <v>0</v>
      </c>
      <c r="S555" s="360">
        <f t="shared" ca="1" si="253"/>
        <v>0.42898953648292248</v>
      </c>
      <c r="T555" s="357">
        <f t="shared" ca="1" si="233"/>
        <v>4.2083873528974696</v>
      </c>
      <c r="U555" s="364">
        <f t="shared" ca="1" si="234"/>
        <v>0</v>
      </c>
      <c r="V555" s="359">
        <f t="shared" ca="1" si="235"/>
        <v>1.2257472305188204</v>
      </c>
      <c r="W555" s="357">
        <f t="shared" ca="1" si="236"/>
        <v>3.3942662307172942</v>
      </c>
      <c r="X555" s="343"/>
      <c r="Y555" s="367" t="str">
        <f t="shared" ca="1" si="254"/>
        <v/>
      </c>
      <c r="Z555" s="368" t="str">
        <f t="shared" ca="1" si="255"/>
        <v/>
      </c>
      <c r="AA555" s="369" t="str">
        <f t="shared" ca="1" si="256"/>
        <v/>
      </c>
      <c r="AB555" s="344"/>
      <c r="AC555" s="363" t="e">
        <f t="shared" ca="1" si="257"/>
        <v>#N/A</v>
      </c>
      <c r="AD555" s="376" t="e">
        <f t="shared" ca="1" si="258"/>
        <v>#N/A</v>
      </c>
      <c r="AE555" s="377" t="e">
        <f t="shared" ca="1" si="237"/>
        <v>#N/A</v>
      </c>
      <c r="AF555" s="344"/>
      <c r="AG555" s="359">
        <f t="shared" ca="1" si="259"/>
        <v>1.8586015568571632</v>
      </c>
      <c r="AH555" s="357">
        <f t="shared" ca="1" si="260"/>
        <v>-7.9121785872495227</v>
      </c>
    </row>
    <row r="556" spans="1:34">
      <c r="A556" s="402">
        <f t="shared" ca="1" si="238"/>
        <v>1E-4</v>
      </c>
      <c r="B556" s="357">
        <f t="shared" ca="1" si="239"/>
        <v>16.920299999999926</v>
      </c>
      <c r="C556" s="342"/>
      <c r="D556" s="359">
        <f t="shared" ca="1" si="240"/>
        <v>-0.7067903607594157</v>
      </c>
      <c r="E556" s="360">
        <f t="shared" ca="1" si="241"/>
        <v>-1.9293961105470041</v>
      </c>
      <c r="F556" s="357">
        <f t="shared" ca="1" si="242"/>
        <v>2.0547802718189438</v>
      </c>
      <c r="G556" s="359">
        <f t="shared" ca="1" si="243"/>
        <v>5.0066634815138205</v>
      </c>
      <c r="H556" s="360">
        <f t="shared" ca="1" si="244"/>
        <v>-55.824509299405292</v>
      </c>
      <c r="I556" s="357">
        <f t="shared" ca="1" si="245"/>
        <v>56.048572842994957</v>
      </c>
      <c r="J556" s="359">
        <f t="shared" ca="1" si="246"/>
        <v>184.26379383972827</v>
      </c>
      <c r="K556" s="360">
        <f t="shared" ca="1" si="247"/>
        <v>-6.1035635754881366</v>
      </c>
      <c r="L556" s="357">
        <f t="shared" ca="1" si="232"/>
        <v>184.36485350665379</v>
      </c>
      <c r="M556" s="359">
        <f t="shared" ca="1" si="248"/>
        <v>-1.4813498775428839</v>
      </c>
      <c r="N556" s="357">
        <f t="shared" ca="1" si="249"/>
        <v>-84.875095965428571</v>
      </c>
      <c r="O556" s="343"/>
      <c r="P556" s="363">
        <f t="shared" ca="1" si="250"/>
        <v>23</v>
      </c>
      <c r="Q556" s="357">
        <f t="shared" ca="1" si="251"/>
        <v>0</v>
      </c>
      <c r="R556" s="359">
        <f t="shared" ca="1" si="252"/>
        <v>0</v>
      </c>
      <c r="S556" s="360">
        <f t="shared" ca="1" si="253"/>
        <v>0.42898953648292248</v>
      </c>
      <c r="T556" s="357">
        <f t="shared" ca="1" si="233"/>
        <v>4.2083873528974696</v>
      </c>
      <c r="U556" s="364">
        <f t="shared" ca="1" si="234"/>
        <v>0</v>
      </c>
      <c r="V556" s="359">
        <f t="shared" ca="1" si="235"/>
        <v>1.2257479147852695</v>
      </c>
      <c r="W556" s="357">
        <f t="shared" ca="1" si="236"/>
        <v>3.3942906361552252</v>
      </c>
      <c r="X556" s="343"/>
      <c r="Y556" s="367" t="str">
        <f t="shared" ca="1" si="254"/>
        <v/>
      </c>
      <c r="Z556" s="368" t="str">
        <f t="shared" ca="1" si="255"/>
        <v/>
      </c>
      <c r="AA556" s="369" t="str">
        <f t="shared" ca="1" si="256"/>
        <v/>
      </c>
      <c r="AB556" s="344"/>
      <c r="AC556" s="363" t="e">
        <f t="shared" ca="1" si="257"/>
        <v>#N/A</v>
      </c>
      <c r="AD556" s="376" t="e">
        <f t="shared" ca="1" si="258"/>
        <v>#N/A</v>
      </c>
      <c r="AE556" s="377" t="e">
        <f t="shared" ca="1" si="237"/>
        <v>#N/A</v>
      </c>
      <c r="AF556" s="344"/>
      <c r="AG556" s="359">
        <f t="shared" ca="1" si="259"/>
        <v>1.8585460351726679</v>
      </c>
      <c r="AH556" s="357">
        <f t="shared" ca="1" si="260"/>
        <v>-7.912235479087065</v>
      </c>
    </row>
    <row r="557" spans="1:34">
      <c r="A557" s="402">
        <f t="shared" ca="1" si="238"/>
        <v>1E-4</v>
      </c>
      <c r="B557" s="357">
        <f t="shared" ca="1" si="239"/>
        <v>16.920399999999926</v>
      </c>
      <c r="C557" s="342"/>
      <c r="D557" s="359">
        <f t="shared" ca="1" si="240"/>
        <v>-0.70678312136407373</v>
      </c>
      <c r="E557" s="360">
        <f t="shared" ca="1" si="241"/>
        <v>-1.9293383424041304</v>
      </c>
      <c r="F557" s="357">
        <f t="shared" ca="1" si="242"/>
        <v>2.0547235386094793</v>
      </c>
      <c r="G557" s="359">
        <f t="shared" ca="1" si="243"/>
        <v>5.0065928032016842</v>
      </c>
      <c r="H557" s="360">
        <f t="shared" ca="1" si="244"/>
        <v>-55.824702233239535</v>
      </c>
      <c r="I557" s="357">
        <f t="shared" ca="1" si="245"/>
        <v>56.048758692114937</v>
      </c>
      <c r="J557" s="359">
        <f t="shared" ca="1" si="246"/>
        <v>184.26379383972827</v>
      </c>
      <c r="K557" s="360">
        <f t="shared" ca="1" si="247"/>
        <v>-6.1091460360647689</v>
      </c>
      <c r="L557" s="357">
        <f t="shared" ca="1" si="232"/>
        <v>184.36503840343443</v>
      </c>
      <c r="M557" s="359">
        <f t="shared" ca="1" si="248"/>
        <v>-1.4813514410031612</v>
      </c>
      <c r="N557" s="357">
        <f t="shared" ca="1" si="249"/>
        <v>-84.875185545103903</v>
      </c>
      <c r="O557" s="343"/>
      <c r="P557" s="363">
        <f t="shared" ca="1" si="250"/>
        <v>23</v>
      </c>
      <c r="Q557" s="357">
        <f t="shared" ca="1" si="251"/>
        <v>0</v>
      </c>
      <c r="R557" s="359">
        <f t="shared" ca="1" si="252"/>
        <v>0</v>
      </c>
      <c r="S557" s="360">
        <f t="shared" ca="1" si="253"/>
        <v>0.42898953648292248</v>
      </c>
      <c r="T557" s="357">
        <f t="shared" ca="1" si="233"/>
        <v>4.2083873528974696</v>
      </c>
      <c r="U557" s="364">
        <f t="shared" ca="1" si="234"/>
        <v>0</v>
      </c>
      <c r="V557" s="359">
        <f t="shared" ca="1" si="235"/>
        <v>1.2257485990544656</v>
      </c>
      <c r="W557" s="357">
        <f t="shared" ca="1" si="236"/>
        <v>3.3943150410280767</v>
      </c>
      <c r="X557" s="343"/>
      <c r="Y557" s="367" t="str">
        <f t="shared" ca="1" si="254"/>
        <v/>
      </c>
      <c r="Z557" s="368" t="str">
        <f t="shared" ca="1" si="255"/>
        <v/>
      </c>
      <c r="AA557" s="369" t="str">
        <f t="shared" ca="1" si="256"/>
        <v/>
      </c>
      <c r="AB557" s="344"/>
      <c r="AC557" s="363" t="e">
        <f t="shared" ca="1" si="257"/>
        <v>#N/A</v>
      </c>
      <c r="AD557" s="376" t="e">
        <f t="shared" ca="1" si="258"/>
        <v>#N/A</v>
      </c>
      <c r="AE557" s="377" t="e">
        <f t="shared" ca="1" si="237"/>
        <v>#N/A</v>
      </c>
      <c r="AF557" s="344"/>
      <c r="AG557" s="359">
        <f t="shared" ca="1" si="259"/>
        <v>1.8584905147531057</v>
      </c>
      <c r="AH557" s="357">
        <f t="shared" ca="1" si="260"/>
        <v>-7.9122923696073588</v>
      </c>
    </row>
    <row r="558" spans="1:34">
      <c r="A558" s="402">
        <f t="shared" ca="1" si="238"/>
        <v>1E-4</v>
      </c>
      <c r="B558" s="357">
        <f t="shared" ca="1" si="239"/>
        <v>16.920499999999926</v>
      </c>
      <c r="C558" s="342"/>
      <c r="D558" s="359">
        <f t="shared" ca="1" si="240"/>
        <v>-0.70677588192780749</v>
      </c>
      <c r="E558" s="360">
        <f t="shared" ca="1" si="241"/>
        <v>-1.9292805755995257</v>
      </c>
      <c r="F558" s="357">
        <f t="shared" ca="1" si="242"/>
        <v>2.0546668067257201</v>
      </c>
      <c r="G558" s="359">
        <f t="shared" ca="1" si="243"/>
        <v>5.0065221256134915</v>
      </c>
      <c r="H558" s="360">
        <f t="shared" ca="1" si="244"/>
        <v>-55.824895161297093</v>
      </c>
      <c r="I558" s="357">
        <f t="shared" ca="1" si="245"/>
        <v>56.048944535682999</v>
      </c>
      <c r="J558" s="359">
        <f t="shared" ca="1" si="246"/>
        <v>184.26379383972827</v>
      </c>
      <c r="K558" s="360">
        <f t="shared" ca="1" si="247"/>
        <v>-6.1147285159344955</v>
      </c>
      <c r="L558" s="357">
        <f t="shared" ca="1" si="232"/>
        <v>184.36522346970284</v>
      </c>
      <c r="M558" s="359">
        <f t="shared" ca="1" si="248"/>
        <v>-1.481353004430999</v>
      </c>
      <c r="N558" s="357">
        <f t="shared" ca="1" si="249"/>
        <v>-84.875275122920584</v>
      </c>
      <c r="O558" s="343"/>
      <c r="P558" s="363">
        <f t="shared" ca="1" si="250"/>
        <v>23</v>
      </c>
      <c r="Q558" s="357">
        <f t="shared" ca="1" si="251"/>
        <v>0</v>
      </c>
      <c r="R558" s="359">
        <f t="shared" ca="1" si="252"/>
        <v>0</v>
      </c>
      <c r="S558" s="360">
        <f t="shared" ca="1" si="253"/>
        <v>0.42898953648292248</v>
      </c>
      <c r="T558" s="357">
        <f t="shared" ca="1" si="233"/>
        <v>4.2083873528974696</v>
      </c>
      <c r="U558" s="364">
        <f t="shared" ca="1" si="234"/>
        <v>0</v>
      </c>
      <c r="V558" s="359">
        <f t="shared" ca="1" si="235"/>
        <v>1.2257492833264081</v>
      </c>
      <c r="W558" s="357">
        <f t="shared" ca="1" si="236"/>
        <v>3.394339445335854</v>
      </c>
      <c r="X558" s="343"/>
      <c r="Y558" s="367" t="str">
        <f t="shared" ca="1" si="254"/>
        <v/>
      </c>
      <c r="Z558" s="368" t="str">
        <f t="shared" ca="1" si="255"/>
        <v/>
      </c>
      <c r="AA558" s="369" t="str">
        <f t="shared" ca="1" si="256"/>
        <v/>
      </c>
      <c r="AB558" s="344"/>
      <c r="AC558" s="363" t="e">
        <f t="shared" ca="1" si="257"/>
        <v>#N/A</v>
      </c>
      <c r="AD558" s="376" t="e">
        <f t="shared" ca="1" si="258"/>
        <v>#N/A</v>
      </c>
      <c r="AE558" s="377" t="e">
        <f t="shared" ca="1" si="237"/>
        <v>#N/A</v>
      </c>
      <c r="AF558" s="344"/>
      <c r="AG558" s="359">
        <f t="shared" ca="1" si="259"/>
        <v>1.8584349955984676</v>
      </c>
      <c r="AH558" s="357">
        <f t="shared" ca="1" si="260"/>
        <v>-7.9123492588104183</v>
      </c>
    </row>
    <row r="559" spans="1:34">
      <c r="A559" s="402">
        <f t="shared" ca="1" si="238"/>
        <v>1E-4</v>
      </c>
      <c r="B559" s="357">
        <f t="shared" ca="1" si="239"/>
        <v>16.920599999999926</v>
      </c>
      <c r="C559" s="342"/>
      <c r="D559" s="359">
        <f t="shared" ca="1" si="240"/>
        <v>-0.70676864245062465</v>
      </c>
      <c r="E559" s="360">
        <f t="shared" ca="1" si="241"/>
        <v>-1.9292228101331785</v>
      </c>
      <c r="F559" s="357">
        <f t="shared" ca="1" si="242"/>
        <v>2.0546100761676551</v>
      </c>
      <c r="G559" s="359">
        <f t="shared" ca="1" si="243"/>
        <v>5.0064514487492469</v>
      </c>
      <c r="H559" s="360">
        <f t="shared" ca="1" si="244"/>
        <v>-55.825088083578109</v>
      </c>
      <c r="I559" s="357">
        <f t="shared" ca="1" si="245"/>
        <v>56.049130373699271</v>
      </c>
      <c r="J559" s="359">
        <f t="shared" ca="1" si="246"/>
        <v>184.26379383972827</v>
      </c>
      <c r="K559" s="360">
        <f t="shared" ca="1" si="247"/>
        <v>-6.120311015096739</v>
      </c>
      <c r="L559" s="357">
        <f t="shared" ca="1" si="232"/>
        <v>184.36540870546025</v>
      </c>
      <c r="M559" s="359">
        <f t="shared" ca="1" si="248"/>
        <v>-1.4813545678263988</v>
      </c>
      <c r="N559" s="357">
        <f t="shared" ca="1" si="249"/>
        <v>-84.875364698878698</v>
      </c>
      <c r="O559" s="343"/>
      <c r="P559" s="363">
        <f t="shared" ca="1" si="250"/>
        <v>23</v>
      </c>
      <c r="Q559" s="357">
        <f t="shared" ca="1" si="251"/>
        <v>0</v>
      </c>
      <c r="R559" s="359">
        <f t="shared" ca="1" si="252"/>
        <v>0</v>
      </c>
      <c r="S559" s="360">
        <f t="shared" ca="1" si="253"/>
        <v>0.42898953648292248</v>
      </c>
      <c r="T559" s="357">
        <f t="shared" ca="1" si="233"/>
        <v>4.2083873528974696</v>
      </c>
      <c r="U559" s="364">
        <f t="shared" ca="1" si="234"/>
        <v>0</v>
      </c>
      <c r="V559" s="359">
        <f t="shared" ca="1" si="235"/>
        <v>1.2257499676010979</v>
      </c>
      <c r="W559" s="357">
        <f t="shared" ca="1" si="236"/>
        <v>3.3943638490785677</v>
      </c>
      <c r="X559" s="343"/>
      <c r="Y559" s="367" t="str">
        <f t="shared" ca="1" si="254"/>
        <v/>
      </c>
      <c r="Z559" s="368" t="str">
        <f t="shared" ca="1" si="255"/>
        <v/>
      </c>
      <c r="AA559" s="369" t="str">
        <f t="shared" ca="1" si="256"/>
        <v/>
      </c>
      <c r="AB559" s="344"/>
      <c r="AC559" s="363" t="e">
        <f t="shared" ca="1" si="257"/>
        <v>#N/A</v>
      </c>
      <c r="AD559" s="376" t="e">
        <f t="shared" ca="1" si="258"/>
        <v>#N/A</v>
      </c>
      <c r="AE559" s="377" t="e">
        <f t="shared" ca="1" si="237"/>
        <v>#N/A</v>
      </c>
      <c r="AF559" s="344"/>
      <c r="AG559" s="359">
        <f t="shared" ca="1" si="259"/>
        <v>1.8583794777087403</v>
      </c>
      <c r="AH559" s="357">
        <f t="shared" ca="1" si="260"/>
        <v>-7.9124061466962567</v>
      </c>
    </row>
    <row r="560" spans="1:34">
      <c r="A560" s="402">
        <f t="shared" ca="1" si="238"/>
        <v>1E-4</v>
      </c>
      <c r="B560" s="357">
        <f t="shared" ca="1" si="239"/>
        <v>16.920699999999925</v>
      </c>
      <c r="C560" s="342"/>
      <c r="D560" s="359">
        <f t="shared" ca="1" si="240"/>
        <v>-0.70676140293252865</v>
      </c>
      <c r="E560" s="360">
        <f t="shared" ca="1" si="241"/>
        <v>-1.9291650460050622</v>
      </c>
      <c r="F560" s="357">
        <f t="shared" ca="1" si="242"/>
        <v>2.0545533469352577</v>
      </c>
      <c r="G560" s="359">
        <f t="shared" ca="1" si="243"/>
        <v>5.0063807726089538</v>
      </c>
      <c r="H560" s="360">
        <f t="shared" ca="1" si="244"/>
        <v>-55.825281000082711</v>
      </c>
      <c r="I560" s="357">
        <f t="shared" ca="1" si="245"/>
        <v>56.049316206163873</v>
      </c>
      <c r="J560" s="359">
        <f t="shared" ca="1" si="246"/>
        <v>184.26379383972827</v>
      </c>
      <c r="K560" s="360">
        <f t="shared" ca="1" si="247"/>
        <v>-6.1258935335509221</v>
      </c>
      <c r="L560" s="357">
        <f t="shared" ca="1" si="232"/>
        <v>184.36559411070789</v>
      </c>
      <c r="M560" s="359">
        <f t="shared" ca="1" si="248"/>
        <v>-1.4813561311893613</v>
      </c>
      <c r="N560" s="357">
        <f t="shared" ca="1" si="249"/>
        <v>-84.875454272978288</v>
      </c>
      <c r="O560" s="343"/>
      <c r="P560" s="363">
        <f t="shared" ca="1" si="250"/>
        <v>23</v>
      </c>
      <c r="Q560" s="357">
        <f t="shared" ca="1" si="251"/>
        <v>0</v>
      </c>
      <c r="R560" s="359">
        <f t="shared" ca="1" si="252"/>
        <v>0</v>
      </c>
      <c r="S560" s="360">
        <f t="shared" ca="1" si="253"/>
        <v>0.42898953648292248</v>
      </c>
      <c r="T560" s="357">
        <f t="shared" ca="1" si="233"/>
        <v>4.2083873528974696</v>
      </c>
      <c r="U560" s="364">
        <f t="shared" ca="1" si="234"/>
        <v>0</v>
      </c>
      <c r="V560" s="359">
        <f t="shared" ca="1" si="235"/>
        <v>1.2257506518785344</v>
      </c>
      <c r="W560" s="357">
        <f t="shared" ca="1" si="236"/>
        <v>3.3943882522562232</v>
      </c>
      <c r="X560" s="343"/>
      <c r="Y560" s="367" t="str">
        <f t="shared" ca="1" si="254"/>
        <v/>
      </c>
      <c r="Z560" s="368" t="str">
        <f t="shared" ca="1" si="255"/>
        <v/>
      </c>
      <c r="AA560" s="369" t="str">
        <f t="shared" ca="1" si="256"/>
        <v/>
      </c>
      <c r="AB560" s="344"/>
      <c r="AC560" s="363" t="e">
        <f t="shared" ca="1" si="257"/>
        <v>#N/A</v>
      </c>
      <c r="AD560" s="376" t="e">
        <f t="shared" ca="1" si="258"/>
        <v>#N/A</v>
      </c>
      <c r="AE560" s="377" t="e">
        <f t="shared" ca="1" si="237"/>
        <v>#N/A</v>
      </c>
      <c r="AF560" s="344"/>
      <c r="AG560" s="359">
        <f t="shared" ca="1" si="259"/>
        <v>1.8583239610839035</v>
      </c>
      <c r="AH560" s="357">
        <f t="shared" ca="1" si="260"/>
        <v>-7.9124630332648982</v>
      </c>
    </row>
    <row r="561" spans="1:34">
      <c r="A561" s="402">
        <f t="shared" ca="1" si="238"/>
        <v>1E-4</v>
      </c>
      <c r="B561" s="357">
        <f t="shared" ca="1" si="239"/>
        <v>16.920799999999925</v>
      </c>
      <c r="C561" s="342"/>
      <c r="D561" s="359">
        <f t="shared" ca="1" si="240"/>
        <v>-0.70675416337352714</v>
      </c>
      <c r="E561" s="360">
        <f t="shared" ca="1" si="241"/>
        <v>-1.9291072832151652</v>
      </c>
      <c r="F561" s="357">
        <f t="shared" ca="1" si="242"/>
        <v>2.0544966190285177</v>
      </c>
      <c r="G561" s="359">
        <f t="shared" ca="1" si="243"/>
        <v>5.0063100971926167</v>
      </c>
      <c r="H561" s="360">
        <f t="shared" ca="1" si="244"/>
        <v>-55.825473910811034</v>
      </c>
      <c r="I561" s="357">
        <f t="shared" ca="1" si="245"/>
        <v>56.049502033076941</v>
      </c>
      <c r="J561" s="359">
        <f t="shared" ca="1" si="246"/>
        <v>184.26379383972827</v>
      </c>
      <c r="K561" s="360">
        <f t="shared" ca="1" si="247"/>
        <v>-6.1314760712964667</v>
      </c>
      <c r="L561" s="357">
        <f t="shared" ca="1" si="232"/>
        <v>184.36577968544694</v>
      </c>
      <c r="M561" s="359">
        <f t="shared" ca="1" si="248"/>
        <v>-1.4813576945198872</v>
      </c>
      <c r="N561" s="357">
        <f t="shared" ca="1" si="249"/>
        <v>-84.875543845219411</v>
      </c>
      <c r="O561" s="343"/>
      <c r="P561" s="363">
        <f t="shared" ca="1" si="250"/>
        <v>23</v>
      </c>
      <c r="Q561" s="357">
        <f t="shared" ca="1" si="251"/>
        <v>0</v>
      </c>
      <c r="R561" s="359">
        <f t="shared" ca="1" si="252"/>
        <v>0</v>
      </c>
      <c r="S561" s="360">
        <f t="shared" ca="1" si="253"/>
        <v>0.42898953648292248</v>
      </c>
      <c r="T561" s="357">
        <f t="shared" ca="1" si="233"/>
        <v>4.2083873528974696</v>
      </c>
      <c r="U561" s="364">
        <f t="shared" ca="1" si="234"/>
        <v>0</v>
      </c>
      <c r="V561" s="359">
        <f t="shared" ca="1" si="235"/>
        <v>1.2257513361587178</v>
      </c>
      <c r="W561" s="357">
        <f t="shared" ca="1" si="236"/>
        <v>3.3944126548688303</v>
      </c>
      <c r="X561" s="343"/>
      <c r="Y561" s="367" t="str">
        <f t="shared" ca="1" si="254"/>
        <v/>
      </c>
      <c r="Z561" s="368" t="str">
        <f t="shared" ca="1" si="255"/>
        <v/>
      </c>
      <c r="AA561" s="369" t="str">
        <f t="shared" ca="1" si="256"/>
        <v/>
      </c>
      <c r="AB561" s="344"/>
      <c r="AC561" s="363" t="e">
        <f t="shared" ca="1" si="257"/>
        <v>#N/A</v>
      </c>
      <c r="AD561" s="376" t="e">
        <f t="shared" ca="1" si="258"/>
        <v>#N/A</v>
      </c>
      <c r="AE561" s="377" t="e">
        <f t="shared" ca="1" si="237"/>
        <v>#N/A</v>
      </c>
      <c r="AF561" s="344"/>
      <c r="AG561" s="359">
        <f t="shared" ca="1" si="259"/>
        <v>1.8582684457239456</v>
      </c>
      <c r="AH561" s="357">
        <f t="shared" ca="1" si="260"/>
        <v>-7.9125199185163559</v>
      </c>
    </row>
    <row r="562" spans="1:34">
      <c r="A562" s="402">
        <f t="shared" ca="1" si="238"/>
        <v>1E-4</v>
      </c>
      <c r="B562" s="357">
        <f t="shared" ca="1" si="239"/>
        <v>16.920899999999925</v>
      </c>
      <c r="C562" s="342"/>
      <c r="D562" s="359">
        <f t="shared" ca="1" si="240"/>
        <v>-0.70674692377362691</v>
      </c>
      <c r="E562" s="360">
        <f t="shared" ca="1" si="241"/>
        <v>-1.9290495217634636</v>
      </c>
      <c r="F562" s="357">
        <f t="shared" ca="1" si="242"/>
        <v>2.0544398924474114</v>
      </c>
      <c r="G562" s="359">
        <f t="shared" ca="1" si="243"/>
        <v>5.0062394225002391</v>
      </c>
      <c r="H562" s="360">
        <f t="shared" ca="1" si="244"/>
        <v>-55.825666815763213</v>
      </c>
      <c r="I562" s="357">
        <f t="shared" ca="1" si="245"/>
        <v>56.049687854438595</v>
      </c>
      <c r="J562" s="359">
        <f t="shared" ca="1" si="246"/>
        <v>184.26379383972827</v>
      </c>
      <c r="K562" s="360">
        <f t="shared" ca="1" si="247"/>
        <v>-6.1370586283327953</v>
      </c>
      <c r="L562" s="357">
        <f t="shared" ca="1" si="232"/>
        <v>184.36596542967868</v>
      </c>
      <c r="M562" s="359">
        <f t="shared" ca="1" si="248"/>
        <v>-1.4813592578179777</v>
      </c>
      <c r="N562" s="357">
        <f t="shared" ca="1" si="249"/>
        <v>-84.875633415602124</v>
      </c>
      <c r="O562" s="343"/>
      <c r="P562" s="363">
        <f t="shared" ca="1" si="250"/>
        <v>23</v>
      </c>
      <c r="Q562" s="357">
        <f t="shared" ca="1" si="251"/>
        <v>0</v>
      </c>
      <c r="R562" s="359">
        <f t="shared" ca="1" si="252"/>
        <v>0</v>
      </c>
      <c r="S562" s="360">
        <f t="shared" ca="1" si="253"/>
        <v>0.42898953648292248</v>
      </c>
      <c r="T562" s="357">
        <f t="shared" ca="1" si="233"/>
        <v>4.2083873528974696</v>
      </c>
      <c r="U562" s="364">
        <f t="shared" ca="1" si="234"/>
        <v>0</v>
      </c>
      <c r="V562" s="359">
        <f t="shared" ca="1" si="235"/>
        <v>1.2257520204416479</v>
      </c>
      <c r="W562" s="357">
        <f t="shared" ca="1" si="236"/>
        <v>3.394437056916396</v>
      </c>
      <c r="X562" s="343"/>
      <c r="Y562" s="367" t="str">
        <f t="shared" ca="1" si="254"/>
        <v/>
      </c>
      <c r="Z562" s="368" t="str">
        <f t="shared" ca="1" si="255"/>
        <v/>
      </c>
      <c r="AA562" s="369" t="str">
        <f t="shared" ca="1" si="256"/>
        <v/>
      </c>
      <c r="AB562" s="344"/>
      <c r="AC562" s="363" t="e">
        <f t="shared" ca="1" si="257"/>
        <v>#N/A</v>
      </c>
      <c r="AD562" s="376" t="e">
        <f t="shared" ca="1" si="258"/>
        <v>#N/A</v>
      </c>
      <c r="AE562" s="377" t="e">
        <f t="shared" ca="1" si="237"/>
        <v>#N/A</v>
      </c>
      <c r="AF562" s="344"/>
      <c r="AG562" s="359">
        <f t="shared" ca="1" si="259"/>
        <v>1.8582129316288478</v>
      </c>
      <c r="AH562" s="357">
        <f t="shared" ca="1" si="260"/>
        <v>-7.9125768024506522</v>
      </c>
    </row>
    <row r="563" spans="1:34">
      <c r="A563" s="402">
        <f t="shared" ca="1" si="238"/>
        <v>1E-4</v>
      </c>
      <c r="B563" s="357">
        <f t="shared" ca="1" si="239"/>
        <v>16.920999999999925</v>
      </c>
      <c r="C563" s="342"/>
      <c r="D563" s="359">
        <f t="shared" ca="1" si="240"/>
        <v>-0.70673968413283261</v>
      </c>
      <c r="E563" s="360">
        <f t="shared" ca="1" si="241"/>
        <v>-1.9289917616499412</v>
      </c>
      <c r="F563" s="357">
        <f t="shared" ca="1" si="242"/>
        <v>2.0543831671919239</v>
      </c>
      <c r="G563" s="359">
        <f t="shared" ca="1" si="243"/>
        <v>5.0061687485318256</v>
      </c>
      <c r="H563" s="360">
        <f t="shared" ca="1" si="244"/>
        <v>-55.825859714939376</v>
      </c>
      <c r="I563" s="357">
        <f t="shared" ca="1" si="245"/>
        <v>56.049873670248957</v>
      </c>
      <c r="J563" s="359">
        <f t="shared" ca="1" si="246"/>
        <v>184.26379383972827</v>
      </c>
      <c r="K563" s="360">
        <f t="shared" ca="1" si="247"/>
        <v>-6.1426412046593306</v>
      </c>
      <c r="L563" s="357">
        <f t="shared" ca="1" si="232"/>
        <v>184.36615134340431</v>
      </c>
      <c r="M563" s="359">
        <f t="shared" ca="1" si="248"/>
        <v>-1.4813608210836338</v>
      </c>
      <c r="N563" s="357">
        <f t="shared" ca="1" si="249"/>
        <v>-84.875722984126469</v>
      </c>
      <c r="O563" s="343"/>
      <c r="P563" s="363">
        <f t="shared" ca="1" si="250"/>
        <v>23</v>
      </c>
      <c r="Q563" s="357">
        <f t="shared" ca="1" si="251"/>
        <v>0</v>
      </c>
      <c r="R563" s="359">
        <f t="shared" ca="1" si="252"/>
        <v>0</v>
      </c>
      <c r="S563" s="360">
        <f t="shared" ca="1" si="253"/>
        <v>0.42898953648292248</v>
      </c>
      <c r="T563" s="357">
        <f t="shared" ca="1" si="233"/>
        <v>4.2083873528974696</v>
      </c>
      <c r="U563" s="364">
        <f t="shared" ca="1" si="234"/>
        <v>0</v>
      </c>
      <c r="V563" s="359">
        <f t="shared" ca="1" si="235"/>
        <v>1.2257527047273247</v>
      </c>
      <c r="W563" s="357">
        <f t="shared" ca="1" si="236"/>
        <v>3.3944614583989265</v>
      </c>
      <c r="X563" s="343"/>
      <c r="Y563" s="367" t="str">
        <f t="shared" ca="1" si="254"/>
        <v/>
      </c>
      <c r="Z563" s="368" t="str">
        <f t="shared" ca="1" si="255"/>
        <v/>
      </c>
      <c r="AA563" s="369" t="str">
        <f t="shared" ca="1" si="256"/>
        <v/>
      </c>
      <c r="AB563" s="344"/>
      <c r="AC563" s="363" t="e">
        <f t="shared" ca="1" si="257"/>
        <v>#N/A</v>
      </c>
      <c r="AD563" s="376" t="e">
        <f t="shared" ca="1" si="258"/>
        <v>#N/A</v>
      </c>
      <c r="AE563" s="377" t="e">
        <f t="shared" ca="1" si="237"/>
        <v>#N/A</v>
      </c>
      <c r="AF563" s="344"/>
      <c r="AG563" s="359">
        <f t="shared" ca="1" si="259"/>
        <v>1.8581574187985934</v>
      </c>
      <c r="AH563" s="357">
        <f t="shared" ca="1" si="260"/>
        <v>-7.9126336850678038</v>
      </c>
    </row>
    <row r="564" spans="1:34">
      <c r="A564" s="402">
        <f t="shared" ca="1" si="238"/>
        <v>1E-4</v>
      </c>
      <c r="B564" s="357">
        <f t="shared" ca="1" si="239"/>
        <v>16.921099999999925</v>
      </c>
      <c r="C564" s="342"/>
      <c r="D564" s="359">
        <f t="shared" ca="1" si="240"/>
        <v>-0.70673244445115002</v>
      </c>
      <c r="E564" s="360">
        <f t="shared" ca="1" si="241"/>
        <v>-1.9289340028745814</v>
      </c>
      <c r="F564" s="357">
        <f t="shared" ca="1" si="242"/>
        <v>2.0543264432620374</v>
      </c>
      <c r="G564" s="359">
        <f t="shared" ca="1" si="243"/>
        <v>5.0060980752873805</v>
      </c>
      <c r="H564" s="360">
        <f t="shared" ca="1" si="244"/>
        <v>-55.826052608339666</v>
      </c>
      <c r="I564" s="357">
        <f t="shared" ca="1" si="245"/>
        <v>56.050059480508175</v>
      </c>
      <c r="J564" s="359">
        <f t="shared" ca="1" si="246"/>
        <v>184.26379383972827</v>
      </c>
      <c r="K564" s="360">
        <f t="shared" ca="1" si="247"/>
        <v>-6.1482238002754945</v>
      </c>
      <c r="L564" s="357">
        <f t="shared" ca="1" si="232"/>
        <v>184.36633742662502</v>
      </c>
      <c r="M564" s="359">
        <f t="shared" ca="1" si="248"/>
        <v>-1.4813623843168562</v>
      </c>
      <c r="N564" s="357">
        <f t="shared" ca="1" si="249"/>
        <v>-84.875812550792517</v>
      </c>
      <c r="O564" s="343"/>
      <c r="P564" s="363">
        <f t="shared" ca="1" si="250"/>
        <v>23</v>
      </c>
      <c r="Q564" s="357">
        <f t="shared" ca="1" si="251"/>
        <v>0</v>
      </c>
      <c r="R564" s="359">
        <f t="shared" ca="1" si="252"/>
        <v>0</v>
      </c>
      <c r="S564" s="360">
        <f t="shared" ca="1" si="253"/>
        <v>0.42898953648292248</v>
      </c>
      <c r="T564" s="357">
        <f t="shared" ca="1" si="233"/>
        <v>4.2083873528974696</v>
      </c>
      <c r="U564" s="364">
        <f t="shared" ca="1" si="234"/>
        <v>0</v>
      </c>
      <c r="V564" s="359">
        <f t="shared" ca="1" si="235"/>
        <v>1.2257533890157477</v>
      </c>
      <c r="W564" s="357">
        <f t="shared" ca="1" si="236"/>
        <v>3.3944858593164309</v>
      </c>
      <c r="X564" s="343"/>
      <c r="Y564" s="367" t="str">
        <f t="shared" ca="1" si="254"/>
        <v/>
      </c>
      <c r="Z564" s="368" t="str">
        <f t="shared" ca="1" si="255"/>
        <v/>
      </c>
      <c r="AA564" s="369" t="str">
        <f t="shared" ca="1" si="256"/>
        <v/>
      </c>
      <c r="AB564" s="344"/>
      <c r="AC564" s="363" t="e">
        <f t="shared" ca="1" si="257"/>
        <v>#N/A</v>
      </c>
      <c r="AD564" s="376" t="e">
        <f t="shared" ca="1" si="258"/>
        <v>#N/A</v>
      </c>
      <c r="AE564" s="377" t="e">
        <f t="shared" ca="1" si="237"/>
        <v>#N/A</v>
      </c>
      <c r="AF564" s="344"/>
      <c r="AG564" s="359">
        <f t="shared" ca="1" si="259"/>
        <v>1.8581019072331735</v>
      </c>
      <c r="AH564" s="357">
        <f t="shared" ca="1" si="260"/>
        <v>-7.9126905663678251</v>
      </c>
    </row>
    <row r="565" spans="1:34">
      <c r="A565" s="402">
        <f t="shared" ca="1" si="238"/>
        <v>1E-4</v>
      </c>
      <c r="B565" s="357">
        <f t="shared" ca="1" si="239"/>
        <v>16.921199999999924</v>
      </c>
      <c r="C565" s="342"/>
      <c r="D565" s="359">
        <f t="shared" ca="1" si="240"/>
        <v>-0.7067252047285858</v>
      </c>
      <c r="E565" s="360">
        <f t="shared" ca="1" si="241"/>
        <v>-1.9288762454373662</v>
      </c>
      <c r="F565" s="357">
        <f t="shared" ca="1" si="242"/>
        <v>2.0542697206577358</v>
      </c>
      <c r="G565" s="359">
        <f t="shared" ca="1" si="243"/>
        <v>5.0060274027669074</v>
      </c>
      <c r="H565" s="360">
        <f t="shared" ca="1" si="244"/>
        <v>-55.826245495964208</v>
      </c>
      <c r="I565" s="357">
        <f t="shared" ca="1" si="245"/>
        <v>56.050245285216349</v>
      </c>
      <c r="J565" s="359">
        <f t="shared" ca="1" si="246"/>
        <v>184.26379383972827</v>
      </c>
      <c r="K565" s="360">
        <f t="shared" ca="1" si="247"/>
        <v>-6.1538064151807097</v>
      </c>
      <c r="L565" s="357">
        <f t="shared" ca="1" si="232"/>
        <v>184.36652367934207</v>
      </c>
      <c r="M565" s="359">
        <f t="shared" ca="1" si="248"/>
        <v>-1.4813639475176459</v>
      </c>
      <c r="N565" s="357">
        <f t="shared" ca="1" si="249"/>
        <v>-84.875902115600297</v>
      </c>
      <c r="O565" s="343"/>
      <c r="P565" s="363">
        <f t="shared" ca="1" si="250"/>
        <v>23</v>
      </c>
      <c r="Q565" s="357">
        <f t="shared" ca="1" si="251"/>
        <v>0</v>
      </c>
      <c r="R565" s="359">
        <f t="shared" ca="1" si="252"/>
        <v>0</v>
      </c>
      <c r="S565" s="360">
        <f t="shared" ca="1" si="253"/>
        <v>0.42898953648292248</v>
      </c>
      <c r="T565" s="357">
        <f t="shared" ca="1" si="233"/>
        <v>4.2083873528974696</v>
      </c>
      <c r="U565" s="364">
        <f t="shared" ca="1" si="234"/>
        <v>0</v>
      </c>
      <c r="V565" s="359">
        <f t="shared" ca="1" si="235"/>
        <v>1.2257540733069172</v>
      </c>
      <c r="W565" s="357">
        <f t="shared" ca="1" si="236"/>
        <v>3.3945102596689152</v>
      </c>
      <c r="X565" s="343"/>
      <c r="Y565" s="367" t="str">
        <f t="shared" ca="1" si="254"/>
        <v/>
      </c>
      <c r="Z565" s="368" t="str">
        <f t="shared" ca="1" si="255"/>
        <v/>
      </c>
      <c r="AA565" s="369" t="str">
        <f t="shared" ca="1" si="256"/>
        <v/>
      </c>
      <c r="AB565" s="344"/>
      <c r="AC565" s="363" t="e">
        <f t="shared" ca="1" si="257"/>
        <v>#N/A</v>
      </c>
      <c r="AD565" s="376" t="e">
        <f t="shared" ca="1" si="258"/>
        <v>#N/A</v>
      </c>
      <c r="AE565" s="377" t="e">
        <f t="shared" ca="1" si="237"/>
        <v>#N/A</v>
      </c>
      <c r="AF565" s="344"/>
      <c r="AG565" s="359">
        <f t="shared" ca="1" si="259"/>
        <v>1.858046396932564</v>
      </c>
      <c r="AH565" s="357">
        <f t="shared" ca="1" si="260"/>
        <v>-7.9127474463507363</v>
      </c>
    </row>
    <row r="566" spans="1:34">
      <c r="A566" s="402">
        <f t="shared" ca="1" si="238"/>
        <v>1E-4</v>
      </c>
      <c r="B566" s="357">
        <f t="shared" ca="1" si="239"/>
        <v>16.921299999999924</v>
      </c>
      <c r="C566" s="342"/>
      <c r="D566" s="359">
        <f t="shared" ca="1" si="240"/>
        <v>-0.70671796496514627</v>
      </c>
      <c r="E566" s="360">
        <f t="shared" ca="1" si="241"/>
        <v>-1.928818489338278</v>
      </c>
      <c r="F566" s="357">
        <f t="shared" ca="1" si="242"/>
        <v>2.0542129993790019</v>
      </c>
      <c r="G566" s="359">
        <f t="shared" ca="1" si="243"/>
        <v>5.0059567309704107</v>
      </c>
      <c r="H566" s="360">
        <f t="shared" ca="1" si="244"/>
        <v>-55.82643837781314</v>
      </c>
      <c r="I566" s="357">
        <f t="shared" ca="1" si="245"/>
        <v>56.050431084373614</v>
      </c>
      <c r="J566" s="359">
        <f t="shared" ca="1" si="246"/>
        <v>184.26379383972827</v>
      </c>
      <c r="K566" s="360">
        <f t="shared" ca="1" si="247"/>
        <v>-6.1593890493743988</v>
      </c>
      <c r="L566" s="357">
        <f t="shared" ca="1" si="232"/>
        <v>184.36671010155666</v>
      </c>
      <c r="M566" s="359">
        <f t="shared" ca="1" si="248"/>
        <v>-1.481365510686004</v>
      </c>
      <c r="N566" s="357">
        <f t="shared" ca="1" si="249"/>
        <v>-84.87599167854988</v>
      </c>
      <c r="O566" s="343"/>
      <c r="P566" s="363">
        <f t="shared" ca="1" si="250"/>
        <v>23</v>
      </c>
      <c r="Q566" s="357">
        <f t="shared" ca="1" si="251"/>
        <v>0</v>
      </c>
      <c r="R566" s="359">
        <f t="shared" ca="1" si="252"/>
        <v>0</v>
      </c>
      <c r="S566" s="360">
        <f t="shared" ca="1" si="253"/>
        <v>0.42898953648292248</v>
      </c>
      <c r="T566" s="357">
        <f t="shared" ca="1" si="233"/>
        <v>4.2083873528974696</v>
      </c>
      <c r="U566" s="364">
        <f t="shared" ca="1" si="234"/>
        <v>0</v>
      </c>
      <c r="V566" s="359">
        <f t="shared" ca="1" si="235"/>
        <v>1.2257547576008336</v>
      </c>
      <c r="W566" s="357">
        <f t="shared" ca="1" si="236"/>
        <v>3.3945346594563888</v>
      </c>
      <c r="X566" s="343"/>
      <c r="Y566" s="367" t="str">
        <f t="shared" ca="1" si="254"/>
        <v/>
      </c>
      <c r="Z566" s="368" t="str">
        <f t="shared" ca="1" si="255"/>
        <v/>
      </c>
      <c r="AA566" s="369" t="str">
        <f t="shared" ca="1" si="256"/>
        <v/>
      </c>
      <c r="AB566" s="344"/>
      <c r="AC566" s="363" t="e">
        <f t="shared" ca="1" si="257"/>
        <v>#N/A</v>
      </c>
      <c r="AD566" s="376" t="e">
        <f t="shared" ca="1" si="258"/>
        <v>#N/A</v>
      </c>
      <c r="AE566" s="377" t="e">
        <f t="shared" ca="1" si="237"/>
        <v>#N/A</v>
      </c>
      <c r="AF566" s="344"/>
      <c r="AG566" s="359">
        <f t="shared" ca="1" si="259"/>
        <v>1.8579908878967606</v>
      </c>
      <c r="AH566" s="357">
        <f t="shared" ca="1" si="260"/>
        <v>-7.9128043250165527</v>
      </c>
    </row>
    <row r="567" spans="1:34">
      <c r="A567" s="402">
        <f t="shared" ca="1" si="238"/>
        <v>1E-4</v>
      </c>
      <c r="B567" s="357">
        <f t="shared" ca="1" si="239"/>
        <v>16.921399999999924</v>
      </c>
      <c r="C567" s="342"/>
      <c r="D567" s="359">
        <f t="shared" ca="1" si="240"/>
        <v>-0.70671072516083611</v>
      </c>
      <c r="E567" s="360">
        <f t="shared" ca="1" si="241"/>
        <v>-1.9287607345772972</v>
      </c>
      <c r="F567" s="357">
        <f t="shared" ca="1" si="242"/>
        <v>2.0541562794258157</v>
      </c>
      <c r="G567" s="359">
        <f t="shared" ca="1" si="243"/>
        <v>5.0058860598978949</v>
      </c>
      <c r="H567" s="360">
        <f t="shared" ca="1" si="244"/>
        <v>-55.826631253886596</v>
      </c>
      <c r="I567" s="357">
        <f t="shared" ca="1" si="245"/>
        <v>56.050616877980097</v>
      </c>
      <c r="J567" s="359">
        <f t="shared" ca="1" si="246"/>
        <v>184.26379383972827</v>
      </c>
      <c r="K567" s="360">
        <f t="shared" ca="1" si="247"/>
        <v>-6.1649717028559836</v>
      </c>
      <c r="L567" s="357">
        <f t="shared" ca="1" si="232"/>
        <v>184.36689669327001</v>
      </c>
      <c r="M567" s="359">
        <f t="shared" ca="1" si="248"/>
        <v>-1.4813670738219311</v>
      </c>
      <c r="N567" s="357">
        <f t="shared" ca="1" si="249"/>
        <v>-84.876081239641309</v>
      </c>
      <c r="O567" s="343"/>
      <c r="P567" s="363">
        <f t="shared" ca="1" si="250"/>
        <v>23</v>
      </c>
      <c r="Q567" s="357">
        <f t="shared" ca="1" si="251"/>
        <v>0</v>
      </c>
      <c r="R567" s="359">
        <f t="shared" ca="1" si="252"/>
        <v>0</v>
      </c>
      <c r="S567" s="360">
        <f t="shared" ca="1" si="253"/>
        <v>0.42898953648292248</v>
      </c>
      <c r="T567" s="357">
        <f t="shared" ca="1" si="233"/>
        <v>4.2083873528974696</v>
      </c>
      <c r="U567" s="364">
        <f t="shared" ca="1" si="234"/>
        <v>0</v>
      </c>
      <c r="V567" s="359">
        <f t="shared" ca="1" si="235"/>
        <v>1.2257554418974961</v>
      </c>
      <c r="W567" s="357">
        <f t="shared" ca="1" si="236"/>
        <v>3.394559058678857</v>
      </c>
      <c r="X567" s="343"/>
      <c r="Y567" s="367" t="str">
        <f t="shared" ca="1" si="254"/>
        <v/>
      </c>
      <c r="Z567" s="368" t="str">
        <f t="shared" ca="1" si="255"/>
        <v/>
      </c>
      <c r="AA567" s="369" t="str">
        <f t="shared" ca="1" si="256"/>
        <v/>
      </c>
      <c r="AB567" s="344"/>
      <c r="AC567" s="363" t="e">
        <f t="shared" ca="1" si="257"/>
        <v>#N/A</v>
      </c>
      <c r="AD567" s="376" t="e">
        <f t="shared" ca="1" si="258"/>
        <v>#N/A</v>
      </c>
      <c r="AE567" s="377" t="e">
        <f t="shared" ca="1" si="237"/>
        <v>#N/A</v>
      </c>
      <c r="AF567" s="344"/>
      <c r="AG567" s="359">
        <f t="shared" ca="1" si="259"/>
        <v>1.8579353801257366</v>
      </c>
      <c r="AH567" s="357">
        <f t="shared" ca="1" si="260"/>
        <v>-7.9128612023652956</v>
      </c>
    </row>
    <row r="568" spans="1:34">
      <c r="A568" s="402">
        <f t="shared" ca="1" si="238"/>
        <v>1E-4</v>
      </c>
      <c r="B568" s="357">
        <f t="shared" ca="1" si="239"/>
        <v>16.921499999999924</v>
      </c>
      <c r="C568" s="342"/>
      <c r="D568" s="359">
        <f t="shared" ca="1" si="240"/>
        <v>-0.70670348531566307</v>
      </c>
      <c r="E568" s="360">
        <f t="shared" ca="1" si="241"/>
        <v>-1.9287029811544087</v>
      </c>
      <c r="F568" s="357">
        <f t="shared" ca="1" si="242"/>
        <v>2.0540995607981638</v>
      </c>
      <c r="G568" s="359">
        <f t="shared" ca="1" si="243"/>
        <v>5.0058153895493636</v>
      </c>
      <c r="H568" s="360">
        <f t="shared" ca="1" si="244"/>
        <v>-55.826824124184711</v>
      </c>
      <c r="I568" s="357">
        <f t="shared" ca="1" si="245"/>
        <v>56.050802666035942</v>
      </c>
      <c r="J568" s="359">
        <f t="shared" ca="1" si="246"/>
        <v>184.26379383972827</v>
      </c>
      <c r="K568" s="360">
        <f t="shared" ca="1" si="247"/>
        <v>-6.1705543756248868</v>
      </c>
      <c r="L568" s="357">
        <f t="shared" ca="1" si="232"/>
        <v>184.36708345448335</v>
      </c>
      <c r="M568" s="359">
        <f t="shared" ca="1" si="248"/>
        <v>-1.4813686369254284</v>
      </c>
      <c r="N568" s="357">
        <f t="shared" ca="1" si="249"/>
        <v>-84.876170798874654</v>
      </c>
      <c r="O568" s="343"/>
      <c r="P568" s="363">
        <f t="shared" ca="1" si="250"/>
        <v>23</v>
      </c>
      <c r="Q568" s="357">
        <f t="shared" ca="1" si="251"/>
        <v>0</v>
      </c>
      <c r="R568" s="359">
        <f t="shared" ca="1" si="252"/>
        <v>0</v>
      </c>
      <c r="S568" s="360">
        <f t="shared" ca="1" si="253"/>
        <v>0.42898953648292248</v>
      </c>
      <c r="T568" s="357">
        <f t="shared" ca="1" si="233"/>
        <v>4.2083873528974696</v>
      </c>
      <c r="U568" s="364">
        <f t="shared" ca="1" si="234"/>
        <v>0</v>
      </c>
      <c r="V568" s="359">
        <f t="shared" ca="1" si="235"/>
        <v>1.2257561261969048</v>
      </c>
      <c r="W568" s="357">
        <f t="shared" ca="1" si="236"/>
        <v>3.3945834573363309</v>
      </c>
      <c r="X568" s="343"/>
      <c r="Y568" s="367" t="str">
        <f t="shared" ca="1" si="254"/>
        <v/>
      </c>
      <c r="Z568" s="368" t="str">
        <f t="shared" ca="1" si="255"/>
        <v/>
      </c>
      <c r="AA568" s="369" t="str">
        <f t="shared" ca="1" si="256"/>
        <v/>
      </c>
      <c r="AB568" s="344"/>
      <c r="AC568" s="363" t="e">
        <f t="shared" ca="1" si="257"/>
        <v>#N/A</v>
      </c>
      <c r="AD568" s="376" t="e">
        <f t="shared" ca="1" si="258"/>
        <v>#N/A</v>
      </c>
      <c r="AE568" s="377" t="e">
        <f t="shared" ca="1" si="237"/>
        <v>#N/A</v>
      </c>
      <c r="AF568" s="344"/>
      <c r="AG568" s="359">
        <f t="shared" ca="1" si="259"/>
        <v>1.8578798736194884</v>
      </c>
      <c r="AH568" s="357">
        <f t="shared" ca="1" si="260"/>
        <v>-7.9129180783969773</v>
      </c>
    </row>
    <row r="569" spans="1:34">
      <c r="A569" s="402">
        <f t="shared" ca="1" si="238"/>
        <v>1E-4</v>
      </c>
      <c r="B569" s="357">
        <f t="shared" ca="1" si="239"/>
        <v>16.921599999999923</v>
      </c>
      <c r="C569" s="342"/>
      <c r="D569" s="359">
        <f t="shared" ca="1" si="240"/>
        <v>-0.7066962454296325</v>
      </c>
      <c r="E569" s="360">
        <f t="shared" ca="1" si="241"/>
        <v>-1.9286452290695877</v>
      </c>
      <c r="F569" s="357">
        <f t="shared" ca="1" si="242"/>
        <v>2.0540428434960214</v>
      </c>
      <c r="G569" s="359">
        <f t="shared" ca="1" si="243"/>
        <v>5.0057447199248202</v>
      </c>
      <c r="H569" s="360">
        <f t="shared" ca="1" si="244"/>
        <v>-55.827016988707619</v>
      </c>
      <c r="I569" s="357">
        <f t="shared" ca="1" si="245"/>
        <v>56.050988448541247</v>
      </c>
      <c r="J569" s="359">
        <f t="shared" ca="1" si="246"/>
        <v>184.26379383972827</v>
      </c>
      <c r="K569" s="360">
        <f t="shared" ca="1" si="247"/>
        <v>-6.1761370676805312</v>
      </c>
      <c r="L569" s="357">
        <f t="shared" ca="1" si="232"/>
        <v>184.36727038519788</v>
      </c>
      <c r="M569" s="359">
        <f t="shared" ca="1" si="248"/>
        <v>-1.4813701999964968</v>
      </c>
      <c r="N569" s="357">
        <f t="shared" ca="1" si="249"/>
        <v>-84.876260356249944</v>
      </c>
      <c r="O569" s="343"/>
      <c r="P569" s="363">
        <f t="shared" ca="1" si="250"/>
        <v>23</v>
      </c>
      <c r="Q569" s="357">
        <f t="shared" ca="1" si="251"/>
        <v>0</v>
      </c>
      <c r="R569" s="359">
        <f t="shared" ca="1" si="252"/>
        <v>0</v>
      </c>
      <c r="S569" s="360">
        <f t="shared" ca="1" si="253"/>
        <v>0.42898953648292248</v>
      </c>
      <c r="T569" s="357">
        <f t="shared" ca="1" si="233"/>
        <v>4.2083873528974696</v>
      </c>
      <c r="U569" s="364">
        <f t="shared" ca="1" si="234"/>
        <v>0</v>
      </c>
      <c r="V569" s="359">
        <f t="shared" ca="1" si="235"/>
        <v>1.2257568104990597</v>
      </c>
      <c r="W569" s="357">
        <f t="shared" ca="1" si="236"/>
        <v>3.3946078554288146</v>
      </c>
      <c r="X569" s="343"/>
      <c r="Y569" s="367" t="str">
        <f t="shared" ca="1" si="254"/>
        <v/>
      </c>
      <c r="Z569" s="368" t="str">
        <f t="shared" ca="1" si="255"/>
        <v/>
      </c>
      <c r="AA569" s="369" t="str">
        <f t="shared" ca="1" si="256"/>
        <v/>
      </c>
      <c r="AB569" s="344"/>
      <c r="AC569" s="363" t="e">
        <f t="shared" ca="1" si="257"/>
        <v>#N/A</v>
      </c>
      <c r="AD569" s="376" t="e">
        <f t="shared" ca="1" si="258"/>
        <v>#N/A</v>
      </c>
      <c r="AE569" s="377" t="e">
        <f t="shared" ca="1" si="237"/>
        <v>#N/A</v>
      </c>
      <c r="AF569" s="344"/>
      <c r="AG569" s="359">
        <f t="shared" ca="1" si="259"/>
        <v>1.8578243683779858</v>
      </c>
      <c r="AH569" s="357">
        <f t="shared" ca="1" si="260"/>
        <v>-7.9129749531116245</v>
      </c>
    </row>
    <row r="570" spans="1:34">
      <c r="A570" s="402">
        <f t="shared" ca="1" si="238"/>
        <v>1E-4</v>
      </c>
      <c r="B570" s="357">
        <f t="shared" ca="1" si="239"/>
        <v>16.921699999999923</v>
      </c>
      <c r="C570" s="342"/>
      <c r="D570" s="359">
        <f t="shared" ca="1" si="240"/>
        <v>-0.70668900550275005</v>
      </c>
      <c r="E570" s="360">
        <f t="shared" ca="1" si="241"/>
        <v>-1.9285874783228243</v>
      </c>
      <c r="F570" s="357">
        <f t="shared" ca="1" si="242"/>
        <v>2.0539861275193796</v>
      </c>
      <c r="G570" s="359">
        <f t="shared" ca="1" si="243"/>
        <v>5.0056740510242701</v>
      </c>
      <c r="H570" s="360">
        <f t="shared" ca="1" si="244"/>
        <v>-55.82720984745545</v>
      </c>
      <c r="I570" s="357">
        <f t="shared" ca="1" si="245"/>
        <v>56.051174225496162</v>
      </c>
      <c r="J570" s="359">
        <f t="shared" ca="1" si="246"/>
        <v>184.26379383972827</v>
      </c>
      <c r="K570" s="360">
        <f t="shared" ca="1" si="247"/>
        <v>-6.1817197790223393</v>
      </c>
      <c r="L570" s="357">
        <f t="shared" ca="1" si="232"/>
        <v>184.3674574854148</v>
      </c>
      <c r="M570" s="359">
        <f t="shared" ca="1" si="248"/>
        <v>-1.4813717630351373</v>
      </c>
      <c r="N570" s="357">
        <f t="shared" ca="1" si="249"/>
        <v>-84.876349911767264</v>
      </c>
      <c r="O570" s="343"/>
      <c r="P570" s="363">
        <f t="shared" ca="1" si="250"/>
        <v>23</v>
      </c>
      <c r="Q570" s="357">
        <f t="shared" ca="1" si="251"/>
        <v>0</v>
      </c>
      <c r="R570" s="359">
        <f t="shared" ca="1" si="252"/>
        <v>0</v>
      </c>
      <c r="S570" s="360">
        <f t="shared" ca="1" si="253"/>
        <v>0.42898953648292248</v>
      </c>
      <c r="T570" s="357">
        <f t="shared" ca="1" si="233"/>
        <v>4.2083873528974696</v>
      </c>
      <c r="U570" s="364">
        <f t="shared" ca="1" si="234"/>
        <v>0</v>
      </c>
      <c r="V570" s="359">
        <f t="shared" ca="1" si="235"/>
        <v>1.2257574948039609</v>
      </c>
      <c r="W570" s="357">
        <f t="shared" ca="1" si="236"/>
        <v>3.3946322529563191</v>
      </c>
      <c r="X570" s="343"/>
      <c r="Y570" s="367" t="str">
        <f t="shared" ca="1" si="254"/>
        <v/>
      </c>
      <c r="Z570" s="368" t="str">
        <f t="shared" ca="1" si="255"/>
        <v/>
      </c>
      <c r="AA570" s="369" t="str">
        <f t="shared" ca="1" si="256"/>
        <v/>
      </c>
      <c r="AB570" s="344"/>
      <c r="AC570" s="363" t="e">
        <f t="shared" ca="1" si="257"/>
        <v>#N/A</v>
      </c>
      <c r="AD570" s="376" t="e">
        <f t="shared" ca="1" si="258"/>
        <v>#N/A</v>
      </c>
      <c r="AE570" s="377" t="e">
        <f t="shared" ca="1" si="237"/>
        <v>#N/A</v>
      </c>
      <c r="AF570" s="344"/>
      <c r="AG570" s="359">
        <f t="shared" ca="1" si="259"/>
        <v>1.857768864401228</v>
      </c>
      <c r="AH570" s="357">
        <f t="shared" ca="1" si="260"/>
        <v>-7.9130318265092452</v>
      </c>
    </row>
    <row r="571" spans="1:34">
      <c r="A571" s="402">
        <f t="shared" ca="1" si="238"/>
        <v>1E-4</v>
      </c>
      <c r="B571" s="357">
        <f t="shared" ca="1" si="239"/>
        <v>16.921799999999923</v>
      </c>
      <c r="C571" s="342"/>
      <c r="D571" s="359">
        <f t="shared" ca="1" si="240"/>
        <v>-0.70668176553502071</v>
      </c>
      <c r="E571" s="360">
        <f t="shared" ca="1" si="241"/>
        <v>-1.9285297289140937</v>
      </c>
      <c r="F571" s="357">
        <f t="shared" ca="1" si="242"/>
        <v>2.0539294128682131</v>
      </c>
      <c r="G571" s="359">
        <f t="shared" ca="1" si="243"/>
        <v>5.0056033828477169</v>
      </c>
      <c r="H571" s="360">
        <f t="shared" ca="1" si="244"/>
        <v>-55.827402700428344</v>
      </c>
      <c r="I571" s="357">
        <f t="shared" ca="1" si="245"/>
        <v>56.051359996900793</v>
      </c>
      <c r="J571" s="359">
        <f t="shared" ca="1" si="246"/>
        <v>184.26379383972827</v>
      </c>
      <c r="K571" s="360">
        <f t="shared" ca="1" si="247"/>
        <v>-6.1873025096497338</v>
      </c>
      <c r="L571" s="357">
        <f t="shared" ca="1" si="232"/>
        <v>184.36764475513539</v>
      </c>
      <c r="M571" s="359">
        <f t="shared" ca="1" si="248"/>
        <v>-1.4813733260413504</v>
      </c>
      <c r="N571" s="357">
        <f t="shared" ca="1" si="249"/>
        <v>-84.876439465426628</v>
      </c>
      <c r="O571" s="343"/>
      <c r="P571" s="363">
        <f t="shared" ca="1" si="250"/>
        <v>23</v>
      </c>
      <c r="Q571" s="357">
        <f t="shared" ca="1" si="251"/>
        <v>0</v>
      </c>
      <c r="R571" s="359">
        <f t="shared" ca="1" si="252"/>
        <v>0</v>
      </c>
      <c r="S571" s="360">
        <f t="shared" ca="1" si="253"/>
        <v>0.42898953648292248</v>
      </c>
      <c r="T571" s="357">
        <f t="shared" ca="1" si="233"/>
        <v>4.2083873528974696</v>
      </c>
      <c r="U571" s="364">
        <f t="shared" ca="1" si="234"/>
        <v>0</v>
      </c>
      <c r="V571" s="359">
        <f t="shared" ca="1" si="235"/>
        <v>1.2257581791116083</v>
      </c>
      <c r="W571" s="357">
        <f t="shared" ca="1" si="236"/>
        <v>3.3946566499188493</v>
      </c>
      <c r="X571" s="343"/>
      <c r="Y571" s="367" t="str">
        <f t="shared" ca="1" si="254"/>
        <v/>
      </c>
      <c r="Z571" s="368" t="str">
        <f t="shared" ca="1" si="255"/>
        <v/>
      </c>
      <c r="AA571" s="369" t="str">
        <f t="shared" ca="1" si="256"/>
        <v/>
      </c>
      <c r="AB571" s="344"/>
      <c r="AC571" s="363" t="e">
        <f t="shared" ca="1" si="257"/>
        <v>#N/A</v>
      </c>
      <c r="AD571" s="376" t="e">
        <f t="shared" ca="1" si="258"/>
        <v>#N/A</v>
      </c>
      <c r="AE571" s="377" t="e">
        <f t="shared" ca="1" si="237"/>
        <v>#N/A</v>
      </c>
      <c r="AF571" s="344"/>
      <c r="AG571" s="359">
        <f t="shared" ca="1" si="259"/>
        <v>1.8577133616891865</v>
      </c>
      <c r="AH571" s="357">
        <f t="shared" ca="1" si="260"/>
        <v>-7.9130886985898661</v>
      </c>
    </row>
    <row r="572" spans="1:34">
      <c r="A572" s="402">
        <f t="shared" ca="1" si="238"/>
        <v>1E-4</v>
      </c>
      <c r="B572" s="357">
        <f t="shared" ca="1" si="239"/>
        <v>16.921899999999923</v>
      </c>
      <c r="C572" s="342"/>
      <c r="D572" s="359">
        <f t="shared" ca="1" si="240"/>
        <v>-0.70667452552645404</v>
      </c>
      <c r="E572" s="360">
        <f t="shared" ca="1" si="241"/>
        <v>-1.9284719808433808</v>
      </c>
      <c r="F572" s="357">
        <f t="shared" ca="1" si="242"/>
        <v>2.0538726995425085</v>
      </c>
      <c r="G572" s="359">
        <f t="shared" ca="1" si="243"/>
        <v>5.0055327153951641</v>
      </c>
      <c r="H572" s="360">
        <f t="shared" ca="1" si="244"/>
        <v>-55.82759554762643</v>
      </c>
      <c r="I572" s="357">
        <f t="shared" ca="1" si="245"/>
        <v>56.051545762755282</v>
      </c>
      <c r="J572" s="359">
        <f t="shared" ca="1" si="246"/>
        <v>184.26379383972827</v>
      </c>
      <c r="K572" s="360">
        <f t="shared" ca="1" si="247"/>
        <v>-6.1928852595621366</v>
      </c>
      <c r="L572" s="357">
        <f t="shared" ca="1" si="232"/>
        <v>184.3678321943608</v>
      </c>
      <c r="M572" s="359">
        <f t="shared" ca="1" si="248"/>
        <v>-1.4813748890151377</v>
      </c>
      <c r="N572" s="357">
        <f t="shared" ca="1" si="249"/>
        <v>-84.876529017228123</v>
      </c>
      <c r="O572" s="343"/>
      <c r="P572" s="363">
        <f t="shared" ca="1" si="250"/>
        <v>23</v>
      </c>
      <c r="Q572" s="357">
        <f t="shared" ca="1" si="251"/>
        <v>0</v>
      </c>
      <c r="R572" s="359">
        <f t="shared" ca="1" si="252"/>
        <v>0</v>
      </c>
      <c r="S572" s="360">
        <f t="shared" ca="1" si="253"/>
        <v>0.42898953648292248</v>
      </c>
      <c r="T572" s="357">
        <f t="shared" ca="1" si="233"/>
        <v>4.2083873528974696</v>
      </c>
      <c r="U572" s="364">
        <f t="shared" ca="1" si="234"/>
        <v>0</v>
      </c>
      <c r="V572" s="359">
        <f t="shared" ca="1" si="235"/>
        <v>1.2257588634220016</v>
      </c>
      <c r="W572" s="357">
        <f t="shared" ca="1" si="236"/>
        <v>3.3946810463164128</v>
      </c>
      <c r="X572" s="343"/>
      <c r="Y572" s="367" t="str">
        <f t="shared" ca="1" si="254"/>
        <v/>
      </c>
      <c r="Z572" s="368" t="str">
        <f t="shared" ca="1" si="255"/>
        <v/>
      </c>
      <c r="AA572" s="369" t="str">
        <f t="shared" ca="1" si="256"/>
        <v/>
      </c>
      <c r="AB572" s="344"/>
      <c r="AC572" s="363" t="e">
        <f t="shared" ca="1" si="257"/>
        <v>#N/A</v>
      </c>
      <c r="AD572" s="376" t="e">
        <f t="shared" ca="1" si="258"/>
        <v>#N/A</v>
      </c>
      <c r="AE572" s="377" t="e">
        <f t="shared" ca="1" si="237"/>
        <v>#N/A</v>
      </c>
      <c r="AF572" s="344"/>
      <c r="AG572" s="359">
        <f t="shared" ca="1" si="259"/>
        <v>1.8576578602418534</v>
      </c>
      <c r="AH572" s="357">
        <f t="shared" ca="1" si="260"/>
        <v>-7.9131455693534987</v>
      </c>
    </row>
    <row r="573" spans="1:34">
      <c r="A573" s="402">
        <f t="shared" ca="1" si="238"/>
        <v>1E-4</v>
      </c>
      <c r="B573" s="357">
        <f t="shared" ca="1" si="239"/>
        <v>16.921999999999922</v>
      </c>
      <c r="C573" s="342"/>
      <c r="D573" s="359">
        <f t="shared" ca="1" si="240"/>
        <v>-0.70666728547705127</v>
      </c>
      <c r="E573" s="360">
        <f t="shared" ca="1" si="241"/>
        <v>-1.9284142341106705</v>
      </c>
      <c r="F573" s="357">
        <f t="shared" ca="1" si="242"/>
        <v>2.0538159875422504</v>
      </c>
      <c r="G573" s="359">
        <f t="shared" ca="1" si="243"/>
        <v>5.0054620486666161</v>
      </c>
      <c r="H573" s="360">
        <f t="shared" ca="1" si="244"/>
        <v>-55.827788389049843</v>
      </c>
      <c r="I573" s="357">
        <f t="shared" ca="1" si="245"/>
        <v>56.05173152305975</v>
      </c>
      <c r="J573" s="359">
        <f t="shared" ca="1" si="246"/>
        <v>184.26379383972827</v>
      </c>
      <c r="K573" s="360">
        <f t="shared" ca="1" si="247"/>
        <v>-6.1984680287589704</v>
      </c>
      <c r="L573" s="357">
        <f t="shared" ca="1" si="232"/>
        <v>184.3680198030923</v>
      </c>
      <c r="M573" s="359">
        <f t="shared" ca="1" si="248"/>
        <v>-1.4813764519564996</v>
      </c>
      <c r="N573" s="357">
        <f t="shared" ca="1" si="249"/>
        <v>-84.876618567171789</v>
      </c>
      <c r="O573" s="343"/>
      <c r="P573" s="363">
        <f t="shared" ca="1" si="250"/>
        <v>23</v>
      </c>
      <c r="Q573" s="357">
        <f t="shared" ca="1" si="251"/>
        <v>0</v>
      </c>
      <c r="R573" s="359">
        <f t="shared" ca="1" si="252"/>
        <v>0</v>
      </c>
      <c r="S573" s="360">
        <f t="shared" ca="1" si="253"/>
        <v>0.42898953648292248</v>
      </c>
      <c r="T573" s="357">
        <f t="shared" ca="1" si="233"/>
        <v>4.2083873528974696</v>
      </c>
      <c r="U573" s="364">
        <f t="shared" ca="1" si="234"/>
        <v>0</v>
      </c>
      <c r="V573" s="359">
        <f t="shared" ca="1" si="235"/>
        <v>1.2257595477351411</v>
      </c>
      <c r="W573" s="357">
        <f t="shared" ca="1" si="236"/>
        <v>3.3947054421490193</v>
      </c>
      <c r="X573" s="343"/>
      <c r="Y573" s="367" t="str">
        <f t="shared" ca="1" si="254"/>
        <v/>
      </c>
      <c r="Z573" s="368" t="str">
        <f t="shared" ca="1" si="255"/>
        <v/>
      </c>
      <c r="AA573" s="369" t="str">
        <f t="shared" ca="1" si="256"/>
        <v/>
      </c>
      <c r="AB573" s="344"/>
      <c r="AC573" s="363" t="e">
        <f t="shared" ca="1" si="257"/>
        <v>#N/A</v>
      </c>
      <c r="AD573" s="376" t="e">
        <f t="shared" ca="1" si="258"/>
        <v>#N/A</v>
      </c>
      <c r="AE573" s="377" t="e">
        <f t="shared" ca="1" si="237"/>
        <v>#N/A</v>
      </c>
      <c r="AF573" s="344"/>
      <c r="AG573" s="359">
        <f t="shared" ca="1" si="259"/>
        <v>1.8576023600592144</v>
      </c>
      <c r="AH573" s="357">
        <f t="shared" ca="1" si="260"/>
        <v>-7.9132024388001607</v>
      </c>
    </row>
    <row r="574" spans="1:34">
      <c r="A574" s="402">
        <f t="shared" ca="1" si="238"/>
        <v>1E-4</v>
      </c>
      <c r="B574" s="357">
        <f t="shared" ca="1" si="239"/>
        <v>16.922099999999922</v>
      </c>
      <c r="C574" s="342"/>
      <c r="D574" s="359">
        <f t="shared" ca="1" si="240"/>
        <v>-0.70666004538682226</v>
      </c>
      <c r="E574" s="360">
        <f t="shared" ca="1" si="241"/>
        <v>-1.9283564887159379</v>
      </c>
      <c r="F574" s="357">
        <f t="shared" ca="1" si="242"/>
        <v>2.0537592768674151</v>
      </c>
      <c r="G574" s="359">
        <f t="shared" ca="1" si="243"/>
        <v>5.0053913826620775</v>
      </c>
      <c r="H574" s="360">
        <f t="shared" ca="1" si="244"/>
        <v>-55.827981224698718</v>
      </c>
      <c r="I574" s="357">
        <f t="shared" ca="1" si="245"/>
        <v>56.051917277814326</v>
      </c>
      <c r="J574" s="359">
        <f t="shared" ca="1" si="246"/>
        <v>184.26379383972827</v>
      </c>
      <c r="K574" s="360">
        <f t="shared" ca="1" si="247"/>
        <v>-6.2040508172396578</v>
      </c>
      <c r="L574" s="357">
        <f t="shared" ca="1" si="232"/>
        <v>184.36820758133103</v>
      </c>
      <c r="M574" s="359">
        <f t="shared" ca="1" si="248"/>
        <v>-1.4813780148654372</v>
      </c>
      <c r="N574" s="357">
        <f t="shared" ca="1" si="249"/>
        <v>-84.876708115257671</v>
      </c>
      <c r="O574" s="343"/>
      <c r="P574" s="363">
        <f t="shared" ca="1" si="250"/>
        <v>23</v>
      </c>
      <c r="Q574" s="357">
        <f t="shared" ca="1" si="251"/>
        <v>0</v>
      </c>
      <c r="R574" s="359">
        <f t="shared" ca="1" si="252"/>
        <v>0</v>
      </c>
      <c r="S574" s="360">
        <f t="shared" ca="1" si="253"/>
        <v>0.42898953648292248</v>
      </c>
      <c r="T574" s="357">
        <f t="shared" ca="1" si="233"/>
        <v>4.2083873528974696</v>
      </c>
      <c r="U574" s="364">
        <f t="shared" ca="1" si="234"/>
        <v>0</v>
      </c>
      <c r="V574" s="359">
        <f t="shared" ca="1" si="235"/>
        <v>1.2257602320510257</v>
      </c>
      <c r="W574" s="357">
        <f t="shared" ca="1" si="236"/>
        <v>3.3947298374166732</v>
      </c>
      <c r="X574" s="343"/>
      <c r="Y574" s="367" t="str">
        <f t="shared" ca="1" si="254"/>
        <v/>
      </c>
      <c r="Z574" s="368" t="str">
        <f t="shared" ca="1" si="255"/>
        <v/>
      </c>
      <c r="AA574" s="369" t="str">
        <f t="shared" ca="1" si="256"/>
        <v/>
      </c>
      <c r="AB574" s="344"/>
      <c r="AC574" s="363" t="e">
        <f t="shared" ca="1" si="257"/>
        <v>#N/A</v>
      </c>
      <c r="AD574" s="376" t="e">
        <f t="shared" ca="1" si="258"/>
        <v>#N/A</v>
      </c>
      <c r="AE574" s="377" t="e">
        <f t="shared" ca="1" si="237"/>
        <v>#N/A</v>
      </c>
      <c r="AF574" s="344"/>
      <c r="AG574" s="359">
        <f t="shared" ca="1" si="259"/>
        <v>1.8575468611412509</v>
      </c>
      <c r="AH574" s="357">
        <f t="shared" ca="1" si="260"/>
        <v>-7.9132593069298744</v>
      </c>
    </row>
    <row r="575" spans="1:34">
      <c r="A575" s="402">
        <f t="shared" ca="1" si="238"/>
        <v>1E-4</v>
      </c>
      <c r="B575" s="357">
        <f t="shared" ca="1" si="239"/>
        <v>16.922199999999922</v>
      </c>
      <c r="C575" s="342"/>
      <c r="D575" s="359">
        <f t="shared" ca="1" si="240"/>
        <v>-0.70665280525577145</v>
      </c>
      <c r="E575" s="360">
        <f t="shared" ca="1" si="241"/>
        <v>-1.9282987446591733</v>
      </c>
      <c r="F575" s="357">
        <f t="shared" ca="1" si="242"/>
        <v>2.0537025675179925</v>
      </c>
      <c r="G575" s="359">
        <f t="shared" ca="1" si="243"/>
        <v>5.0053207173815517</v>
      </c>
      <c r="H575" s="360">
        <f t="shared" ca="1" si="244"/>
        <v>-55.828174054573182</v>
      </c>
      <c r="I575" s="357">
        <f t="shared" ca="1" si="245"/>
        <v>56.052103027019129</v>
      </c>
      <c r="J575" s="359">
        <f t="shared" ca="1" si="246"/>
        <v>184.26379383972827</v>
      </c>
      <c r="K575" s="360">
        <f t="shared" ca="1" si="247"/>
        <v>-6.2096336250036215</v>
      </c>
      <c r="L575" s="357">
        <f t="shared" ca="1" si="232"/>
        <v>184.3683955290783</v>
      </c>
      <c r="M575" s="359">
        <f t="shared" ca="1" si="248"/>
        <v>-1.4813795777419516</v>
      </c>
      <c r="N575" s="357">
        <f t="shared" ca="1" si="249"/>
        <v>-84.876797661485853</v>
      </c>
      <c r="O575" s="343"/>
      <c r="P575" s="363">
        <f t="shared" ca="1" si="250"/>
        <v>23</v>
      </c>
      <c r="Q575" s="357">
        <f t="shared" ca="1" si="251"/>
        <v>0</v>
      </c>
      <c r="R575" s="359">
        <f t="shared" ca="1" si="252"/>
        <v>0</v>
      </c>
      <c r="S575" s="360">
        <f t="shared" ca="1" si="253"/>
        <v>0.42898953648292248</v>
      </c>
      <c r="T575" s="357">
        <f t="shared" ca="1" si="233"/>
        <v>4.2083873528974696</v>
      </c>
      <c r="U575" s="364">
        <f t="shared" ca="1" si="234"/>
        <v>0</v>
      </c>
      <c r="V575" s="359">
        <f t="shared" ca="1" si="235"/>
        <v>1.2257609163696568</v>
      </c>
      <c r="W575" s="357">
        <f t="shared" ca="1" si="236"/>
        <v>3.3947542321193858</v>
      </c>
      <c r="X575" s="343"/>
      <c r="Y575" s="367" t="str">
        <f t="shared" ca="1" si="254"/>
        <v/>
      </c>
      <c r="Z575" s="368" t="str">
        <f t="shared" ca="1" si="255"/>
        <v/>
      </c>
      <c r="AA575" s="369" t="str">
        <f t="shared" ca="1" si="256"/>
        <v/>
      </c>
      <c r="AB575" s="344"/>
      <c r="AC575" s="363" t="e">
        <f t="shared" ca="1" si="257"/>
        <v>#N/A</v>
      </c>
      <c r="AD575" s="376" t="e">
        <f t="shared" ca="1" si="258"/>
        <v>#N/A</v>
      </c>
      <c r="AE575" s="377" t="e">
        <f t="shared" ca="1" si="237"/>
        <v>#N/A</v>
      </c>
      <c r="AF575" s="344"/>
      <c r="AG575" s="359">
        <f t="shared" ca="1" si="259"/>
        <v>1.8574913634879504</v>
      </c>
      <c r="AH575" s="357">
        <f t="shared" ca="1" si="260"/>
        <v>-7.9133161737426505</v>
      </c>
    </row>
    <row r="576" spans="1:34">
      <c r="A576" s="402">
        <f t="shared" ca="1" si="238"/>
        <v>1E-4</v>
      </c>
      <c r="B576" s="357">
        <f t="shared" ca="1" si="239"/>
        <v>16.922299999999922</v>
      </c>
      <c r="C576" s="342"/>
      <c r="D576" s="359">
        <f t="shared" ca="1" si="240"/>
        <v>-0.70664556508390353</v>
      </c>
      <c r="E576" s="360">
        <f t="shared" ca="1" si="241"/>
        <v>-1.9282410019403518</v>
      </c>
      <c r="F576" s="357">
        <f t="shared" ca="1" si="242"/>
        <v>2.0536458594939586</v>
      </c>
      <c r="G576" s="359">
        <f t="shared" ca="1" si="243"/>
        <v>5.0052500528250432</v>
      </c>
      <c r="H576" s="360">
        <f t="shared" ca="1" si="244"/>
        <v>-55.828366878673378</v>
      </c>
      <c r="I576" s="357">
        <f t="shared" ca="1" si="245"/>
        <v>56.052288770674295</v>
      </c>
      <c r="J576" s="359">
        <f t="shared" ca="1" si="246"/>
        <v>184.26379383972827</v>
      </c>
      <c r="K576" s="360">
        <f t="shared" ca="1" si="247"/>
        <v>-6.2152164520502842</v>
      </c>
      <c r="L576" s="357">
        <f t="shared" ca="1" si="232"/>
        <v>184.36858364633525</v>
      </c>
      <c r="M576" s="359">
        <f t="shared" ca="1" si="248"/>
        <v>-1.4813811405860433</v>
      </c>
      <c r="N576" s="357">
        <f t="shared" ca="1" si="249"/>
        <v>-84.876887205856349</v>
      </c>
      <c r="O576" s="343"/>
      <c r="P576" s="363">
        <f t="shared" ca="1" si="250"/>
        <v>23</v>
      </c>
      <c r="Q576" s="357">
        <f t="shared" ca="1" si="251"/>
        <v>0</v>
      </c>
      <c r="R576" s="359">
        <f t="shared" ca="1" si="252"/>
        <v>0</v>
      </c>
      <c r="S576" s="360">
        <f t="shared" ca="1" si="253"/>
        <v>0.42898953648292248</v>
      </c>
      <c r="T576" s="357">
        <f t="shared" ca="1" si="233"/>
        <v>4.2083873528974696</v>
      </c>
      <c r="U576" s="364">
        <f t="shared" ca="1" si="234"/>
        <v>0</v>
      </c>
      <c r="V576" s="359">
        <f t="shared" ca="1" si="235"/>
        <v>1.2257616006910332</v>
      </c>
      <c r="W576" s="357">
        <f t="shared" ca="1" si="236"/>
        <v>3.3947786262571618</v>
      </c>
      <c r="X576" s="343"/>
      <c r="Y576" s="367" t="str">
        <f t="shared" ca="1" si="254"/>
        <v/>
      </c>
      <c r="Z576" s="368" t="str">
        <f t="shared" ca="1" si="255"/>
        <v/>
      </c>
      <c r="AA576" s="369" t="str">
        <f t="shared" ca="1" si="256"/>
        <v/>
      </c>
      <c r="AB576" s="344"/>
      <c r="AC576" s="363" t="e">
        <f t="shared" ca="1" si="257"/>
        <v>#N/A</v>
      </c>
      <c r="AD576" s="376" t="e">
        <f t="shared" ca="1" si="258"/>
        <v>#N/A</v>
      </c>
      <c r="AE576" s="377" t="e">
        <f t="shared" ca="1" si="237"/>
        <v>#N/A</v>
      </c>
      <c r="AF576" s="344"/>
      <c r="AG576" s="359">
        <f t="shared" ca="1" si="259"/>
        <v>1.8574358670992934</v>
      </c>
      <c r="AH576" s="357">
        <f t="shared" ca="1" si="260"/>
        <v>-7.9133730392385138</v>
      </c>
    </row>
    <row r="577" spans="1:34">
      <c r="A577" s="402">
        <f t="shared" ca="1" si="238"/>
        <v>1E-4</v>
      </c>
      <c r="B577" s="357">
        <f t="shared" ca="1" si="239"/>
        <v>16.922399999999922</v>
      </c>
      <c r="C577" s="342"/>
      <c r="D577" s="359">
        <f t="shared" ca="1" si="240"/>
        <v>-0.70663832487122846</v>
      </c>
      <c r="E577" s="360">
        <f t="shared" ca="1" si="241"/>
        <v>-1.9281832605594582</v>
      </c>
      <c r="F577" s="357">
        <f t="shared" ca="1" si="242"/>
        <v>2.0535891527953001</v>
      </c>
      <c r="G577" s="359">
        <f t="shared" ca="1" si="243"/>
        <v>5.0051793889925564</v>
      </c>
      <c r="H577" s="360">
        <f t="shared" ca="1" si="244"/>
        <v>-55.828559696999434</v>
      </c>
      <c r="I577" s="357">
        <f t="shared" ca="1" si="245"/>
        <v>56.052474508779945</v>
      </c>
      <c r="J577" s="359">
        <f t="shared" ca="1" si="246"/>
        <v>184.26379383972827</v>
      </c>
      <c r="K577" s="360">
        <f t="shared" ca="1" si="247"/>
        <v>-6.2207992983790676</v>
      </c>
      <c r="L577" s="357">
        <f t="shared" ca="1" si="232"/>
        <v>184.36877193310312</v>
      </c>
      <c r="M577" s="359">
        <f t="shared" ca="1" si="248"/>
        <v>-1.4813827033977138</v>
      </c>
      <c r="N577" s="357">
        <f t="shared" ca="1" si="249"/>
        <v>-84.876976748369245</v>
      </c>
      <c r="O577" s="343"/>
      <c r="P577" s="363">
        <f t="shared" ca="1" si="250"/>
        <v>23</v>
      </c>
      <c r="Q577" s="357">
        <f t="shared" ca="1" si="251"/>
        <v>0</v>
      </c>
      <c r="R577" s="359">
        <f t="shared" ca="1" si="252"/>
        <v>0</v>
      </c>
      <c r="S577" s="360">
        <f t="shared" ca="1" si="253"/>
        <v>0.42898953648292248</v>
      </c>
      <c r="T577" s="357">
        <f t="shared" ca="1" si="233"/>
        <v>4.2083873528974696</v>
      </c>
      <c r="U577" s="364">
        <f t="shared" ca="1" si="234"/>
        <v>0</v>
      </c>
      <c r="V577" s="359">
        <f t="shared" ca="1" si="235"/>
        <v>1.2257622850151557</v>
      </c>
      <c r="W577" s="357">
        <f t="shared" ca="1" si="236"/>
        <v>3.3948030198300101</v>
      </c>
      <c r="X577" s="343"/>
      <c r="Y577" s="367" t="str">
        <f t="shared" ca="1" si="254"/>
        <v/>
      </c>
      <c r="Z577" s="368" t="str">
        <f t="shared" ca="1" si="255"/>
        <v/>
      </c>
      <c r="AA577" s="369" t="str">
        <f t="shared" ca="1" si="256"/>
        <v/>
      </c>
      <c r="AB577" s="344"/>
      <c r="AC577" s="363" t="e">
        <f t="shared" ca="1" si="257"/>
        <v>#N/A</v>
      </c>
      <c r="AD577" s="376" t="e">
        <f t="shared" ca="1" si="258"/>
        <v>#N/A</v>
      </c>
      <c r="AE577" s="377" t="e">
        <f t="shared" ca="1" si="237"/>
        <v>#N/A</v>
      </c>
      <c r="AF577" s="344"/>
      <c r="AG577" s="359">
        <f t="shared" ca="1" si="259"/>
        <v>1.8573803719752684</v>
      </c>
      <c r="AH577" s="357">
        <f t="shared" ca="1" si="260"/>
        <v>-7.9134299034174775</v>
      </c>
    </row>
    <row r="578" spans="1:34">
      <c r="A578" s="402">
        <f t="shared" ca="1" si="238"/>
        <v>1E-4</v>
      </c>
      <c r="B578" s="357">
        <f t="shared" ca="1" si="239"/>
        <v>16.922499999999921</v>
      </c>
      <c r="C578" s="342"/>
      <c r="D578" s="359">
        <f t="shared" ca="1" si="240"/>
        <v>-0.70663108461774715</v>
      </c>
      <c r="E578" s="360">
        <f t="shared" ca="1" si="241"/>
        <v>-1.9281255205164749</v>
      </c>
      <c r="F578" s="357">
        <f t="shared" ca="1" si="242"/>
        <v>2.0535324474219978</v>
      </c>
      <c r="G578" s="359">
        <f t="shared" ca="1" si="243"/>
        <v>5.0051087258840949</v>
      </c>
      <c r="H578" s="360">
        <f t="shared" ca="1" si="244"/>
        <v>-55.828752509551485</v>
      </c>
      <c r="I578" s="357">
        <f t="shared" ca="1" si="245"/>
        <v>56.052660241336199</v>
      </c>
      <c r="J578" s="359">
        <f t="shared" ca="1" si="246"/>
        <v>184.26379383972827</v>
      </c>
      <c r="K578" s="360">
        <f t="shared" ca="1" si="247"/>
        <v>-6.2263821639893955</v>
      </c>
      <c r="L578" s="357">
        <f t="shared" ca="1" si="232"/>
        <v>184.36896038938312</v>
      </c>
      <c r="M578" s="359">
        <f t="shared" ca="1" si="248"/>
        <v>-1.4813842661769636</v>
      </c>
      <c r="N578" s="357">
        <f t="shared" ca="1" si="249"/>
        <v>-84.877066289024569</v>
      </c>
      <c r="O578" s="343"/>
      <c r="P578" s="363">
        <f t="shared" ca="1" si="250"/>
        <v>23</v>
      </c>
      <c r="Q578" s="357">
        <f t="shared" ca="1" si="251"/>
        <v>0</v>
      </c>
      <c r="R578" s="359">
        <f t="shared" ca="1" si="252"/>
        <v>0</v>
      </c>
      <c r="S578" s="360">
        <f t="shared" ca="1" si="253"/>
        <v>0.42898953648292248</v>
      </c>
      <c r="T578" s="357">
        <f t="shared" ca="1" si="233"/>
        <v>4.2083873528974696</v>
      </c>
      <c r="U578" s="364">
        <f t="shared" ca="1" si="234"/>
        <v>0</v>
      </c>
      <c r="V578" s="359">
        <f t="shared" ca="1" si="235"/>
        <v>1.225762969342024</v>
      </c>
      <c r="W578" s="357">
        <f t="shared" ca="1" si="236"/>
        <v>3.3948274128379388</v>
      </c>
      <c r="X578" s="343"/>
      <c r="Y578" s="367" t="str">
        <f t="shared" ca="1" si="254"/>
        <v/>
      </c>
      <c r="Z578" s="368" t="str">
        <f t="shared" ca="1" si="255"/>
        <v/>
      </c>
      <c r="AA578" s="369" t="str">
        <f t="shared" ca="1" si="256"/>
        <v/>
      </c>
      <c r="AB578" s="344"/>
      <c r="AC578" s="363" t="e">
        <f t="shared" ca="1" si="257"/>
        <v>#N/A</v>
      </c>
      <c r="AD578" s="376" t="e">
        <f t="shared" ca="1" si="258"/>
        <v>#N/A</v>
      </c>
      <c r="AE578" s="377" t="e">
        <f t="shared" ca="1" si="237"/>
        <v>#N/A</v>
      </c>
      <c r="AF578" s="344"/>
      <c r="AG578" s="359">
        <f t="shared" ca="1" si="259"/>
        <v>1.8573248781158576</v>
      </c>
      <c r="AH578" s="357">
        <f t="shared" ca="1" si="260"/>
        <v>-7.9134867662795614</v>
      </c>
    </row>
    <row r="579" spans="1:34">
      <c r="A579" s="402">
        <f t="shared" ca="1" si="238"/>
        <v>1E-4</v>
      </c>
      <c r="B579" s="357">
        <f t="shared" ca="1" si="239"/>
        <v>16.922599999999921</v>
      </c>
      <c r="C579" s="342"/>
      <c r="D579" s="359">
        <f t="shared" ca="1" si="240"/>
        <v>-0.7066238443234697</v>
      </c>
      <c r="E579" s="360">
        <f t="shared" ca="1" si="241"/>
        <v>-1.9280677818113814</v>
      </c>
      <c r="F579" s="357">
        <f t="shared" ca="1" si="242"/>
        <v>2.0534757433740336</v>
      </c>
      <c r="G579" s="359">
        <f t="shared" ca="1" si="243"/>
        <v>5.0050380634996623</v>
      </c>
      <c r="H579" s="360">
        <f t="shared" ca="1" si="244"/>
        <v>-55.828945316329666</v>
      </c>
      <c r="I579" s="357">
        <f t="shared" ca="1" si="245"/>
        <v>56.052845968343206</v>
      </c>
      <c r="J579" s="359">
        <f t="shared" ca="1" si="246"/>
        <v>184.26379383972827</v>
      </c>
      <c r="K579" s="360">
        <f t="shared" ca="1" si="247"/>
        <v>-6.2319650488806895</v>
      </c>
      <c r="L579" s="357">
        <f t="shared" ca="1" si="232"/>
        <v>184.36914901517648</v>
      </c>
      <c r="M579" s="359">
        <f t="shared" ca="1" si="248"/>
        <v>-1.4813858289237938</v>
      </c>
      <c r="N579" s="357">
        <f t="shared" ca="1" si="249"/>
        <v>-84.877155827822378</v>
      </c>
      <c r="O579" s="343"/>
      <c r="P579" s="363">
        <f t="shared" ca="1" si="250"/>
        <v>23</v>
      </c>
      <c r="Q579" s="357">
        <f t="shared" ca="1" si="251"/>
        <v>0</v>
      </c>
      <c r="R579" s="359">
        <f t="shared" ca="1" si="252"/>
        <v>0</v>
      </c>
      <c r="S579" s="360">
        <f t="shared" ca="1" si="253"/>
        <v>0.42898953648292248</v>
      </c>
      <c r="T579" s="357">
        <f t="shared" ca="1" si="233"/>
        <v>4.2083873528974696</v>
      </c>
      <c r="U579" s="364">
        <f t="shared" ca="1" si="234"/>
        <v>0</v>
      </c>
      <c r="V579" s="359">
        <f t="shared" ca="1" si="235"/>
        <v>1.2257636536716374</v>
      </c>
      <c r="W579" s="357">
        <f t="shared" ca="1" si="236"/>
        <v>3.3948518052809553</v>
      </c>
      <c r="X579" s="343"/>
      <c r="Y579" s="367" t="str">
        <f t="shared" ca="1" si="254"/>
        <v/>
      </c>
      <c r="Z579" s="368" t="str">
        <f t="shared" ca="1" si="255"/>
        <v/>
      </c>
      <c r="AA579" s="369" t="str">
        <f t="shared" ca="1" si="256"/>
        <v/>
      </c>
      <c r="AB579" s="344"/>
      <c r="AC579" s="363" t="e">
        <f t="shared" ca="1" si="257"/>
        <v>#N/A</v>
      </c>
      <c r="AD579" s="376" t="e">
        <f t="shared" ca="1" si="258"/>
        <v>#N/A</v>
      </c>
      <c r="AE579" s="377" t="e">
        <f t="shared" ca="1" si="237"/>
        <v>#N/A</v>
      </c>
      <c r="AF579" s="344"/>
      <c r="AG579" s="359">
        <f t="shared" ca="1" si="259"/>
        <v>1.857269385521044</v>
      </c>
      <c r="AH579" s="357">
        <f t="shared" ca="1" si="260"/>
        <v>-7.9135436278247839</v>
      </c>
    </row>
    <row r="580" spans="1:34">
      <c r="A580" s="402">
        <f t="shared" ca="1" si="238"/>
        <v>1E-4</v>
      </c>
      <c r="B580" s="357">
        <f t="shared" ca="1" si="239"/>
        <v>16.922699999999921</v>
      </c>
      <c r="C580" s="342"/>
      <c r="D580" s="359">
        <f t="shared" ca="1" si="240"/>
        <v>-0.70661660398840054</v>
      </c>
      <c r="E580" s="360">
        <f t="shared" ca="1" si="241"/>
        <v>-1.9280100444441608</v>
      </c>
      <c r="F580" s="357">
        <f t="shared" ca="1" si="242"/>
        <v>2.0534190406513901</v>
      </c>
      <c r="G580" s="359">
        <f t="shared" ca="1" si="243"/>
        <v>5.0049674018392638</v>
      </c>
      <c r="H580" s="360">
        <f t="shared" ca="1" si="244"/>
        <v>-55.829138117334111</v>
      </c>
      <c r="I580" s="357">
        <f t="shared" ca="1" si="245"/>
        <v>56.05303168980106</v>
      </c>
      <c r="J580" s="359">
        <f t="shared" ca="1" si="246"/>
        <v>184.26379383972827</v>
      </c>
      <c r="K580" s="360">
        <f t="shared" ca="1" si="247"/>
        <v>-6.2375479530523723</v>
      </c>
      <c r="L580" s="357">
        <f t="shared" ref="L580:L643" ca="1" si="261">SQRT(pos_x^2+pos_z^2)</f>
        <v>184.36933781048441</v>
      </c>
      <c r="M580" s="359">
        <f t="shared" ca="1" si="248"/>
        <v>-1.4813873916382052</v>
      </c>
      <c r="N580" s="357">
        <f t="shared" ca="1" si="249"/>
        <v>-84.877245364762743</v>
      </c>
      <c r="O580" s="343"/>
      <c r="P580" s="363">
        <f t="shared" ca="1" si="250"/>
        <v>23</v>
      </c>
      <c r="Q580" s="357">
        <f t="shared" ca="1" si="251"/>
        <v>0</v>
      </c>
      <c r="R580" s="359">
        <f t="shared" ca="1" si="252"/>
        <v>0</v>
      </c>
      <c r="S580" s="360">
        <f t="shared" ca="1" si="253"/>
        <v>0.42898953648292248</v>
      </c>
      <c r="T580" s="357">
        <f t="shared" ref="T580:T643" ca="1" si="262">m*g</f>
        <v>4.2083873528974696</v>
      </c>
      <c r="U580" s="364">
        <f t="shared" ref="U580:U643" ca="1" si="263">IF(pos_xz&lt;L_rampe,Poids*COS(Beta),0)</f>
        <v>0</v>
      </c>
      <c r="V580" s="359">
        <f t="shared" ref="V580:V643" ca="1" si="264">Rho_moyen*(20000-Alt_rampe-pos_z)/(20000+Alt_rampe+pos_z)</f>
        <v>1.2257643380039966</v>
      </c>
      <c r="W580" s="357">
        <f t="shared" ref="W580:W643" ca="1" si="265">1/2*Rho*Sref*Cx*vit_xz^2</f>
        <v>3.3948761971590651</v>
      </c>
      <c r="X580" s="343"/>
      <c r="Y580" s="367" t="str">
        <f t="shared" ca="1" si="254"/>
        <v/>
      </c>
      <c r="Z580" s="368" t="str">
        <f t="shared" ca="1" si="255"/>
        <v/>
      </c>
      <c r="AA580" s="369" t="str">
        <f t="shared" ca="1" si="256"/>
        <v/>
      </c>
      <c r="AB580" s="344"/>
      <c r="AC580" s="363" t="e">
        <f t="shared" ca="1" si="257"/>
        <v>#N/A</v>
      </c>
      <c r="AD580" s="376" t="e">
        <f t="shared" ca="1" si="258"/>
        <v>#N/A</v>
      </c>
      <c r="AE580" s="377" t="e">
        <f t="shared" ref="AE580:AE643" ca="1" si="266">IF(t&lt;T_para, pos_z, NA())</f>
        <v>#N/A</v>
      </c>
      <c r="AF580" s="344"/>
      <c r="AG580" s="359">
        <f t="shared" ca="1" si="259"/>
        <v>1.8572138941908145</v>
      </c>
      <c r="AH580" s="357">
        <f t="shared" ca="1" si="260"/>
        <v>-7.9136004880531621</v>
      </c>
    </row>
    <row r="581" spans="1:34">
      <c r="A581" s="402">
        <f t="shared" ref="A581:A644" ca="1" si="267">IF(B580+0.01&lt;=T_ini+ROUNDUP(Temps_fin_propu,0), 0.01, IF(K580&gt;0, 0.1, 0.0001))</f>
        <v>1E-4</v>
      </c>
      <c r="B581" s="357">
        <f t="shared" ref="B581:B644" ca="1" si="268">B580+pas</f>
        <v>16.922799999999921</v>
      </c>
      <c r="C581" s="342"/>
      <c r="D581" s="359">
        <f t="shared" ref="D581:D644" ca="1" si="269">IF(AND(L580&lt;L_rampe,Poussee&lt;Poids*SIN(M580)),0,(-W580+Poussee)/m*COS(M580)-U580/m*SIN(M580))</f>
        <v>-0.70660936361254567</v>
      </c>
      <c r="E581" s="360">
        <f t="shared" ref="E581:E644" ca="1" si="270">IF(AND(L580&lt;L_rampe,Poussee&lt;Poids*SIN(M580)),0,(-W580+Poussee)/m*SIN(M580)+U580/m*COS(M580)-Poids/m)</f>
        <v>-1.9279523084147989</v>
      </c>
      <c r="F581" s="357">
        <f t="shared" ref="F581:F644" ca="1" si="271">SQRT(acc_x^2+acc_z^2)</f>
        <v>2.0533623392540536</v>
      </c>
      <c r="G581" s="359">
        <f t="shared" ref="G581:G644" ca="1" si="272">G580+acc_x*pas</f>
        <v>5.0048967409029022</v>
      </c>
      <c r="H581" s="360">
        <f t="shared" ref="H581:H644" ca="1" si="273">H580+acc_z*pas</f>
        <v>-55.829330912564956</v>
      </c>
      <c r="I581" s="357">
        <f t="shared" ref="I581:I644" ca="1" si="274">SQRT(vit_x^2+vit_z^2)</f>
        <v>56.053217405709923</v>
      </c>
      <c r="J581" s="359">
        <f t="shared" ref="J581:J644" ca="1" si="275">J580+0.5*(vit_x+G580)*pas*(K580&gt;=0)</f>
        <v>184.26379383972827</v>
      </c>
      <c r="K581" s="360">
        <f t="shared" ref="K581:K644" ca="1" si="276">K580+0.5*(vit_z+H580)*pas</f>
        <v>-6.2431308765038676</v>
      </c>
      <c r="L581" s="357">
        <f t="shared" ca="1" si="261"/>
        <v>184.36952677530806</v>
      </c>
      <c r="M581" s="359">
        <f t="shared" ref="M581:M644" ca="1" si="277">IF(AND(L580&gt;L_rampe,G581&gt;0),ATAN2(G581,H581),$M$4)</f>
        <v>-1.481388954320199</v>
      </c>
      <c r="N581" s="357">
        <f t="shared" ref="N581:N644" ca="1" si="278">DEGREES(Beta)</f>
        <v>-84.877334899845707</v>
      </c>
      <c r="O581" s="343"/>
      <c r="P581" s="363">
        <f t="shared" ref="P581:P644" ca="1" si="279">MATCH(t-pas/2-T_ini,CdP_t)</f>
        <v>23</v>
      </c>
      <c r="Q581" s="357">
        <f t="shared" ref="Q581:Q644" ca="1" si="280">(INDEX(CdP,2,i_P+1)-INDEX(CdP,2,i_P+0))/(INDEX(CdP,1,i_P+1)-INDEX(CdP,1,i_P+0))*(t-pas/2-T_ini-INDEX(CdP,1,i_P+0))+INDEX(CdP,2,i_P+0)</f>
        <v>0</v>
      </c>
      <c r="R581" s="359">
        <f t="shared" ref="R581:R644" ca="1" si="281">Poussee/(g*ISP)</f>
        <v>0</v>
      </c>
      <c r="S581" s="360">
        <f t="shared" ref="S581:S644" ca="1" si="282">S580-Débit*pas</f>
        <v>0.42898953648292248</v>
      </c>
      <c r="T581" s="357">
        <f t="shared" ca="1" si="262"/>
        <v>4.2083873528974696</v>
      </c>
      <c r="U581" s="364">
        <f t="shared" ca="1" si="263"/>
        <v>0</v>
      </c>
      <c r="V581" s="359">
        <f t="shared" ca="1" si="264"/>
        <v>1.2257650223391012</v>
      </c>
      <c r="W581" s="357">
        <f t="shared" ca="1" si="265"/>
        <v>3.3949005884722787</v>
      </c>
      <c r="X581" s="343"/>
      <c r="Y581" s="367" t="str">
        <f t="shared" ref="Y581:Y644" ca="1" si="283">IF(AND(pos_z&lt;=0,K580&gt;0),"Impact balistique","") &amp; IF(AND(H582&lt;0,vit_z&gt;=0),"Apogée","") &amp; IF(AND(Poussee=0,Q580&gt;0),"Fin de propulsion","") &amp; IF(AND(L582&gt;L_rampe,pos_xz&lt;=L_rampe),"Sortie de rampe","")</f>
        <v/>
      </c>
      <c r="Z581" s="368" t="str">
        <f t="shared" ref="Z581:Z644" ca="1" si="284">IF(ABS(t-T_para)&lt;pas/2,"Para","")</f>
        <v/>
      </c>
      <c r="AA581" s="369" t="str">
        <f t="shared" ref="AA581:AA644" ca="1" si="285">IF(ABS(t-T_satellite)&lt;pas/2,"Satellite","")</f>
        <v/>
      </c>
      <c r="AB581" s="344"/>
      <c r="AC581" s="363" t="e">
        <f t="shared" ref="AC581:AC644" ca="1" si="286">IF(ABS(t-ROUND(t,0))&lt;0.001,t,NA())</f>
        <v>#N/A</v>
      </c>
      <c r="AD581" s="376" t="e">
        <f t="shared" ref="AD581:AD644" ca="1" si="287">IF(ABS(t-ROUND(t,0))&lt;0.001,pos_x,NA())</f>
        <v>#N/A</v>
      </c>
      <c r="AE581" s="377" t="e">
        <f t="shared" ca="1" si="266"/>
        <v>#N/A</v>
      </c>
      <c r="AF581" s="344"/>
      <c r="AG581" s="359">
        <f t="shared" ref="AG581:AG644" ca="1" si="288">IF(AND(L580&lt;L_rampe,Poussee&lt;Poids*SIN(M580)),0,(-W580+Poussee)/m-Poids*SIN(M580)/m)</f>
        <v>1.8571584041251565</v>
      </c>
      <c r="AH581" s="357">
        <f t="shared" ref="AH581:AH644" ca="1" si="289">IF(AND(L580&lt;L_rampe,Poussee&lt;Poids*SIN(M580)), g*SIN(M580), (-W580+Poussee)/m)</f>
        <v>-7.91365734696471</v>
      </c>
    </row>
    <row r="582" spans="1:34">
      <c r="A582" s="402">
        <f t="shared" ca="1" si="267"/>
        <v>1E-4</v>
      </c>
      <c r="B582" s="357">
        <f t="shared" ca="1" si="268"/>
        <v>16.92289999999992</v>
      </c>
      <c r="C582" s="342"/>
      <c r="D582" s="359">
        <f t="shared" ca="1" si="269"/>
        <v>-0.70660212319591031</v>
      </c>
      <c r="E582" s="360">
        <f t="shared" ca="1" si="270"/>
        <v>-1.9278945737232709</v>
      </c>
      <c r="F582" s="357">
        <f t="shared" ca="1" si="271"/>
        <v>2.0533056391819997</v>
      </c>
      <c r="G582" s="359">
        <f t="shared" ca="1" si="272"/>
        <v>5.0048260806905827</v>
      </c>
      <c r="H582" s="360">
        <f t="shared" ca="1" si="273"/>
        <v>-55.829523702022328</v>
      </c>
      <c r="I582" s="357">
        <f t="shared" ca="1" si="274"/>
        <v>56.053403116069887</v>
      </c>
      <c r="J582" s="359">
        <f t="shared" ca="1" si="275"/>
        <v>184.26379383972827</v>
      </c>
      <c r="K582" s="360">
        <f t="shared" ca="1" si="276"/>
        <v>-6.248713819234597</v>
      </c>
      <c r="L582" s="357">
        <f t="shared" ca="1" si="261"/>
        <v>184.3697159096487</v>
      </c>
      <c r="M582" s="359">
        <f t="shared" ca="1" si="277"/>
        <v>-1.4813905169697759</v>
      </c>
      <c r="N582" s="357">
        <f t="shared" ca="1" si="278"/>
        <v>-84.877424433071312</v>
      </c>
      <c r="O582" s="343"/>
      <c r="P582" s="363">
        <f t="shared" ca="1" si="279"/>
        <v>23</v>
      </c>
      <c r="Q582" s="357">
        <f t="shared" ca="1" si="280"/>
        <v>0</v>
      </c>
      <c r="R582" s="359">
        <f t="shared" ca="1" si="281"/>
        <v>0</v>
      </c>
      <c r="S582" s="360">
        <f t="shared" ca="1" si="282"/>
        <v>0.42898953648292248</v>
      </c>
      <c r="T582" s="357">
        <f t="shared" ca="1" si="262"/>
        <v>4.2083873528974696</v>
      </c>
      <c r="U582" s="364">
        <f t="shared" ca="1" si="263"/>
        <v>0</v>
      </c>
      <c r="V582" s="359">
        <f t="shared" ca="1" si="264"/>
        <v>1.225765706676951</v>
      </c>
      <c r="W582" s="357">
        <f t="shared" ca="1" si="265"/>
        <v>3.3949249792206011</v>
      </c>
      <c r="X582" s="343"/>
      <c r="Y582" s="367" t="str">
        <f t="shared" ca="1" si="283"/>
        <v/>
      </c>
      <c r="Z582" s="368" t="str">
        <f t="shared" ca="1" si="284"/>
        <v/>
      </c>
      <c r="AA582" s="369" t="str">
        <f t="shared" ca="1" si="285"/>
        <v/>
      </c>
      <c r="AB582" s="344"/>
      <c r="AC582" s="363" t="e">
        <f t="shared" ca="1" si="286"/>
        <v>#N/A</v>
      </c>
      <c r="AD582" s="376" t="e">
        <f t="shared" ca="1" si="287"/>
        <v>#N/A</v>
      </c>
      <c r="AE582" s="377" t="e">
        <f t="shared" ca="1" si="266"/>
        <v>#N/A</v>
      </c>
      <c r="AF582" s="344"/>
      <c r="AG582" s="359">
        <f t="shared" ca="1" si="288"/>
        <v>1.8571029153240461</v>
      </c>
      <c r="AH582" s="357">
        <f t="shared" ca="1" si="289"/>
        <v>-7.9137142045594517</v>
      </c>
    </row>
    <row r="583" spans="1:34">
      <c r="A583" s="402">
        <f t="shared" ca="1" si="267"/>
        <v>1E-4</v>
      </c>
      <c r="B583" s="357">
        <f t="shared" ca="1" si="268"/>
        <v>16.92299999999992</v>
      </c>
      <c r="C583" s="342"/>
      <c r="D583" s="359">
        <f t="shared" ca="1" si="269"/>
        <v>-0.70659488273850202</v>
      </c>
      <c r="E583" s="360">
        <f t="shared" ca="1" si="270"/>
        <v>-1.927836840369566</v>
      </c>
      <c r="F583" s="357">
        <f t="shared" ca="1" si="271"/>
        <v>2.053248940435219</v>
      </c>
      <c r="G583" s="359">
        <f t="shared" ca="1" si="272"/>
        <v>5.0047554212023089</v>
      </c>
      <c r="H583" s="360">
        <f t="shared" ca="1" si="273"/>
        <v>-55.829716485706363</v>
      </c>
      <c r="I583" s="357">
        <f t="shared" ca="1" si="274"/>
        <v>56.053588820881103</v>
      </c>
      <c r="J583" s="359">
        <f t="shared" ca="1" si="275"/>
        <v>184.26379383972827</v>
      </c>
      <c r="K583" s="360">
        <f t="shared" ca="1" si="276"/>
        <v>-6.2542967812439834</v>
      </c>
      <c r="L583" s="357">
        <f t="shared" ca="1" si="261"/>
        <v>184.36990521350756</v>
      </c>
      <c r="M583" s="359">
        <f t="shared" ca="1" si="277"/>
        <v>-1.4813920795869369</v>
      </c>
      <c r="N583" s="357">
        <f t="shared" ca="1" si="278"/>
        <v>-84.877513964439629</v>
      </c>
      <c r="O583" s="343"/>
      <c r="P583" s="363">
        <f t="shared" ca="1" si="279"/>
        <v>23</v>
      </c>
      <c r="Q583" s="357">
        <f t="shared" ca="1" si="280"/>
        <v>0</v>
      </c>
      <c r="R583" s="359">
        <f t="shared" ca="1" si="281"/>
        <v>0</v>
      </c>
      <c r="S583" s="360">
        <f t="shared" ca="1" si="282"/>
        <v>0.42898953648292248</v>
      </c>
      <c r="T583" s="357">
        <f t="shared" ca="1" si="262"/>
        <v>4.2083873528974696</v>
      </c>
      <c r="U583" s="364">
        <f t="shared" ca="1" si="263"/>
        <v>0</v>
      </c>
      <c r="V583" s="359">
        <f t="shared" ca="1" si="264"/>
        <v>1.2257663910175463</v>
      </c>
      <c r="W583" s="357">
        <f t="shared" ca="1" si="265"/>
        <v>3.3949493694040425</v>
      </c>
      <c r="X583" s="343"/>
      <c r="Y583" s="367" t="str">
        <f t="shared" ca="1" si="283"/>
        <v/>
      </c>
      <c r="Z583" s="368" t="str">
        <f t="shared" ca="1" si="284"/>
        <v/>
      </c>
      <c r="AA583" s="369" t="str">
        <f t="shared" ca="1" si="285"/>
        <v/>
      </c>
      <c r="AB583" s="344"/>
      <c r="AC583" s="363" t="e">
        <f t="shared" ca="1" si="286"/>
        <v>#N/A</v>
      </c>
      <c r="AD583" s="376" t="e">
        <f t="shared" ca="1" si="287"/>
        <v>#N/A</v>
      </c>
      <c r="AE583" s="377" t="e">
        <f t="shared" ca="1" si="266"/>
        <v>#N/A</v>
      </c>
      <c r="AF583" s="344"/>
      <c r="AG583" s="359">
        <f t="shared" ca="1" si="288"/>
        <v>1.8570474277874816</v>
      </c>
      <c r="AH583" s="357">
        <f t="shared" ca="1" si="289"/>
        <v>-7.9137710608373979</v>
      </c>
    </row>
    <row r="584" spans="1:34">
      <c r="A584" s="402">
        <f t="shared" ca="1" si="267"/>
        <v>1E-4</v>
      </c>
      <c r="B584" s="357">
        <f t="shared" ca="1" si="268"/>
        <v>16.92309999999992</v>
      </c>
      <c r="C584" s="342"/>
      <c r="D584" s="359">
        <f t="shared" ca="1" si="269"/>
        <v>-0.70658764224032578</v>
      </c>
      <c r="E584" s="360">
        <f t="shared" ca="1" si="270"/>
        <v>-1.9277791083536586</v>
      </c>
      <c r="F584" s="357">
        <f t="shared" ca="1" si="271"/>
        <v>2.0531922430136857</v>
      </c>
      <c r="G584" s="359">
        <f t="shared" ca="1" si="272"/>
        <v>5.0046847624380852</v>
      </c>
      <c r="H584" s="360">
        <f t="shared" ca="1" si="273"/>
        <v>-55.829909263617196</v>
      </c>
      <c r="I584" s="357">
        <f t="shared" ca="1" si="274"/>
        <v>56.053774520143683</v>
      </c>
      <c r="J584" s="359">
        <f t="shared" ca="1" si="275"/>
        <v>184.26379383972827</v>
      </c>
      <c r="K584" s="360">
        <f t="shared" ca="1" si="276"/>
        <v>-6.2598797625314493</v>
      </c>
      <c r="L584" s="357">
        <f t="shared" ca="1" si="261"/>
        <v>184.37009468688581</v>
      </c>
      <c r="M584" s="359">
        <f t="shared" ca="1" si="277"/>
        <v>-1.4813936421716827</v>
      </c>
      <c r="N584" s="357">
        <f t="shared" ca="1" si="278"/>
        <v>-84.877603493950701</v>
      </c>
      <c r="O584" s="343"/>
      <c r="P584" s="363">
        <f t="shared" ca="1" si="279"/>
        <v>23</v>
      </c>
      <c r="Q584" s="357">
        <f t="shared" ca="1" si="280"/>
        <v>0</v>
      </c>
      <c r="R584" s="359">
        <f t="shared" ca="1" si="281"/>
        <v>0</v>
      </c>
      <c r="S584" s="360">
        <f t="shared" ca="1" si="282"/>
        <v>0.42898953648292248</v>
      </c>
      <c r="T584" s="357">
        <f t="shared" ca="1" si="262"/>
        <v>4.2083873528974696</v>
      </c>
      <c r="U584" s="364">
        <f t="shared" ca="1" si="263"/>
        <v>0</v>
      </c>
      <c r="V584" s="359">
        <f t="shared" ca="1" si="264"/>
        <v>1.2257670753608867</v>
      </c>
      <c r="W584" s="357">
        <f t="shared" ca="1" si="265"/>
        <v>3.3949737590226086</v>
      </c>
      <c r="X584" s="343"/>
      <c r="Y584" s="367" t="str">
        <f t="shared" ca="1" si="283"/>
        <v/>
      </c>
      <c r="Z584" s="368" t="str">
        <f t="shared" ca="1" si="284"/>
        <v/>
      </c>
      <c r="AA584" s="369" t="str">
        <f t="shared" ca="1" si="285"/>
        <v/>
      </c>
      <c r="AB584" s="344"/>
      <c r="AC584" s="363" t="e">
        <f t="shared" ca="1" si="286"/>
        <v>#N/A</v>
      </c>
      <c r="AD584" s="376" t="e">
        <f t="shared" ca="1" si="287"/>
        <v>#N/A</v>
      </c>
      <c r="AE584" s="377" t="e">
        <f t="shared" ca="1" si="266"/>
        <v>#N/A</v>
      </c>
      <c r="AF584" s="344"/>
      <c r="AG584" s="359">
        <f t="shared" ca="1" si="288"/>
        <v>1.8569919415154326</v>
      </c>
      <c r="AH584" s="357">
        <f t="shared" ca="1" si="289"/>
        <v>-7.9138279157985734</v>
      </c>
    </row>
    <row r="585" spans="1:34">
      <c r="A585" s="402">
        <f t="shared" ca="1" si="267"/>
        <v>1E-4</v>
      </c>
      <c r="B585" s="357">
        <f t="shared" ca="1" si="268"/>
        <v>16.92319999999992</v>
      </c>
      <c r="C585" s="342"/>
      <c r="D585" s="359">
        <f t="shared" ca="1" si="269"/>
        <v>-0.70658040170138925</v>
      </c>
      <c r="E585" s="360">
        <f t="shared" ca="1" si="270"/>
        <v>-1.9277213776755371</v>
      </c>
      <c r="F585" s="357">
        <f t="shared" ca="1" si="271"/>
        <v>2.0531355469173893</v>
      </c>
      <c r="G585" s="359">
        <f t="shared" ca="1" si="272"/>
        <v>5.0046141043979153</v>
      </c>
      <c r="H585" s="360">
        <f t="shared" ca="1" si="273"/>
        <v>-55.830102035754962</v>
      </c>
      <c r="I585" s="357">
        <f t="shared" ca="1" si="274"/>
        <v>56.053960213857756</v>
      </c>
      <c r="J585" s="359">
        <f t="shared" ca="1" si="275"/>
        <v>184.26379383972827</v>
      </c>
      <c r="K585" s="360">
        <f t="shared" ca="1" si="276"/>
        <v>-6.2654627630964175</v>
      </c>
      <c r="L585" s="357">
        <f t="shared" ca="1" si="261"/>
        <v>184.37028432978462</v>
      </c>
      <c r="M585" s="359">
        <f t="shared" ca="1" si="277"/>
        <v>-1.4813952047240146</v>
      </c>
      <c r="N585" s="357">
        <f t="shared" ca="1" si="278"/>
        <v>-84.877693021604586</v>
      </c>
      <c r="O585" s="343"/>
      <c r="P585" s="363">
        <f t="shared" ca="1" si="279"/>
        <v>23</v>
      </c>
      <c r="Q585" s="357">
        <f t="shared" ca="1" si="280"/>
        <v>0</v>
      </c>
      <c r="R585" s="359">
        <f t="shared" ca="1" si="281"/>
        <v>0</v>
      </c>
      <c r="S585" s="360">
        <f t="shared" ca="1" si="282"/>
        <v>0.42898953648292248</v>
      </c>
      <c r="T585" s="357">
        <f t="shared" ca="1" si="262"/>
        <v>4.2083873528974696</v>
      </c>
      <c r="U585" s="364">
        <f t="shared" ca="1" si="263"/>
        <v>0</v>
      </c>
      <c r="V585" s="359">
        <f t="shared" ca="1" si="264"/>
        <v>1.2257677597069725</v>
      </c>
      <c r="W585" s="357">
        <f t="shared" ca="1" si="265"/>
        <v>3.3949981480763074</v>
      </c>
      <c r="X585" s="343"/>
      <c r="Y585" s="367" t="str">
        <f t="shared" ca="1" si="283"/>
        <v/>
      </c>
      <c r="Z585" s="368" t="str">
        <f t="shared" ca="1" si="284"/>
        <v/>
      </c>
      <c r="AA585" s="369" t="str">
        <f t="shared" ca="1" si="285"/>
        <v/>
      </c>
      <c r="AB585" s="344"/>
      <c r="AC585" s="363" t="e">
        <f t="shared" ca="1" si="286"/>
        <v>#N/A</v>
      </c>
      <c r="AD585" s="376" t="e">
        <f t="shared" ca="1" si="287"/>
        <v>#N/A</v>
      </c>
      <c r="AE585" s="377" t="e">
        <f t="shared" ca="1" si="266"/>
        <v>#N/A</v>
      </c>
      <c r="AF585" s="344"/>
      <c r="AG585" s="359">
        <f t="shared" ca="1" si="288"/>
        <v>1.8569364565078921</v>
      </c>
      <c r="AH585" s="357">
        <f t="shared" ca="1" si="289"/>
        <v>-7.9138847694429906</v>
      </c>
    </row>
    <row r="586" spans="1:34">
      <c r="A586" s="402">
        <f t="shared" ca="1" si="267"/>
        <v>1E-4</v>
      </c>
      <c r="B586" s="357">
        <f t="shared" ca="1" si="268"/>
        <v>16.923299999999919</v>
      </c>
      <c r="C586" s="342"/>
      <c r="D586" s="359">
        <f t="shared" ca="1" si="269"/>
        <v>-0.70657316112169566</v>
      </c>
      <c r="E586" s="360">
        <f t="shared" ca="1" si="270"/>
        <v>-1.9276636483351801</v>
      </c>
      <c r="F586" s="357">
        <f t="shared" ca="1" si="271"/>
        <v>2.0530788521463084</v>
      </c>
      <c r="G586" s="359">
        <f t="shared" ca="1" si="272"/>
        <v>5.0045434470818035</v>
      </c>
      <c r="H586" s="360">
        <f t="shared" ca="1" si="273"/>
        <v>-55.830294802119795</v>
      </c>
      <c r="I586" s="357">
        <f t="shared" ca="1" si="274"/>
        <v>56.054145902023464</v>
      </c>
      <c r="J586" s="359">
        <f t="shared" ca="1" si="275"/>
        <v>184.26379383972827</v>
      </c>
      <c r="K586" s="360">
        <f t="shared" ca="1" si="276"/>
        <v>-6.2710457829383115</v>
      </c>
      <c r="L586" s="357">
        <f t="shared" ca="1" si="261"/>
        <v>184.3704741422053</v>
      </c>
      <c r="M586" s="359">
        <f t="shared" ca="1" si="277"/>
        <v>-1.4813967672439334</v>
      </c>
      <c r="N586" s="357">
        <f t="shared" ca="1" si="278"/>
        <v>-84.877782547401338</v>
      </c>
      <c r="O586" s="343"/>
      <c r="P586" s="363">
        <f t="shared" ca="1" si="279"/>
        <v>23</v>
      </c>
      <c r="Q586" s="357">
        <f t="shared" ca="1" si="280"/>
        <v>0</v>
      </c>
      <c r="R586" s="359">
        <f t="shared" ca="1" si="281"/>
        <v>0</v>
      </c>
      <c r="S586" s="360">
        <f t="shared" ca="1" si="282"/>
        <v>0.42898953648292248</v>
      </c>
      <c r="T586" s="357">
        <f t="shared" ca="1" si="262"/>
        <v>4.2083873528974696</v>
      </c>
      <c r="U586" s="364">
        <f t="shared" ca="1" si="263"/>
        <v>0</v>
      </c>
      <c r="V586" s="359">
        <f t="shared" ca="1" si="264"/>
        <v>1.2257684440558028</v>
      </c>
      <c r="W586" s="357">
        <f t="shared" ca="1" si="265"/>
        <v>3.3950225365651465</v>
      </c>
      <c r="X586" s="343"/>
      <c r="Y586" s="367" t="str">
        <f t="shared" ca="1" si="283"/>
        <v/>
      </c>
      <c r="Z586" s="368" t="str">
        <f t="shared" ca="1" si="284"/>
        <v/>
      </c>
      <c r="AA586" s="369" t="str">
        <f t="shared" ca="1" si="285"/>
        <v/>
      </c>
      <c r="AB586" s="344"/>
      <c r="AC586" s="363" t="e">
        <f t="shared" ca="1" si="286"/>
        <v>#N/A</v>
      </c>
      <c r="AD586" s="376" t="e">
        <f t="shared" ca="1" si="287"/>
        <v>#N/A</v>
      </c>
      <c r="AE586" s="377" t="e">
        <f t="shared" ca="1" si="266"/>
        <v>#N/A</v>
      </c>
      <c r="AF586" s="344"/>
      <c r="AG586" s="359">
        <f t="shared" ca="1" si="288"/>
        <v>1.8568809727648432</v>
      </c>
      <c r="AH586" s="357">
        <f t="shared" ca="1" si="289"/>
        <v>-7.91394162177067</v>
      </c>
    </row>
    <row r="587" spans="1:34">
      <c r="A587" s="402">
        <f t="shared" ca="1" si="267"/>
        <v>1E-4</v>
      </c>
      <c r="B587" s="357">
        <f t="shared" ca="1" si="268"/>
        <v>16.923399999999919</v>
      </c>
      <c r="C587" s="342"/>
      <c r="D587" s="359">
        <f t="shared" ca="1" si="269"/>
        <v>-0.70656592050125289</v>
      </c>
      <c r="E587" s="360">
        <f t="shared" ca="1" si="270"/>
        <v>-1.9276059203325717</v>
      </c>
      <c r="F587" s="357">
        <f t="shared" ca="1" si="271"/>
        <v>2.0530221587004278</v>
      </c>
      <c r="G587" s="359">
        <f t="shared" ca="1" si="272"/>
        <v>5.0044727904897535</v>
      </c>
      <c r="H587" s="360">
        <f t="shared" ca="1" si="273"/>
        <v>-55.830487562711831</v>
      </c>
      <c r="I587" s="357">
        <f t="shared" ca="1" si="274"/>
        <v>56.05433158464092</v>
      </c>
      <c r="J587" s="359">
        <f t="shared" ca="1" si="275"/>
        <v>184.26379383972827</v>
      </c>
      <c r="K587" s="360">
        <f t="shared" ca="1" si="276"/>
        <v>-6.2766288220565531</v>
      </c>
      <c r="L587" s="357">
        <f t="shared" ca="1" si="261"/>
        <v>184.37066412414896</v>
      </c>
      <c r="M587" s="359">
        <f t="shared" ca="1" si="277"/>
        <v>-1.4813983297314401</v>
      </c>
      <c r="N587" s="357">
        <f t="shared" ca="1" si="278"/>
        <v>-84.877872071341017</v>
      </c>
      <c r="O587" s="343"/>
      <c r="P587" s="363">
        <f t="shared" ca="1" si="279"/>
        <v>23</v>
      </c>
      <c r="Q587" s="357">
        <f t="shared" ca="1" si="280"/>
        <v>0</v>
      </c>
      <c r="R587" s="359">
        <f t="shared" ca="1" si="281"/>
        <v>0</v>
      </c>
      <c r="S587" s="360">
        <f t="shared" ca="1" si="282"/>
        <v>0.42898953648292248</v>
      </c>
      <c r="T587" s="357">
        <f t="shared" ca="1" si="262"/>
        <v>4.2083873528974696</v>
      </c>
      <c r="U587" s="364">
        <f t="shared" ca="1" si="263"/>
        <v>0</v>
      </c>
      <c r="V587" s="359">
        <f t="shared" ca="1" si="264"/>
        <v>1.2257691284073784</v>
      </c>
      <c r="W587" s="357">
        <f t="shared" ca="1" si="265"/>
        <v>3.3950469244891348</v>
      </c>
      <c r="X587" s="343"/>
      <c r="Y587" s="367" t="str">
        <f t="shared" ca="1" si="283"/>
        <v/>
      </c>
      <c r="Z587" s="368" t="str">
        <f t="shared" ca="1" si="284"/>
        <v/>
      </c>
      <c r="AA587" s="369" t="str">
        <f t="shared" ca="1" si="285"/>
        <v/>
      </c>
      <c r="AB587" s="344"/>
      <c r="AC587" s="363" t="e">
        <f t="shared" ca="1" si="286"/>
        <v>#N/A</v>
      </c>
      <c r="AD587" s="376" t="e">
        <f t="shared" ca="1" si="287"/>
        <v>#N/A</v>
      </c>
      <c r="AE587" s="377" t="e">
        <f t="shared" ca="1" si="266"/>
        <v>#N/A</v>
      </c>
      <c r="AF587" s="344"/>
      <c r="AG587" s="359">
        <f t="shared" ca="1" si="288"/>
        <v>1.8568254902862726</v>
      </c>
      <c r="AH587" s="357">
        <f t="shared" ca="1" si="289"/>
        <v>-7.9139984727816266</v>
      </c>
    </row>
    <row r="588" spans="1:34">
      <c r="A588" s="402">
        <f t="shared" ca="1" si="267"/>
        <v>1E-4</v>
      </c>
      <c r="B588" s="357">
        <f t="shared" ca="1" si="268"/>
        <v>16.923499999999919</v>
      </c>
      <c r="C588" s="342"/>
      <c r="D588" s="359">
        <f t="shared" ca="1" si="269"/>
        <v>-0.70655867984006571</v>
      </c>
      <c r="E588" s="360">
        <f t="shared" ca="1" si="270"/>
        <v>-1.9275481936676888</v>
      </c>
      <c r="F588" s="357">
        <f t="shared" ca="1" si="271"/>
        <v>2.0529654665797246</v>
      </c>
      <c r="G588" s="359">
        <f t="shared" ca="1" si="272"/>
        <v>5.0044021346217695</v>
      </c>
      <c r="H588" s="360">
        <f t="shared" ca="1" si="273"/>
        <v>-55.830680317531197</v>
      </c>
      <c r="I588" s="357">
        <f t="shared" ca="1" si="274"/>
        <v>56.054517261710252</v>
      </c>
      <c r="J588" s="359">
        <f t="shared" ca="1" si="275"/>
        <v>184.26379383972827</v>
      </c>
      <c r="K588" s="360">
        <f t="shared" ca="1" si="276"/>
        <v>-6.2822118804505651</v>
      </c>
      <c r="L588" s="357">
        <f t="shared" ca="1" si="261"/>
        <v>184.37085427561689</v>
      </c>
      <c r="M588" s="359">
        <f t="shared" ca="1" si="277"/>
        <v>-1.4813998921865357</v>
      </c>
      <c r="N588" s="357">
        <f t="shared" ca="1" si="278"/>
        <v>-84.877961593423677</v>
      </c>
      <c r="O588" s="343"/>
      <c r="P588" s="363">
        <f t="shared" ca="1" si="279"/>
        <v>23</v>
      </c>
      <c r="Q588" s="357">
        <f t="shared" ca="1" si="280"/>
        <v>0</v>
      </c>
      <c r="R588" s="359">
        <f t="shared" ca="1" si="281"/>
        <v>0</v>
      </c>
      <c r="S588" s="360">
        <f t="shared" ca="1" si="282"/>
        <v>0.42898953648292248</v>
      </c>
      <c r="T588" s="357">
        <f t="shared" ca="1" si="262"/>
        <v>4.2083873528974696</v>
      </c>
      <c r="U588" s="364">
        <f t="shared" ca="1" si="263"/>
        <v>0</v>
      </c>
      <c r="V588" s="359">
        <f t="shared" ca="1" si="264"/>
        <v>1.2257698127616992</v>
      </c>
      <c r="W588" s="357">
        <f t="shared" ca="1" si="265"/>
        <v>3.3950713118482789</v>
      </c>
      <c r="X588" s="343"/>
      <c r="Y588" s="367" t="str">
        <f t="shared" ca="1" si="283"/>
        <v/>
      </c>
      <c r="Z588" s="368" t="str">
        <f t="shared" ca="1" si="284"/>
        <v/>
      </c>
      <c r="AA588" s="369" t="str">
        <f t="shared" ca="1" si="285"/>
        <v/>
      </c>
      <c r="AB588" s="344"/>
      <c r="AC588" s="363" t="e">
        <f t="shared" ca="1" si="286"/>
        <v>#N/A</v>
      </c>
      <c r="AD588" s="376" t="e">
        <f t="shared" ca="1" si="287"/>
        <v>#N/A</v>
      </c>
      <c r="AE588" s="377" t="e">
        <f t="shared" ca="1" si="266"/>
        <v>#N/A</v>
      </c>
      <c r="AF588" s="344"/>
      <c r="AG588" s="359">
        <f t="shared" ca="1" si="288"/>
        <v>1.8567700090721573</v>
      </c>
      <c r="AH588" s="357">
        <f t="shared" ca="1" si="289"/>
        <v>-7.9140553224758836</v>
      </c>
    </row>
    <row r="589" spans="1:34">
      <c r="A589" s="402">
        <f t="shared" ca="1" si="267"/>
        <v>1E-4</v>
      </c>
      <c r="B589" s="357">
        <f t="shared" ca="1" si="268"/>
        <v>16.923599999999919</v>
      </c>
      <c r="C589" s="342"/>
      <c r="D589" s="359">
        <f t="shared" ca="1" si="269"/>
        <v>-0.70655143913814034</v>
      </c>
      <c r="E589" s="360">
        <f t="shared" ca="1" si="270"/>
        <v>-1.9274904683405181</v>
      </c>
      <c r="F589" s="357">
        <f t="shared" ca="1" si="271"/>
        <v>2.0529087757841862</v>
      </c>
      <c r="G589" s="359">
        <f t="shared" ca="1" si="272"/>
        <v>5.0043314794778553</v>
      </c>
      <c r="H589" s="360">
        <f t="shared" ca="1" si="273"/>
        <v>-55.830873066578029</v>
      </c>
      <c r="I589" s="357">
        <f t="shared" ca="1" si="274"/>
        <v>56.054702933231582</v>
      </c>
      <c r="J589" s="359">
        <f t="shared" ca="1" si="275"/>
        <v>184.26379383972827</v>
      </c>
      <c r="K589" s="360">
        <f t="shared" ca="1" si="276"/>
        <v>-6.287794958119771</v>
      </c>
      <c r="L589" s="357">
        <f t="shared" ca="1" si="261"/>
        <v>184.37104459661023</v>
      </c>
      <c r="M589" s="359">
        <f t="shared" ca="1" si="277"/>
        <v>-1.4814014546092207</v>
      </c>
      <c r="N589" s="357">
        <f t="shared" ca="1" si="278"/>
        <v>-84.878051113649335</v>
      </c>
      <c r="O589" s="343"/>
      <c r="P589" s="363">
        <f t="shared" ca="1" si="279"/>
        <v>23</v>
      </c>
      <c r="Q589" s="357">
        <f t="shared" ca="1" si="280"/>
        <v>0</v>
      </c>
      <c r="R589" s="359">
        <f t="shared" ca="1" si="281"/>
        <v>0</v>
      </c>
      <c r="S589" s="360">
        <f t="shared" ca="1" si="282"/>
        <v>0.42898953648292248</v>
      </c>
      <c r="T589" s="357">
        <f t="shared" ca="1" si="262"/>
        <v>4.2083873528974696</v>
      </c>
      <c r="U589" s="364">
        <f t="shared" ca="1" si="263"/>
        <v>0</v>
      </c>
      <c r="V589" s="359">
        <f t="shared" ca="1" si="264"/>
        <v>1.2257704971187646</v>
      </c>
      <c r="W589" s="357">
        <f t="shared" ca="1" si="265"/>
        <v>3.3950956986425851</v>
      </c>
      <c r="X589" s="343"/>
      <c r="Y589" s="367" t="str">
        <f t="shared" ca="1" si="283"/>
        <v/>
      </c>
      <c r="Z589" s="368" t="str">
        <f t="shared" ca="1" si="284"/>
        <v/>
      </c>
      <c r="AA589" s="369" t="str">
        <f t="shared" ca="1" si="285"/>
        <v/>
      </c>
      <c r="AB589" s="344"/>
      <c r="AC589" s="363" t="e">
        <f t="shared" ca="1" si="286"/>
        <v>#N/A</v>
      </c>
      <c r="AD589" s="376" t="e">
        <f t="shared" ca="1" si="287"/>
        <v>#N/A</v>
      </c>
      <c r="AE589" s="377" t="e">
        <f t="shared" ca="1" si="266"/>
        <v>#N/A</v>
      </c>
      <c r="AF589" s="344"/>
      <c r="AG589" s="359">
        <f t="shared" ca="1" si="288"/>
        <v>1.8567145291224909</v>
      </c>
      <c r="AH589" s="357">
        <f t="shared" ca="1" si="289"/>
        <v>-7.9141121708534543</v>
      </c>
    </row>
    <row r="590" spans="1:34">
      <c r="A590" s="402">
        <f t="shared" ca="1" si="267"/>
        <v>1E-4</v>
      </c>
      <c r="B590" s="357">
        <f t="shared" ca="1" si="268"/>
        <v>16.923699999999918</v>
      </c>
      <c r="C590" s="342"/>
      <c r="D590" s="359">
        <f t="shared" ca="1" si="269"/>
        <v>-0.70654419839548466</v>
      </c>
      <c r="E590" s="360">
        <f t="shared" ca="1" si="270"/>
        <v>-1.9274327443510417</v>
      </c>
      <c r="F590" s="357">
        <f t="shared" ca="1" si="271"/>
        <v>2.0528520863137962</v>
      </c>
      <c r="G590" s="359">
        <f t="shared" ca="1" si="272"/>
        <v>5.0042608250580161</v>
      </c>
      <c r="H590" s="360">
        <f t="shared" ca="1" si="273"/>
        <v>-55.831065809852461</v>
      </c>
      <c r="I590" s="357">
        <f t="shared" ca="1" si="274"/>
        <v>56.054888599205036</v>
      </c>
      <c r="J590" s="359">
        <f t="shared" ca="1" si="275"/>
        <v>184.26379383972827</v>
      </c>
      <c r="K590" s="360">
        <f t="shared" ca="1" si="276"/>
        <v>-6.2933780550635925</v>
      </c>
      <c r="L590" s="357">
        <f t="shared" ca="1" si="261"/>
        <v>184.37123508713023</v>
      </c>
      <c r="M590" s="359">
        <f t="shared" ca="1" si="277"/>
        <v>-1.4814030169994963</v>
      </c>
      <c r="N590" s="357">
        <f t="shared" ca="1" si="278"/>
        <v>-84.878140632018088</v>
      </c>
      <c r="O590" s="343"/>
      <c r="P590" s="363">
        <f t="shared" ca="1" si="279"/>
        <v>23</v>
      </c>
      <c r="Q590" s="357">
        <f t="shared" ca="1" si="280"/>
        <v>0</v>
      </c>
      <c r="R590" s="359">
        <f t="shared" ca="1" si="281"/>
        <v>0</v>
      </c>
      <c r="S590" s="360">
        <f t="shared" ca="1" si="282"/>
        <v>0.42898953648292248</v>
      </c>
      <c r="T590" s="357">
        <f t="shared" ca="1" si="262"/>
        <v>4.2083873528974696</v>
      </c>
      <c r="U590" s="364">
        <f t="shared" ca="1" si="263"/>
        <v>0</v>
      </c>
      <c r="V590" s="359">
        <f t="shared" ca="1" si="264"/>
        <v>1.225771181478575</v>
      </c>
      <c r="W590" s="357">
        <f t="shared" ca="1" si="265"/>
        <v>3.3951200848720622</v>
      </c>
      <c r="X590" s="343"/>
      <c r="Y590" s="367" t="str">
        <f t="shared" ca="1" si="283"/>
        <v/>
      </c>
      <c r="Z590" s="368" t="str">
        <f t="shared" ca="1" si="284"/>
        <v/>
      </c>
      <c r="AA590" s="369" t="str">
        <f t="shared" ca="1" si="285"/>
        <v/>
      </c>
      <c r="AB590" s="344"/>
      <c r="AC590" s="363" t="e">
        <f t="shared" ca="1" si="286"/>
        <v>#N/A</v>
      </c>
      <c r="AD590" s="376" t="e">
        <f t="shared" ca="1" si="287"/>
        <v>#N/A</v>
      </c>
      <c r="AE590" s="377" t="e">
        <f t="shared" ca="1" si="266"/>
        <v>#N/A</v>
      </c>
      <c r="AF590" s="344"/>
      <c r="AG590" s="359">
        <f t="shared" ca="1" si="288"/>
        <v>1.8566590504372549</v>
      </c>
      <c r="AH590" s="357">
        <f t="shared" ca="1" si="289"/>
        <v>-7.9141690179143556</v>
      </c>
    </row>
    <row r="591" spans="1:34">
      <c r="A591" s="402">
        <f t="shared" ca="1" si="267"/>
        <v>1E-4</v>
      </c>
      <c r="B591" s="357">
        <f t="shared" ca="1" si="268"/>
        <v>16.923799999999918</v>
      </c>
      <c r="C591" s="342"/>
      <c r="D591" s="359">
        <f t="shared" ca="1" si="269"/>
        <v>-0.70653695761210344</v>
      </c>
      <c r="E591" s="360">
        <f t="shared" ca="1" si="270"/>
        <v>-1.927375021699242</v>
      </c>
      <c r="F591" s="357">
        <f t="shared" ca="1" si="271"/>
        <v>2.0527953981685365</v>
      </c>
      <c r="G591" s="359">
        <f t="shared" ca="1" si="272"/>
        <v>5.0041901713622545</v>
      </c>
      <c r="H591" s="360">
        <f t="shared" ca="1" si="273"/>
        <v>-55.831258547354629</v>
      </c>
      <c r="I591" s="357">
        <f t="shared" ca="1" si="274"/>
        <v>56.05507425963075</v>
      </c>
      <c r="J591" s="359">
        <f t="shared" ca="1" si="275"/>
        <v>184.26379383972827</v>
      </c>
      <c r="K591" s="360">
        <f t="shared" ca="1" si="276"/>
        <v>-6.2989611712814533</v>
      </c>
      <c r="L591" s="357">
        <f t="shared" ca="1" si="261"/>
        <v>184.37142574717808</v>
      </c>
      <c r="M591" s="359">
        <f t="shared" ca="1" si="277"/>
        <v>-1.4814045793573636</v>
      </c>
      <c r="N591" s="357">
        <f t="shared" ca="1" si="278"/>
        <v>-84.878230148529966</v>
      </c>
      <c r="O591" s="343"/>
      <c r="P591" s="363">
        <f t="shared" ca="1" si="279"/>
        <v>23</v>
      </c>
      <c r="Q591" s="357">
        <f t="shared" ca="1" si="280"/>
        <v>0</v>
      </c>
      <c r="R591" s="359">
        <f t="shared" ca="1" si="281"/>
        <v>0</v>
      </c>
      <c r="S591" s="360">
        <f t="shared" ca="1" si="282"/>
        <v>0.42898953648292248</v>
      </c>
      <c r="T591" s="357">
        <f t="shared" ca="1" si="262"/>
        <v>4.2083873528974696</v>
      </c>
      <c r="U591" s="364">
        <f t="shared" ca="1" si="263"/>
        <v>0</v>
      </c>
      <c r="V591" s="359">
        <f t="shared" ca="1" si="264"/>
        <v>1.2257718658411301</v>
      </c>
      <c r="W591" s="357">
        <f t="shared" ca="1" si="265"/>
        <v>3.3951444705367182</v>
      </c>
      <c r="X591" s="343"/>
      <c r="Y591" s="367" t="str">
        <f t="shared" ca="1" si="283"/>
        <v/>
      </c>
      <c r="Z591" s="368" t="str">
        <f t="shared" ca="1" si="284"/>
        <v/>
      </c>
      <c r="AA591" s="369" t="str">
        <f t="shared" ca="1" si="285"/>
        <v/>
      </c>
      <c r="AB591" s="344"/>
      <c r="AC591" s="363" t="e">
        <f t="shared" ca="1" si="286"/>
        <v>#N/A</v>
      </c>
      <c r="AD591" s="376" t="e">
        <f t="shared" ca="1" si="287"/>
        <v>#N/A</v>
      </c>
      <c r="AE591" s="377" t="e">
        <f t="shared" ca="1" si="266"/>
        <v>#N/A</v>
      </c>
      <c r="AF591" s="344"/>
      <c r="AG591" s="359">
        <f t="shared" ca="1" si="288"/>
        <v>1.8566035730164341</v>
      </c>
      <c r="AH591" s="357">
        <f t="shared" ca="1" si="289"/>
        <v>-7.914225863658606</v>
      </c>
    </row>
    <row r="592" spans="1:34">
      <c r="A592" s="402">
        <f t="shared" ca="1" si="267"/>
        <v>1E-4</v>
      </c>
      <c r="B592" s="357">
        <f t="shared" ca="1" si="268"/>
        <v>16.923899999999918</v>
      </c>
      <c r="C592" s="342"/>
      <c r="D592" s="359">
        <f t="shared" ca="1" si="269"/>
        <v>-0.70652971678800125</v>
      </c>
      <c r="E592" s="360">
        <f t="shared" ca="1" si="270"/>
        <v>-1.9273173003850967</v>
      </c>
      <c r="F592" s="357">
        <f t="shared" ca="1" si="271"/>
        <v>2.0527387113483857</v>
      </c>
      <c r="G592" s="359">
        <f t="shared" ca="1" si="272"/>
        <v>5.004119518390576</v>
      </c>
      <c r="H592" s="360">
        <f t="shared" ca="1" si="273"/>
        <v>-55.831451279084668</v>
      </c>
      <c r="I592" s="357">
        <f t="shared" ca="1" si="274"/>
        <v>56.055259914508852</v>
      </c>
      <c r="J592" s="359">
        <f t="shared" ca="1" si="275"/>
        <v>184.26379383972827</v>
      </c>
      <c r="K592" s="360">
        <f t="shared" ca="1" si="276"/>
        <v>-6.3045443067727751</v>
      </c>
      <c r="L592" s="357">
        <f t="shared" ca="1" si="261"/>
        <v>184.37161657675495</v>
      </c>
      <c r="M592" s="359">
        <f t="shared" ca="1" si="277"/>
        <v>-1.4814061416828233</v>
      </c>
      <c r="N592" s="357">
        <f t="shared" ca="1" si="278"/>
        <v>-84.878319663185039</v>
      </c>
      <c r="O592" s="343"/>
      <c r="P592" s="363">
        <f t="shared" ca="1" si="279"/>
        <v>23</v>
      </c>
      <c r="Q592" s="357">
        <f t="shared" ca="1" si="280"/>
        <v>0</v>
      </c>
      <c r="R592" s="359">
        <f t="shared" ca="1" si="281"/>
        <v>0</v>
      </c>
      <c r="S592" s="360">
        <f t="shared" ca="1" si="282"/>
        <v>0.42898953648292248</v>
      </c>
      <c r="T592" s="357">
        <f t="shared" ca="1" si="262"/>
        <v>4.2083873528974696</v>
      </c>
      <c r="U592" s="364">
        <f t="shared" ca="1" si="263"/>
        <v>0</v>
      </c>
      <c r="V592" s="359">
        <f t="shared" ca="1" si="264"/>
        <v>1.2257725502064298</v>
      </c>
      <c r="W592" s="357">
        <f t="shared" ca="1" si="265"/>
        <v>3.3951688556365611</v>
      </c>
      <c r="X592" s="343"/>
      <c r="Y592" s="367" t="str">
        <f t="shared" ca="1" si="283"/>
        <v/>
      </c>
      <c r="Z592" s="368" t="str">
        <f t="shared" ca="1" si="284"/>
        <v/>
      </c>
      <c r="AA592" s="369" t="str">
        <f t="shared" ca="1" si="285"/>
        <v/>
      </c>
      <c r="AB592" s="344"/>
      <c r="AC592" s="363" t="e">
        <f t="shared" ca="1" si="286"/>
        <v>#N/A</v>
      </c>
      <c r="AD592" s="376" t="e">
        <f t="shared" ca="1" si="287"/>
        <v>#N/A</v>
      </c>
      <c r="AE592" s="377" t="e">
        <f t="shared" ca="1" si="266"/>
        <v>#N/A</v>
      </c>
      <c r="AF592" s="344"/>
      <c r="AG592" s="359">
        <f t="shared" ca="1" si="288"/>
        <v>1.8565480968600108</v>
      </c>
      <c r="AH592" s="357">
        <f t="shared" ca="1" si="289"/>
        <v>-7.9142827080862252</v>
      </c>
    </row>
    <row r="593" spans="1:34">
      <c r="A593" s="402">
        <f t="shared" ca="1" si="267"/>
        <v>1E-4</v>
      </c>
      <c r="B593" s="357">
        <f t="shared" ca="1" si="268"/>
        <v>16.923999999999918</v>
      </c>
      <c r="C593" s="342"/>
      <c r="D593" s="359">
        <f t="shared" ca="1" si="269"/>
        <v>-0.70652247592318662</v>
      </c>
      <c r="E593" s="360">
        <f t="shared" ca="1" si="270"/>
        <v>-1.927259580408589</v>
      </c>
      <c r="F593" s="357">
        <f t="shared" ca="1" si="271"/>
        <v>2.0526820258533274</v>
      </c>
      <c r="G593" s="359">
        <f t="shared" ca="1" si="272"/>
        <v>5.0040488661429841</v>
      </c>
      <c r="H593" s="360">
        <f t="shared" ca="1" si="273"/>
        <v>-55.831644005042712</v>
      </c>
      <c r="I593" s="357">
        <f t="shared" ca="1" si="274"/>
        <v>56.055445563839456</v>
      </c>
      <c r="J593" s="359">
        <f t="shared" ca="1" si="275"/>
        <v>184.26379383972827</v>
      </c>
      <c r="K593" s="360">
        <f t="shared" ca="1" si="276"/>
        <v>-6.3101274615369816</v>
      </c>
      <c r="L593" s="357">
        <f t="shared" ca="1" si="261"/>
        <v>184.37180757586211</v>
      </c>
      <c r="M593" s="359">
        <f t="shared" ca="1" si="277"/>
        <v>-1.4814077039758762</v>
      </c>
      <c r="N593" s="357">
        <f t="shared" ca="1" si="278"/>
        <v>-84.878409175983322</v>
      </c>
      <c r="O593" s="343"/>
      <c r="P593" s="363">
        <f t="shared" ca="1" si="279"/>
        <v>23</v>
      </c>
      <c r="Q593" s="357">
        <f t="shared" ca="1" si="280"/>
        <v>0</v>
      </c>
      <c r="R593" s="359">
        <f t="shared" ca="1" si="281"/>
        <v>0</v>
      </c>
      <c r="S593" s="360">
        <f t="shared" ca="1" si="282"/>
        <v>0.42898953648292248</v>
      </c>
      <c r="T593" s="357">
        <f t="shared" ca="1" si="262"/>
        <v>4.2083873528974696</v>
      </c>
      <c r="U593" s="364">
        <f t="shared" ca="1" si="263"/>
        <v>0</v>
      </c>
      <c r="V593" s="359">
        <f t="shared" ca="1" si="264"/>
        <v>1.2257732345744743</v>
      </c>
      <c r="W593" s="357">
        <f t="shared" ca="1" si="265"/>
        <v>3.3951932401715967</v>
      </c>
      <c r="X593" s="343"/>
      <c r="Y593" s="367" t="str">
        <f t="shared" ca="1" si="283"/>
        <v/>
      </c>
      <c r="Z593" s="368" t="str">
        <f t="shared" ca="1" si="284"/>
        <v/>
      </c>
      <c r="AA593" s="369" t="str">
        <f t="shared" ca="1" si="285"/>
        <v/>
      </c>
      <c r="AB593" s="344"/>
      <c r="AC593" s="363" t="e">
        <f t="shared" ca="1" si="286"/>
        <v>#N/A</v>
      </c>
      <c r="AD593" s="376" t="e">
        <f t="shared" ca="1" si="287"/>
        <v>#N/A</v>
      </c>
      <c r="AE593" s="377" t="e">
        <f t="shared" ca="1" si="266"/>
        <v>#N/A</v>
      </c>
      <c r="AF593" s="344"/>
      <c r="AG593" s="359">
        <f t="shared" ca="1" si="288"/>
        <v>1.856492621967968</v>
      </c>
      <c r="AH593" s="357">
        <f t="shared" ca="1" si="289"/>
        <v>-7.9143395511972319</v>
      </c>
    </row>
    <row r="594" spans="1:34">
      <c r="A594" s="402">
        <f t="shared" ca="1" si="267"/>
        <v>1E-4</v>
      </c>
      <c r="B594" s="357">
        <f t="shared" ca="1" si="268"/>
        <v>16.924099999999918</v>
      </c>
      <c r="C594" s="342"/>
      <c r="D594" s="359">
        <f t="shared" ca="1" si="269"/>
        <v>-0.70651523501766489</v>
      </c>
      <c r="E594" s="360">
        <f t="shared" ca="1" si="270"/>
        <v>-1.9272018617697055</v>
      </c>
      <c r="F594" s="357">
        <f t="shared" ca="1" si="271"/>
        <v>2.0526253416833491</v>
      </c>
      <c r="G594" s="359">
        <f t="shared" ca="1" si="272"/>
        <v>5.0039782146194822</v>
      </c>
      <c r="H594" s="360">
        <f t="shared" ca="1" si="273"/>
        <v>-55.831836725228889</v>
      </c>
      <c r="I594" s="357">
        <f t="shared" ca="1" si="274"/>
        <v>56.055631207622696</v>
      </c>
      <c r="J594" s="359">
        <f t="shared" ca="1" si="275"/>
        <v>184.26379383972827</v>
      </c>
      <c r="K594" s="360">
        <f t="shared" ca="1" si="276"/>
        <v>-6.3157106355734953</v>
      </c>
      <c r="L594" s="357">
        <f t="shared" ca="1" si="261"/>
        <v>184.37199874450073</v>
      </c>
      <c r="M594" s="359">
        <f t="shared" ca="1" si="277"/>
        <v>-1.4814092662365237</v>
      </c>
      <c r="N594" s="357">
        <f t="shared" ca="1" si="278"/>
        <v>-84.878498686924928</v>
      </c>
      <c r="O594" s="343"/>
      <c r="P594" s="363">
        <f t="shared" ca="1" si="279"/>
        <v>23</v>
      </c>
      <c r="Q594" s="357">
        <f t="shared" ca="1" si="280"/>
        <v>0</v>
      </c>
      <c r="R594" s="359">
        <f t="shared" ca="1" si="281"/>
        <v>0</v>
      </c>
      <c r="S594" s="360">
        <f t="shared" ca="1" si="282"/>
        <v>0.42898953648292248</v>
      </c>
      <c r="T594" s="357">
        <f t="shared" ca="1" si="262"/>
        <v>4.2083873528974696</v>
      </c>
      <c r="U594" s="364">
        <f t="shared" ca="1" si="263"/>
        <v>0</v>
      </c>
      <c r="V594" s="359">
        <f t="shared" ca="1" si="264"/>
        <v>1.2257739189452634</v>
      </c>
      <c r="W594" s="357">
        <f t="shared" ca="1" si="265"/>
        <v>3.3952176241418357</v>
      </c>
      <c r="X594" s="343"/>
      <c r="Y594" s="367" t="str">
        <f t="shared" ca="1" si="283"/>
        <v/>
      </c>
      <c r="Z594" s="368" t="str">
        <f t="shared" ca="1" si="284"/>
        <v/>
      </c>
      <c r="AA594" s="369" t="str">
        <f t="shared" ca="1" si="285"/>
        <v/>
      </c>
      <c r="AB594" s="344"/>
      <c r="AC594" s="363" t="e">
        <f t="shared" ca="1" si="286"/>
        <v>#N/A</v>
      </c>
      <c r="AD594" s="376" t="e">
        <f t="shared" ca="1" si="287"/>
        <v>#N/A</v>
      </c>
      <c r="AE594" s="377" t="e">
        <f t="shared" ca="1" si="266"/>
        <v>#N/A</v>
      </c>
      <c r="AF594" s="344"/>
      <c r="AG594" s="359">
        <f t="shared" ca="1" si="288"/>
        <v>1.8564371483402962</v>
      </c>
      <c r="AH594" s="357">
        <f t="shared" ca="1" si="289"/>
        <v>-7.9143963929916392</v>
      </c>
    </row>
    <row r="595" spans="1:34">
      <c r="A595" s="402">
        <f t="shared" ca="1" si="267"/>
        <v>1E-4</v>
      </c>
      <c r="B595" s="357">
        <f t="shared" ca="1" si="268"/>
        <v>16.924199999999917</v>
      </c>
      <c r="C595" s="342"/>
      <c r="D595" s="359">
        <f t="shared" ca="1" si="269"/>
        <v>-0.70650799407143994</v>
      </c>
      <c r="E595" s="360">
        <f t="shared" ca="1" si="270"/>
        <v>-1.9271441444684205</v>
      </c>
      <c r="F595" s="357">
        <f t="shared" ca="1" si="271"/>
        <v>2.0525686588384251</v>
      </c>
      <c r="G595" s="359">
        <f t="shared" ca="1" si="272"/>
        <v>5.003907563820075</v>
      </c>
      <c r="H595" s="360">
        <f t="shared" ca="1" si="273"/>
        <v>-55.832029439643335</v>
      </c>
      <c r="I595" s="357">
        <f t="shared" ca="1" si="274"/>
        <v>56.055816845858693</v>
      </c>
      <c r="J595" s="359">
        <f t="shared" ca="1" si="275"/>
        <v>184.26379383972827</v>
      </c>
      <c r="K595" s="360">
        <f t="shared" ca="1" si="276"/>
        <v>-6.3212938288817391</v>
      </c>
      <c r="L595" s="357">
        <f t="shared" ca="1" si="261"/>
        <v>184.37219008267203</v>
      </c>
      <c r="M595" s="359">
        <f t="shared" ca="1" si="277"/>
        <v>-1.4814108284647662</v>
      </c>
      <c r="N595" s="357">
        <f t="shared" ca="1" si="278"/>
        <v>-84.878588196009858</v>
      </c>
      <c r="O595" s="343"/>
      <c r="P595" s="363">
        <f t="shared" ca="1" si="279"/>
        <v>23</v>
      </c>
      <c r="Q595" s="357">
        <f t="shared" ca="1" si="280"/>
        <v>0</v>
      </c>
      <c r="R595" s="359">
        <f t="shared" ca="1" si="281"/>
        <v>0</v>
      </c>
      <c r="S595" s="360">
        <f t="shared" ca="1" si="282"/>
        <v>0.42898953648292248</v>
      </c>
      <c r="T595" s="357">
        <f t="shared" ca="1" si="262"/>
        <v>4.2083873528974696</v>
      </c>
      <c r="U595" s="364">
        <f t="shared" ca="1" si="263"/>
        <v>0</v>
      </c>
      <c r="V595" s="359">
        <f t="shared" ca="1" si="264"/>
        <v>1.2257746033187971</v>
      </c>
      <c r="W595" s="357">
        <f t="shared" ca="1" si="265"/>
        <v>3.395242007547282</v>
      </c>
      <c r="X595" s="343"/>
      <c r="Y595" s="367" t="str">
        <f t="shared" ca="1" si="283"/>
        <v/>
      </c>
      <c r="Z595" s="368" t="str">
        <f t="shared" ca="1" si="284"/>
        <v/>
      </c>
      <c r="AA595" s="369" t="str">
        <f t="shared" ca="1" si="285"/>
        <v/>
      </c>
      <c r="AB595" s="344"/>
      <c r="AC595" s="363" t="e">
        <f t="shared" ca="1" si="286"/>
        <v>#N/A</v>
      </c>
      <c r="AD595" s="376" t="e">
        <f t="shared" ca="1" si="287"/>
        <v>#N/A</v>
      </c>
      <c r="AE595" s="377" t="e">
        <f t="shared" ca="1" si="266"/>
        <v>#N/A</v>
      </c>
      <c r="AF595" s="344"/>
      <c r="AG595" s="359">
        <f t="shared" ca="1" si="288"/>
        <v>1.8563816759769729</v>
      </c>
      <c r="AH595" s="357">
        <f t="shared" ca="1" si="289"/>
        <v>-7.9144532334694713</v>
      </c>
    </row>
    <row r="596" spans="1:34">
      <c r="A596" s="402">
        <f t="shared" ca="1" si="267"/>
        <v>1E-4</v>
      </c>
      <c r="B596" s="357">
        <f t="shared" ca="1" si="268"/>
        <v>16.924299999999917</v>
      </c>
      <c r="C596" s="342"/>
      <c r="D596" s="359">
        <f t="shared" ca="1" si="269"/>
        <v>-0.70650075308452098</v>
      </c>
      <c r="E596" s="360">
        <f t="shared" ca="1" si="270"/>
        <v>-1.9270864285047224</v>
      </c>
      <c r="F596" s="357">
        <f t="shared" ca="1" si="271"/>
        <v>2.0525119773185447</v>
      </c>
      <c r="G596" s="359">
        <f t="shared" ca="1" si="272"/>
        <v>5.0038369137447667</v>
      </c>
      <c r="H596" s="360">
        <f t="shared" ca="1" si="273"/>
        <v>-55.832222148286185</v>
      </c>
      <c r="I596" s="357">
        <f t="shared" ca="1" si="274"/>
        <v>56.05600247854759</v>
      </c>
      <c r="J596" s="359">
        <f t="shared" ca="1" si="275"/>
        <v>184.26379383972827</v>
      </c>
      <c r="K596" s="360">
        <f t="shared" ca="1" si="276"/>
        <v>-6.3268770414611355</v>
      </c>
      <c r="L596" s="357">
        <f t="shared" ca="1" si="261"/>
        <v>184.37238159037716</v>
      </c>
      <c r="M596" s="359">
        <f t="shared" ca="1" si="277"/>
        <v>-1.4814123906606051</v>
      </c>
      <c r="N596" s="357">
        <f t="shared" ca="1" si="278"/>
        <v>-84.87867770323821</v>
      </c>
      <c r="O596" s="343"/>
      <c r="P596" s="363">
        <f t="shared" ca="1" si="279"/>
        <v>23</v>
      </c>
      <c r="Q596" s="357">
        <f t="shared" ca="1" si="280"/>
        <v>0</v>
      </c>
      <c r="R596" s="359">
        <f t="shared" ca="1" si="281"/>
        <v>0</v>
      </c>
      <c r="S596" s="360">
        <f t="shared" ca="1" si="282"/>
        <v>0.42898953648292248</v>
      </c>
      <c r="T596" s="357">
        <f t="shared" ca="1" si="262"/>
        <v>4.2083873528974696</v>
      </c>
      <c r="U596" s="364">
        <f t="shared" ca="1" si="263"/>
        <v>0</v>
      </c>
      <c r="V596" s="359">
        <f t="shared" ca="1" si="264"/>
        <v>1.2257752876950752</v>
      </c>
      <c r="W596" s="357">
        <f t="shared" ca="1" si="265"/>
        <v>3.3952663903879468</v>
      </c>
      <c r="X596" s="343"/>
      <c r="Y596" s="367" t="str">
        <f t="shared" ca="1" si="283"/>
        <v/>
      </c>
      <c r="Z596" s="368" t="str">
        <f t="shared" ca="1" si="284"/>
        <v/>
      </c>
      <c r="AA596" s="369" t="str">
        <f t="shared" ca="1" si="285"/>
        <v/>
      </c>
      <c r="AB596" s="344"/>
      <c r="AC596" s="363" t="e">
        <f t="shared" ca="1" si="286"/>
        <v>#N/A</v>
      </c>
      <c r="AD596" s="376" t="e">
        <f t="shared" ca="1" si="287"/>
        <v>#N/A</v>
      </c>
      <c r="AE596" s="377" t="e">
        <f t="shared" ca="1" si="266"/>
        <v>#N/A</v>
      </c>
      <c r="AF596" s="344"/>
      <c r="AG596" s="359">
        <f t="shared" ca="1" si="288"/>
        <v>1.8563262048779903</v>
      </c>
      <c r="AH596" s="357">
        <f t="shared" ca="1" si="289"/>
        <v>-7.9145100726307396</v>
      </c>
    </row>
    <row r="597" spans="1:34">
      <c r="A597" s="402">
        <f t="shared" ca="1" si="267"/>
        <v>1E-4</v>
      </c>
      <c r="B597" s="357">
        <f t="shared" ca="1" si="268"/>
        <v>16.924399999999917</v>
      </c>
      <c r="C597" s="342"/>
      <c r="D597" s="359">
        <f t="shared" ca="1" si="269"/>
        <v>-0.70649351205691124</v>
      </c>
      <c r="E597" s="360">
        <f t="shared" ca="1" si="270"/>
        <v>-1.9270287138785873</v>
      </c>
      <c r="F597" s="357">
        <f t="shared" ca="1" si="271"/>
        <v>2.0524552971236845</v>
      </c>
      <c r="G597" s="359">
        <f t="shared" ca="1" si="272"/>
        <v>5.003766264393561</v>
      </c>
      <c r="H597" s="360">
        <f t="shared" ca="1" si="273"/>
        <v>-55.832414851157573</v>
      </c>
      <c r="I597" s="357">
        <f t="shared" ca="1" si="274"/>
        <v>56.056188105689493</v>
      </c>
      <c r="J597" s="359">
        <f t="shared" ca="1" si="275"/>
        <v>184.26379383972827</v>
      </c>
      <c r="K597" s="360">
        <f t="shared" ca="1" si="276"/>
        <v>-6.3324602733111073</v>
      </c>
      <c r="L597" s="357">
        <f t="shared" ca="1" si="261"/>
        <v>184.37257326761741</v>
      </c>
      <c r="M597" s="359">
        <f t="shared" ca="1" si="277"/>
        <v>-1.4814139528240411</v>
      </c>
      <c r="N597" s="357">
        <f t="shared" ca="1" si="278"/>
        <v>-84.87876720861</v>
      </c>
      <c r="O597" s="343"/>
      <c r="P597" s="363">
        <f t="shared" ca="1" si="279"/>
        <v>23</v>
      </c>
      <c r="Q597" s="357">
        <f t="shared" ca="1" si="280"/>
        <v>0</v>
      </c>
      <c r="R597" s="359">
        <f t="shared" ca="1" si="281"/>
        <v>0</v>
      </c>
      <c r="S597" s="360">
        <f t="shared" ca="1" si="282"/>
        <v>0.42898953648292248</v>
      </c>
      <c r="T597" s="357">
        <f t="shared" ca="1" si="262"/>
        <v>4.2083873528974696</v>
      </c>
      <c r="U597" s="364">
        <f t="shared" ca="1" si="263"/>
        <v>0</v>
      </c>
      <c r="V597" s="359">
        <f t="shared" ca="1" si="264"/>
        <v>1.2257759720740975</v>
      </c>
      <c r="W597" s="357">
        <f t="shared" ca="1" si="265"/>
        <v>3.3952907726638344</v>
      </c>
      <c r="X597" s="343"/>
      <c r="Y597" s="367" t="str">
        <f t="shared" ca="1" si="283"/>
        <v/>
      </c>
      <c r="Z597" s="368" t="str">
        <f t="shared" ca="1" si="284"/>
        <v/>
      </c>
      <c r="AA597" s="369" t="str">
        <f t="shared" ca="1" si="285"/>
        <v/>
      </c>
      <c r="AB597" s="344"/>
      <c r="AC597" s="363" t="e">
        <f t="shared" ca="1" si="286"/>
        <v>#N/A</v>
      </c>
      <c r="AD597" s="376" t="e">
        <f t="shared" ca="1" si="287"/>
        <v>#N/A</v>
      </c>
      <c r="AE597" s="377" t="e">
        <f t="shared" ca="1" si="266"/>
        <v>#N/A</v>
      </c>
      <c r="AF597" s="344"/>
      <c r="AG597" s="359">
        <f t="shared" ca="1" si="288"/>
        <v>1.8562707350433243</v>
      </c>
      <c r="AH597" s="357">
        <f t="shared" ca="1" si="289"/>
        <v>-7.9145669104754681</v>
      </c>
    </row>
    <row r="598" spans="1:34">
      <c r="A598" s="402">
        <f t="shared" ca="1" si="267"/>
        <v>1E-4</v>
      </c>
      <c r="B598" s="357">
        <f t="shared" ca="1" si="268"/>
        <v>16.924499999999917</v>
      </c>
      <c r="C598" s="342"/>
      <c r="D598" s="359">
        <f t="shared" ca="1" si="269"/>
        <v>-0.70648627098861827</v>
      </c>
      <c r="E598" s="360">
        <f t="shared" ca="1" si="270"/>
        <v>-1.9269710005900036</v>
      </c>
      <c r="F598" s="357">
        <f t="shared" ca="1" si="271"/>
        <v>2.0523986182538332</v>
      </c>
      <c r="G598" s="359">
        <f t="shared" ca="1" si="272"/>
        <v>5.0036956157664623</v>
      </c>
      <c r="H598" s="360">
        <f t="shared" ca="1" si="273"/>
        <v>-55.832607548257634</v>
      </c>
      <c r="I598" s="357">
        <f t="shared" ca="1" si="274"/>
        <v>56.05637372728453</v>
      </c>
      <c r="J598" s="359">
        <f t="shared" ca="1" si="275"/>
        <v>184.26379383972827</v>
      </c>
      <c r="K598" s="360">
        <f t="shared" ca="1" si="276"/>
        <v>-6.338043524431078</v>
      </c>
      <c r="L598" s="357">
        <f t="shared" ca="1" si="261"/>
        <v>184.3727651143939</v>
      </c>
      <c r="M598" s="359">
        <f t="shared" ca="1" si="277"/>
        <v>-1.4814155149550752</v>
      </c>
      <c r="N598" s="357">
        <f t="shared" ca="1" si="278"/>
        <v>-84.878856712125298</v>
      </c>
      <c r="O598" s="343"/>
      <c r="P598" s="363">
        <f t="shared" ca="1" si="279"/>
        <v>23</v>
      </c>
      <c r="Q598" s="357">
        <f t="shared" ca="1" si="280"/>
        <v>0</v>
      </c>
      <c r="R598" s="359">
        <f t="shared" ca="1" si="281"/>
        <v>0</v>
      </c>
      <c r="S598" s="360">
        <f t="shared" ca="1" si="282"/>
        <v>0.42898953648292248</v>
      </c>
      <c r="T598" s="357">
        <f t="shared" ca="1" si="262"/>
        <v>4.2083873528974696</v>
      </c>
      <c r="U598" s="364">
        <f t="shared" ca="1" si="263"/>
        <v>0</v>
      </c>
      <c r="V598" s="359">
        <f t="shared" ca="1" si="264"/>
        <v>1.2257766564558641</v>
      </c>
      <c r="W598" s="357">
        <f t="shared" ca="1" si="265"/>
        <v>3.3953151543749525</v>
      </c>
      <c r="X598" s="343"/>
      <c r="Y598" s="367" t="str">
        <f t="shared" ca="1" si="283"/>
        <v/>
      </c>
      <c r="Z598" s="368" t="str">
        <f t="shared" ca="1" si="284"/>
        <v/>
      </c>
      <c r="AA598" s="369" t="str">
        <f t="shared" ca="1" si="285"/>
        <v/>
      </c>
      <c r="AB598" s="344"/>
      <c r="AC598" s="363" t="e">
        <f t="shared" ca="1" si="286"/>
        <v>#N/A</v>
      </c>
      <c r="AD598" s="376" t="e">
        <f t="shared" ca="1" si="287"/>
        <v>#N/A</v>
      </c>
      <c r="AE598" s="377" t="e">
        <f t="shared" ca="1" si="266"/>
        <v>#N/A</v>
      </c>
      <c r="AF598" s="344"/>
      <c r="AG598" s="359">
        <f t="shared" ca="1" si="288"/>
        <v>1.8562152664729679</v>
      </c>
      <c r="AH598" s="357">
        <f t="shared" ca="1" si="289"/>
        <v>-7.9146237470036676</v>
      </c>
    </row>
    <row r="599" spans="1:34">
      <c r="A599" s="402">
        <f t="shared" ca="1" si="267"/>
        <v>1E-4</v>
      </c>
      <c r="B599" s="357">
        <f t="shared" ca="1" si="268"/>
        <v>16.924599999999916</v>
      </c>
      <c r="C599" s="342"/>
      <c r="D599" s="359">
        <f t="shared" ca="1" si="269"/>
        <v>-0.70647902987964661</v>
      </c>
      <c r="E599" s="360">
        <f t="shared" ca="1" si="270"/>
        <v>-1.9269132886389544</v>
      </c>
      <c r="F599" s="357">
        <f t="shared" ca="1" si="271"/>
        <v>2.052341940708974</v>
      </c>
      <c r="G599" s="359">
        <f t="shared" ca="1" si="272"/>
        <v>5.0036249678634741</v>
      </c>
      <c r="H599" s="360">
        <f t="shared" ca="1" si="273"/>
        <v>-55.832800239586497</v>
      </c>
      <c r="I599" s="357">
        <f t="shared" ca="1" si="274"/>
        <v>56.056559343332843</v>
      </c>
      <c r="J599" s="359">
        <f t="shared" ca="1" si="275"/>
        <v>184.26379383972827</v>
      </c>
      <c r="K599" s="360">
        <f t="shared" ca="1" si="276"/>
        <v>-6.3436267948204703</v>
      </c>
      <c r="L599" s="357">
        <f t="shared" ca="1" si="261"/>
        <v>184.37295713070787</v>
      </c>
      <c r="M599" s="359">
        <f t="shared" ca="1" si="277"/>
        <v>-1.4814170770537081</v>
      </c>
      <c r="N599" s="357">
        <f t="shared" ca="1" si="278"/>
        <v>-84.878946213784147</v>
      </c>
      <c r="O599" s="343"/>
      <c r="P599" s="363">
        <f t="shared" ca="1" si="279"/>
        <v>23</v>
      </c>
      <c r="Q599" s="357">
        <f t="shared" ca="1" si="280"/>
        <v>0</v>
      </c>
      <c r="R599" s="359">
        <f t="shared" ca="1" si="281"/>
        <v>0</v>
      </c>
      <c r="S599" s="360">
        <f t="shared" ca="1" si="282"/>
        <v>0.42898953648292248</v>
      </c>
      <c r="T599" s="357">
        <f t="shared" ca="1" si="262"/>
        <v>4.2083873528974696</v>
      </c>
      <c r="U599" s="364">
        <f t="shared" ca="1" si="263"/>
        <v>0</v>
      </c>
      <c r="V599" s="359">
        <f t="shared" ca="1" si="264"/>
        <v>1.2257773408403747</v>
      </c>
      <c r="W599" s="357">
        <f t="shared" ca="1" si="265"/>
        <v>3.3953395355213112</v>
      </c>
      <c r="X599" s="343"/>
      <c r="Y599" s="367" t="str">
        <f t="shared" ca="1" si="283"/>
        <v/>
      </c>
      <c r="Z599" s="368" t="str">
        <f t="shared" ca="1" si="284"/>
        <v/>
      </c>
      <c r="AA599" s="369" t="str">
        <f t="shared" ca="1" si="285"/>
        <v/>
      </c>
      <c r="AB599" s="344"/>
      <c r="AC599" s="363" t="e">
        <f t="shared" ca="1" si="286"/>
        <v>#N/A</v>
      </c>
      <c r="AD599" s="376" t="e">
        <f t="shared" ca="1" si="287"/>
        <v>#N/A</v>
      </c>
      <c r="AE599" s="377" t="e">
        <f t="shared" ca="1" si="266"/>
        <v>#N/A</v>
      </c>
      <c r="AF599" s="344"/>
      <c r="AG599" s="359">
        <f t="shared" ca="1" si="288"/>
        <v>1.856159799166905</v>
      </c>
      <c r="AH599" s="357">
        <f t="shared" ca="1" si="289"/>
        <v>-7.9146805822153556</v>
      </c>
    </row>
    <row r="600" spans="1:34">
      <c r="A600" s="402">
        <f t="shared" ca="1" si="267"/>
        <v>1E-4</v>
      </c>
      <c r="B600" s="357">
        <f t="shared" ca="1" si="268"/>
        <v>16.924699999999916</v>
      </c>
      <c r="C600" s="342"/>
      <c r="D600" s="359">
        <f t="shared" ca="1" si="269"/>
        <v>-0.70647178873000493</v>
      </c>
      <c r="E600" s="360">
        <f t="shared" ca="1" si="270"/>
        <v>-1.9268555780254149</v>
      </c>
      <c r="F600" s="357">
        <f t="shared" ca="1" si="271"/>
        <v>2.0522852644890839</v>
      </c>
      <c r="G600" s="359">
        <f t="shared" ca="1" si="272"/>
        <v>5.0035543206846009</v>
      </c>
      <c r="H600" s="360">
        <f t="shared" ca="1" si="273"/>
        <v>-55.832992925144296</v>
      </c>
      <c r="I600" s="357">
        <f t="shared" ca="1" si="274"/>
        <v>56.056744953834546</v>
      </c>
      <c r="J600" s="359">
        <f t="shared" ca="1" si="275"/>
        <v>184.26379383972827</v>
      </c>
      <c r="K600" s="360">
        <f t="shared" ca="1" si="276"/>
        <v>-6.3492100844787069</v>
      </c>
      <c r="L600" s="357">
        <f t="shared" ca="1" si="261"/>
        <v>184.37314931656053</v>
      </c>
      <c r="M600" s="359">
        <f t="shared" ca="1" si="277"/>
        <v>-1.4814186391199409</v>
      </c>
      <c r="N600" s="357">
        <f t="shared" ca="1" si="278"/>
        <v>-84.879035713586603</v>
      </c>
      <c r="O600" s="343"/>
      <c r="P600" s="363">
        <f t="shared" ca="1" si="279"/>
        <v>23</v>
      </c>
      <c r="Q600" s="357">
        <f t="shared" ca="1" si="280"/>
        <v>0</v>
      </c>
      <c r="R600" s="359">
        <f t="shared" ca="1" si="281"/>
        <v>0</v>
      </c>
      <c r="S600" s="360">
        <f t="shared" ca="1" si="282"/>
        <v>0.42898953648292248</v>
      </c>
      <c r="T600" s="357">
        <f t="shared" ca="1" si="262"/>
        <v>4.2083873528974696</v>
      </c>
      <c r="U600" s="364">
        <f t="shared" ca="1" si="263"/>
        <v>0</v>
      </c>
      <c r="V600" s="359">
        <f t="shared" ca="1" si="264"/>
        <v>1.2257780252276298</v>
      </c>
      <c r="W600" s="357">
        <f t="shared" ca="1" si="265"/>
        <v>3.3953639161029168</v>
      </c>
      <c r="X600" s="343"/>
      <c r="Y600" s="367" t="str">
        <f t="shared" ca="1" si="283"/>
        <v/>
      </c>
      <c r="Z600" s="368" t="str">
        <f t="shared" ca="1" si="284"/>
        <v/>
      </c>
      <c r="AA600" s="369" t="str">
        <f t="shared" ca="1" si="285"/>
        <v/>
      </c>
      <c r="AB600" s="344"/>
      <c r="AC600" s="363" t="e">
        <f t="shared" ca="1" si="286"/>
        <v>#N/A</v>
      </c>
      <c r="AD600" s="376" t="e">
        <f t="shared" ca="1" si="287"/>
        <v>#N/A</v>
      </c>
      <c r="AE600" s="377" t="e">
        <f t="shared" ca="1" si="266"/>
        <v>#N/A</v>
      </c>
      <c r="AF600" s="344"/>
      <c r="AG600" s="359">
        <f t="shared" ca="1" si="288"/>
        <v>1.8561043331251152</v>
      </c>
      <c r="AH600" s="357">
        <f t="shared" ca="1" si="289"/>
        <v>-7.9147374161105564</v>
      </c>
    </row>
    <row r="601" spans="1:34">
      <c r="A601" s="402">
        <f t="shared" ca="1" si="267"/>
        <v>1E-4</v>
      </c>
      <c r="B601" s="357">
        <f t="shared" ca="1" si="268"/>
        <v>16.924799999999916</v>
      </c>
      <c r="C601" s="342"/>
      <c r="D601" s="359">
        <f t="shared" ca="1" si="269"/>
        <v>-0.70646454753969745</v>
      </c>
      <c r="E601" s="360">
        <f t="shared" ca="1" si="270"/>
        <v>-1.9267978687493699</v>
      </c>
      <c r="F601" s="357">
        <f t="shared" ca="1" si="271"/>
        <v>2.0522285895941477</v>
      </c>
      <c r="G601" s="359">
        <f t="shared" ca="1" si="272"/>
        <v>5.0034836742298472</v>
      </c>
      <c r="H601" s="360">
        <f t="shared" ca="1" si="273"/>
        <v>-55.833185604931174</v>
      </c>
      <c r="I601" s="357">
        <f t="shared" ca="1" si="274"/>
        <v>56.056930558789773</v>
      </c>
      <c r="J601" s="359">
        <f t="shared" ca="1" si="275"/>
        <v>184.26379383972827</v>
      </c>
      <c r="K601" s="360">
        <f t="shared" ca="1" si="276"/>
        <v>-6.3547933934052105</v>
      </c>
      <c r="L601" s="357">
        <f t="shared" ca="1" si="261"/>
        <v>184.37334167195309</v>
      </c>
      <c r="M601" s="359">
        <f t="shared" ca="1" si="277"/>
        <v>-1.4814202011537747</v>
      </c>
      <c r="N601" s="357">
        <f t="shared" ca="1" si="278"/>
        <v>-84.879125211532738</v>
      </c>
      <c r="O601" s="343"/>
      <c r="P601" s="363">
        <f t="shared" ca="1" si="279"/>
        <v>23</v>
      </c>
      <c r="Q601" s="357">
        <f t="shared" ca="1" si="280"/>
        <v>0</v>
      </c>
      <c r="R601" s="359">
        <f t="shared" ca="1" si="281"/>
        <v>0</v>
      </c>
      <c r="S601" s="360">
        <f t="shared" ca="1" si="282"/>
        <v>0.42898953648292248</v>
      </c>
      <c r="T601" s="357">
        <f t="shared" ca="1" si="262"/>
        <v>4.2083873528974696</v>
      </c>
      <c r="U601" s="364">
        <f t="shared" ca="1" si="263"/>
        <v>0</v>
      </c>
      <c r="V601" s="359">
        <f t="shared" ca="1" si="264"/>
        <v>1.2257787096176291</v>
      </c>
      <c r="W601" s="357">
        <f t="shared" ca="1" si="265"/>
        <v>3.3953882961197781</v>
      </c>
      <c r="X601" s="343"/>
      <c r="Y601" s="367" t="str">
        <f t="shared" ca="1" si="283"/>
        <v/>
      </c>
      <c r="Z601" s="368" t="str">
        <f t="shared" ca="1" si="284"/>
        <v/>
      </c>
      <c r="AA601" s="369" t="str">
        <f t="shared" ca="1" si="285"/>
        <v/>
      </c>
      <c r="AB601" s="344"/>
      <c r="AC601" s="363" t="e">
        <f t="shared" ca="1" si="286"/>
        <v>#N/A</v>
      </c>
      <c r="AD601" s="376" t="e">
        <f t="shared" ca="1" si="287"/>
        <v>#N/A</v>
      </c>
      <c r="AE601" s="377" t="e">
        <f t="shared" ca="1" si="266"/>
        <v>#N/A</v>
      </c>
      <c r="AF601" s="344"/>
      <c r="AG601" s="359">
        <f t="shared" ca="1" si="288"/>
        <v>1.8560488683475844</v>
      </c>
      <c r="AH601" s="357">
        <f t="shared" ca="1" si="289"/>
        <v>-7.9147942486892839</v>
      </c>
    </row>
    <row r="602" spans="1:34">
      <c r="A602" s="402">
        <f t="shared" ca="1" si="267"/>
        <v>1E-4</v>
      </c>
      <c r="B602" s="357">
        <f t="shared" ca="1" si="268"/>
        <v>16.924899999999916</v>
      </c>
      <c r="C602" s="342"/>
      <c r="D602" s="359">
        <f t="shared" ca="1" si="269"/>
        <v>-0.70645730630872905</v>
      </c>
      <c r="E602" s="360">
        <f t="shared" ca="1" si="270"/>
        <v>-1.9267401608107972</v>
      </c>
      <c r="F602" s="357">
        <f t="shared" ca="1" si="271"/>
        <v>2.0521719160241432</v>
      </c>
      <c r="G602" s="359">
        <f t="shared" ca="1" si="272"/>
        <v>5.0034130284992164</v>
      </c>
      <c r="H602" s="360">
        <f t="shared" ca="1" si="273"/>
        <v>-55.833378278947258</v>
      </c>
      <c r="I602" s="357">
        <f t="shared" ca="1" si="274"/>
        <v>56.057116158198639</v>
      </c>
      <c r="J602" s="359">
        <f t="shared" ca="1" si="275"/>
        <v>184.26379383972827</v>
      </c>
      <c r="K602" s="360">
        <f t="shared" ca="1" si="276"/>
        <v>-6.3603767215994047</v>
      </c>
      <c r="L602" s="357">
        <f t="shared" ca="1" si="261"/>
        <v>184.37353419688671</v>
      </c>
      <c r="M602" s="359">
        <f t="shared" ca="1" si="277"/>
        <v>-1.4814217631552102</v>
      </c>
      <c r="N602" s="357">
        <f t="shared" ca="1" si="278"/>
        <v>-84.879214707622594</v>
      </c>
      <c r="O602" s="343"/>
      <c r="P602" s="363">
        <f t="shared" ca="1" si="279"/>
        <v>23</v>
      </c>
      <c r="Q602" s="357">
        <f t="shared" ca="1" si="280"/>
        <v>0</v>
      </c>
      <c r="R602" s="359">
        <f t="shared" ca="1" si="281"/>
        <v>0</v>
      </c>
      <c r="S602" s="360">
        <f t="shared" ca="1" si="282"/>
        <v>0.42898953648292248</v>
      </c>
      <c r="T602" s="357">
        <f t="shared" ca="1" si="262"/>
        <v>4.2083873528974696</v>
      </c>
      <c r="U602" s="364">
        <f t="shared" ca="1" si="263"/>
        <v>0</v>
      </c>
      <c r="V602" s="359">
        <f t="shared" ca="1" si="264"/>
        <v>1.2257793940103723</v>
      </c>
      <c r="W602" s="357">
        <f t="shared" ca="1" si="265"/>
        <v>3.395412675571901</v>
      </c>
      <c r="X602" s="343"/>
      <c r="Y602" s="367" t="str">
        <f t="shared" ca="1" si="283"/>
        <v/>
      </c>
      <c r="Z602" s="368" t="str">
        <f t="shared" ca="1" si="284"/>
        <v/>
      </c>
      <c r="AA602" s="369" t="str">
        <f t="shared" ca="1" si="285"/>
        <v/>
      </c>
      <c r="AB602" s="344"/>
      <c r="AC602" s="363" t="e">
        <f t="shared" ca="1" si="286"/>
        <v>#N/A</v>
      </c>
      <c r="AD602" s="376" t="e">
        <f t="shared" ca="1" si="287"/>
        <v>#N/A</v>
      </c>
      <c r="AE602" s="377" t="e">
        <f t="shared" ca="1" si="266"/>
        <v>#N/A</v>
      </c>
      <c r="AF602" s="344"/>
      <c r="AG602" s="359">
        <f t="shared" ca="1" si="288"/>
        <v>1.8559934048342983</v>
      </c>
      <c r="AH602" s="357">
        <f t="shared" ca="1" si="289"/>
        <v>-7.9148510799515597</v>
      </c>
    </row>
    <row r="603" spans="1:34">
      <c r="A603" s="402">
        <f t="shared" ca="1" si="267"/>
        <v>1E-4</v>
      </c>
      <c r="B603" s="357">
        <f t="shared" ca="1" si="268"/>
        <v>16.924999999999915</v>
      </c>
      <c r="C603" s="342"/>
      <c r="D603" s="359">
        <f t="shared" ca="1" si="269"/>
        <v>-0.7064500650371075</v>
      </c>
      <c r="E603" s="360">
        <f t="shared" ca="1" si="270"/>
        <v>-1.9266824542096845</v>
      </c>
      <c r="F603" s="357">
        <f t="shared" ca="1" si="271"/>
        <v>2.0521152437790589</v>
      </c>
      <c r="G603" s="359">
        <f t="shared" ca="1" si="272"/>
        <v>5.0033423834927131</v>
      </c>
      <c r="H603" s="360">
        <f t="shared" ca="1" si="273"/>
        <v>-55.833570947192676</v>
      </c>
      <c r="I603" s="357">
        <f t="shared" ca="1" si="274"/>
        <v>56.057301752061278</v>
      </c>
      <c r="J603" s="359">
        <f t="shared" ca="1" si="275"/>
        <v>184.26379383972827</v>
      </c>
      <c r="K603" s="360">
        <f t="shared" ca="1" si="276"/>
        <v>-6.3659600690607121</v>
      </c>
      <c r="L603" s="357">
        <f t="shared" ca="1" si="261"/>
        <v>184.37372689136259</v>
      </c>
      <c r="M603" s="359">
        <f t="shared" ca="1" si="277"/>
        <v>-1.4814233251242483</v>
      </c>
      <c r="N603" s="357">
        <f t="shared" ca="1" si="278"/>
        <v>-84.879304201856201</v>
      </c>
      <c r="O603" s="343"/>
      <c r="P603" s="363">
        <f t="shared" ca="1" si="279"/>
        <v>23</v>
      </c>
      <c r="Q603" s="357">
        <f t="shared" ca="1" si="280"/>
        <v>0</v>
      </c>
      <c r="R603" s="359">
        <f t="shared" ca="1" si="281"/>
        <v>0</v>
      </c>
      <c r="S603" s="360">
        <f t="shared" ca="1" si="282"/>
        <v>0.42898953648292248</v>
      </c>
      <c r="T603" s="357">
        <f t="shared" ca="1" si="262"/>
        <v>4.2083873528974696</v>
      </c>
      <c r="U603" s="364">
        <f t="shared" ca="1" si="263"/>
        <v>0</v>
      </c>
      <c r="V603" s="359">
        <f t="shared" ca="1" si="264"/>
        <v>1.225780078405859</v>
      </c>
      <c r="W603" s="357">
        <f t="shared" ca="1" si="265"/>
        <v>3.395437054459292</v>
      </c>
      <c r="X603" s="343"/>
      <c r="Y603" s="367" t="str">
        <f t="shared" ca="1" si="283"/>
        <v/>
      </c>
      <c r="Z603" s="368" t="str">
        <f t="shared" ca="1" si="284"/>
        <v/>
      </c>
      <c r="AA603" s="369" t="str">
        <f t="shared" ca="1" si="285"/>
        <v/>
      </c>
      <c r="AB603" s="344"/>
      <c r="AC603" s="363" t="e">
        <f t="shared" ca="1" si="286"/>
        <v>#N/A</v>
      </c>
      <c r="AD603" s="376" t="e">
        <f t="shared" ca="1" si="287"/>
        <v>#N/A</v>
      </c>
      <c r="AE603" s="377" t="e">
        <f t="shared" ca="1" si="266"/>
        <v>#N/A</v>
      </c>
      <c r="AF603" s="344"/>
      <c r="AG603" s="359">
        <f t="shared" ca="1" si="288"/>
        <v>1.85593794258524</v>
      </c>
      <c r="AH603" s="357">
        <f t="shared" ca="1" si="289"/>
        <v>-7.9149079098973969</v>
      </c>
    </row>
    <row r="604" spans="1:34">
      <c r="A604" s="402">
        <f t="shared" ca="1" si="267"/>
        <v>1E-4</v>
      </c>
      <c r="B604" s="357">
        <f t="shared" ca="1" si="268"/>
        <v>16.925099999999915</v>
      </c>
      <c r="C604" s="342"/>
      <c r="D604" s="359">
        <f t="shared" ca="1" si="269"/>
        <v>-0.70644282372483891</v>
      </c>
      <c r="E604" s="360">
        <f t="shared" ca="1" si="270"/>
        <v>-1.9266247489460175</v>
      </c>
      <c r="F604" s="357">
        <f t="shared" ca="1" si="271"/>
        <v>2.0520585728588814</v>
      </c>
      <c r="G604" s="359">
        <f t="shared" ca="1" si="272"/>
        <v>5.0032717392103407</v>
      </c>
      <c r="H604" s="360">
        <f t="shared" ca="1" si="273"/>
        <v>-55.833763609667571</v>
      </c>
      <c r="I604" s="357">
        <f t="shared" ca="1" si="274"/>
        <v>56.057487340377818</v>
      </c>
      <c r="J604" s="359">
        <f t="shared" ca="1" si="275"/>
        <v>184.26379383972827</v>
      </c>
      <c r="K604" s="360">
        <f t="shared" ca="1" si="276"/>
        <v>-6.3715434357885554</v>
      </c>
      <c r="L604" s="357">
        <f t="shared" ca="1" si="261"/>
        <v>184.37391975538193</v>
      </c>
      <c r="M604" s="359">
        <f t="shared" ca="1" si="277"/>
        <v>-1.4814248870608901</v>
      </c>
      <c r="N604" s="357">
        <f t="shared" ca="1" si="278"/>
        <v>-84.879393694233642</v>
      </c>
      <c r="O604" s="343"/>
      <c r="P604" s="363">
        <f t="shared" ca="1" si="279"/>
        <v>23</v>
      </c>
      <c r="Q604" s="357">
        <f t="shared" ca="1" si="280"/>
        <v>0</v>
      </c>
      <c r="R604" s="359">
        <f t="shared" ca="1" si="281"/>
        <v>0</v>
      </c>
      <c r="S604" s="360">
        <f t="shared" ca="1" si="282"/>
        <v>0.42898953648292248</v>
      </c>
      <c r="T604" s="357">
        <f t="shared" ca="1" si="262"/>
        <v>4.2083873528974696</v>
      </c>
      <c r="U604" s="364">
        <f t="shared" ca="1" si="263"/>
        <v>0</v>
      </c>
      <c r="V604" s="359">
        <f t="shared" ca="1" si="264"/>
        <v>1.22578076280409</v>
      </c>
      <c r="W604" s="357">
        <f t="shared" ca="1" si="265"/>
        <v>3.3954614327819619</v>
      </c>
      <c r="X604" s="343"/>
      <c r="Y604" s="367" t="str">
        <f t="shared" ca="1" si="283"/>
        <v/>
      </c>
      <c r="Z604" s="368" t="str">
        <f t="shared" ca="1" si="284"/>
        <v/>
      </c>
      <c r="AA604" s="369" t="str">
        <f t="shared" ca="1" si="285"/>
        <v/>
      </c>
      <c r="AB604" s="344"/>
      <c r="AC604" s="363" t="e">
        <f t="shared" ca="1" si="286"/>
        <v>#N/A</v>
      </c>
      <c r="AD604" s="376" t="e">
        <f t="shared" ca="1" si="287"/>
        <v>#N/A</v>
      </c>
      <c r="AE604" s="377" t="e">
        <f t="shared" ca="1" si="266"/>
        <v>#N/A</v>
      </c>
      <c r="AF604" s="344"/>
      <c r="AG604" s="359">
        <f t="shared" ca="1" si="288"/>
        <v>1.8558824816004007</v>
      </c>
      <c r="AH604" s="357">
        <f t="shared" ca="1" si="289"/>
        <v>-7.9149647385268098</v>
      </c>
    </row>
    <row r="605" spans="1:34">
      <c r="A605" s="402">
        <f t="shared" ca="1" si="267"/>
        <v>1E-4</v>
      </c>
      <c r="B605" s="357">
        <f t="shared" ca="1" si="268"/>
        <v>16.925199999999915</v>
      </c>
      <c r="C605" s="342"/>
      <c r="D605" s="359">
        <f t="shared" ca="1" si="269"/>
        <v>-0.70643558237192838</v>
      </c>
      <c r="E605" s="360">
        <f t="shared" ca="1" si="270"/>
        <v>-1.9265670450197687</v>
      </c>
      <c r="F605" s="357">
        <f t="shared" ca="1" si="271"/>
        <v>2.0520019032635837</v>
      </c>
      <c r="G605" s="359">
        <f t="shared" ca="1" si="272"/>
        <v>5.0032010956521038</v>
      </c>
      <c r="H605" s="360">
        <f t="shared" ca="1" si="273"/>
        <v>-55.83395626637207</v>
      </c>
      <c r="I605" s="357">
        <f t="shared" ca="1" si="274"/>
        <v>56.057672923148381</v>
      </c>
      <c r="J605" s="359">
        <f t="shared" ca="1" si="275"/>
        <v>184.26379383972827</v>
      </c>
      <c r="K605" s="360">
        <f t="shared" ca="1" si="276"/>
        <v>-6.3771268217823573</v>
      </c>
      <c r="L605" s="357">
        <f t="shared" ca="1" si="261"/>
        <v>184.37411278894598</v>
      </c>
      <c r="M605" s="359">
        <f t="shared" ca="1" si="277"/>
        <v>-1.4814264489651365</v>
      </c>
      <c r="N605" s="357">
        <f t="shared" ca="1" si="278"/>
        <v>-84.87948318475496</v>
      </c>
      <c r="O605" s="343"/>
      <c r="P605" s="363">
        <f t="shared" ca="1" si="279"/>
        <v>23</v>
      </c>
      <c r="Q605" s="357">
        <f t="shared" ca="1" si="280"/>
        <v>0</v>
      </c>
      <c r="R605" s="359">
        <f t="shared" ca="1" si="281"/>
        <v>0</v>
      </c>
      <c r="S605" s="360">
        <f t="shared" ca="1" si="282"/>
        <v>0.42898953648292248</v>
      </c>
      <c r="T605" s="357">
        <f t="shared" ca="1" si="262"/>
        <v>4.2083873528974696</v>
      </c>
      <c r="U605" s="364">
        <f t="shared" ca="1" si="263"/>
        <v>0</v>
      </c>
      <c r="V605" s="359">
        <f t="shared" ca="1" si="264"/>
        <v>1.225781447205065</v>
      </c>
      <c r="W605" s="357">
        <f t="shared" ca="1" si="265"/>
        <v>3.3954858105399164</v>
      </c>
      <c r="X605" s="343"/>
      <c r="Y605" s="367" t="str">
        <f t="shared" ca="1" si="283"/>
        <v/>
      </c>
      <c r="Z605" s="368" t="str">
        <f t="shared" ca="1" si="284"/>
        <v/>
      </c>
      <c r="AA605" s="369" t="str">
        <f t="shared" ca="1" si="285"/>
        <v/>
      </c>
      <c r="AB605" s="344"/>
      <c r="AC605" s="363" t="e">
        <f t="shared" ca="1" si="286"/>
        <v>#N/A</v>
      </c>
      <c r="AD605" s="376" t="e">
        <f t="shared" ca="1" si="287"/>
        <v>#N/A</v>
      </c>
      <c r="AE605" s="377" t="e">
        <f t="shared" ca="1" si="266"/>
        <v>#N/A</v>
      </c>
      <c r="AF605" s="344"/>
      <c r="AG605" s="359">
        <f t="shared" ca="1" si="288"/>
        <v>1.8558270218797555</v>
      </c>
      <c r="AH605" s="357">
        <f t="shared" ca="1" si="289"/>
        <v>-7.9150215658398251</v>
      </c>
    </row>
    <row r="606" spans="1:34">
      <c r="A606" s="402">
        <f t="shared" ca="1" si="267"/>
        <v>1E-4</v>
      </c>
      <c r="B606" s="357">
        <f t="shared" ca="1" si="268"/>
        <v>16.925299999999915</v>
      </c>
      <c r="C606" s="342"/>
      <c r="D606" s="359">
        <f t="shared" ca="1" si="269"/>
        <v>-0.70642834097838192</v>
      </c>
      <c r="E606" s="360">
        <f t="shared" ca="1" si="270"/>
        <v>-1.9265093424309248</v>
      </c>
      <c r="F606" s="357">
        <f t="shared" ca="1" si="271"/>
        <v>2.0519452349931524</v>
      </c>
      <c r="G606" s="359">
        <f t="shared" ca="1" si="272"/>
        <v>5.0031304528180058</v>
      </c>
      <c r="H606" s="360">
        <f t="shared" ca="1" si="273"/>
        <v>-55.834148917306315</v>
      </c>
      <c r="I606" s="357">
        <f t="shared" ca="1" si="274"/>
        <v>56.057858500373101</v>
      </c>
      <c r="J606" s="359">
        <f t="shared" ca="1" si="275"/>
        <v>184.26379383972827</v>
      </c>
      <c r="K606" s="360">
        <f t="shared" ca="1" si="276"/>
        <v>-6.3827102270415415</v>
      </c>
      <c r="L606" s="357">
        <f t="shared" ca="1" si="261"/>
        <v>184.37430599205589</v>
      </c>
      <c r="M606" s="359">
        <f t="shared" ca="1" si="277"/>
        <v>-1.4814280108369884</v>
      </c>
      <c r="N606" s="357">
        <f t="shared" ca="1" si="278"/>
        <v>-84.879572673420213</v>
      </c>
      <c r="O606" s="343"/>
      <c r="P606" s="363">
        <f t="shared" ca="1" si="279"/>
        <v>23</v>
      </c>
      <c r="Q606" s="357">
        <f t="shared" ca="1" si="280"/>
        <v>0</v>
      </c>
      <c r="R606" s="359">
        <f t="shared" ca="1" si="281"/>
        <v>0</v>
      </c>
      <c r="S606" s="360">
        <f t="shared" ca="1" si="282"/>
        <v>0.42898953648292248</v>
      </c>
      <c r="T606" s="357">
        <f t="shared" ca="1" si="262"/>
        <v>4.2083873528974696</v>
      </c>
      <c r="U606" s="364">
        <f t="shared" ca="1" si="263"/>
        <v>0</v>
      </c>
      <c r="V606" s="359">
        <f t="shared" ca="1" si="264"/>
        <v>1.2257821316087834</v>
      </c>
      <c r="W606" s="357">
        <f t="shared" ca="1" si="265"/>
        <v>3.3955101877331635</v>
      </c>
      <c r="X606" s="343"/>
      <c r="Y606" s="367" t="str">
        <f t="shared" ca="1" si="283"/>
        <v/>
      </c>
      <c r="Z606" s="368" t="str">
        <f t="shared" ca="1" si="284"/>
        <v/>
      </c>
      <c r="AA606" s="369" t="str">
        <f t="shared" ca="1" si="285"/>
        <v/>
      </c>
      <c r="AB606" s="344"/>
      <c r="AC606" s="363" t="e">
        <f t="shared" ca="1" si="286"/>
        <v>#N/A</v>
      </c>
      <c r="AD606" s="376" t="e">
        <f t="shared" ca="1" si="287"/>
        <v>#N/A</v>
      </c>
      <c r="AE606" s="377" t="e">
        <f t="shared" ca="1" si="266"/>
        <v>#N/A</v>
      </c>
      <c r="AF606" s="344"/>
      <c r="AG606" s="359">
        <f t="shared" ca="1" si="288"/>
        <v>1.8557715634232936</v>
      </c>
      <c r="AH606" s="357">
        <f t="shared" ca="1" si="289"/>
        <v>-7.9150783918364551</v>
      </c>
    </row>
    <row r="607" spans="1:34">
      <c r="A607" s="402">
        <f t="shared" ca="1" si="267"/>
        <v>1E-4</v>
      </c>
      <c r="B607" s="357">
        <f t="shared" ca="1" si="268"/>
        <v>16.925399999999915</v>
      </c>
      <c r="C607" s="342"/>
      <c r="D607" s="359">
        <f t="shared" ca="1" si="269"/>
        <v>-0.70642109954420595</v>
      </c>
      <c r="E607" s="360">
        <f t="shared" ca="1" si="270"/>
        <v>-1.9264516411794679</v>
      </c>
      <c r="F607" s="357">
        <f t="shared" ca="1" si="271"/>
        <v>2.0518885680475707</v>
      </c>
      <c r="G607" s="359">
        <f t="shared" ca="1" si="272"/>
        <v>5.0030598107080513</v>
      </c>
      <c r="H607" s="360">
        <f t="shared" ca="1" si="273"/>
        <v>-55.834341562470435</v>
      </c>
      <c r="I607" s="357">
        <f t="shared" ca="1" si="274"/>
        <v>56.058044072052098</v>
      </c>
      <c r="J607" s="359">
        <f t="shared" ca="1" si="275"/>
        <v>184.26379383972827</v>
      </c>
      <c r="K607" s="360">
        <f t="shared" ca="1" si="276"/>
        <v>-6.3882936515655304</v>
      </c>
      <c r="L607" s="357">
        <f t="shared" ca="1" si="261"/>
        <v>184.3744993647129</v>
      </c>
      <c r="M607" s="359">
        <f t="shared" ca="1" si="277"/>
        <v>-1.4814295726764468</v>
      </c>
      <c r="N607" s="357">
        <f t="shared" ca="1" si="278"/>
        <v>-84.879662160229458</v>
      </c>
      <c r="O607" s="343"/>
      <c r="P607" s="363">
        <f t="shared" ca="1" si="279"/>
        <v>23</v>
      </c>
      <c r="Q607" s="357">
        <f t="shared" ca="1" si="280"/>
        <v>0</v>
      </c>
      <c r="R607" s="359">
        <f t="shared" ca="1" si="281"/>
        <v>0</v>
      </c>
      <c r="S607" s="360">
        <f t="shared" ca="1" si="282"/>
        <v>0.42898953648292248</v>
      </c>
      <c r="T607" s="357">
        <f t="shared" ca="1" si="262"/>
        <v>4.2083873528974696</v>
      </c>
      <c r="U607" s="364">
        <f t="shared" ca="1" si="263"/>
        <v>0</v>
      </c>
      <c r="V607" s="359">
        <f t="shared" ca="1" si="264"/>
        <v>1.225782816015246</v>
      </c>
      <c r="W607" s="357">
        <f t="shared" ca="1" si="265"/>
        <v>3.3955345643617125</v>
      </c>
      <c r="X607" s="343"/>
      <c r="Y607" s="367" t="str">
        <f t="shared" ca="1" si="283"/>
        <v/>
      </c>
      <c r="Z607" s="368" t="str">
        <f t="shared" ca="1" si="284"/>
        <v/>
      </c>
      <c r="AA607" s="369" t="str">
        <f t="shared" ca="1" si="285"/>
        <v/>
      </c>
      <c r="AB607" s="344"/>
      <c r="AC607" s="363" t="e">
        <f t="shared" ca="1" si="286"/>
        <v>#N/A</v>
      </c>
      <c r="AD607" s="376" t="e">
        <f t="shared" ca="1" si="287"/>
        <v>#N/A</v>
      </c>
      <c r="AE607" s="377" t="e">
        <f t="shared" ca="1" si="266"/>
        <v>#N/A</v>
      </c>
      <c r="AF607" s="344"/>
      <c r="AG607" s="359">
        <f t="shared" ca="1" si="288"/>
        <v>1.8557161062309984</v>
      </c>
      <c r="AH607" s="357">
        <f t="shared" ca="1" si="289"/>
        <v>-7.9151352165167186</v>
      </c>
    </row>
    <row r="608" spans="1:34">
      <c r="A608" s="402">
        <f t="shared" ca="1" si="267"/>
        <v>1E-4</v>
      </c>
      <c r="B608" s="357">
        <f t="shared" ca="1" si="268"/>
        <v>16.925499999999914</v>
      </c>
      <c r="C608" s="342"/>
      <c r="D608" s="359">
        <f t="shared" ca="1" si="269"/>
        <v>-0.70641385806940538</v>
      </c>
      <c r="E608" s="360">
        <f t="shared" ca="1" si="270"/>
        <v>-1.9263939412653741</v>
      </c>
      <c r="F608" s="357">
        <f t="shared" ca="1" si="271"/>
        <v>2.051831902426815</v>
      </c>
      <c r="G608" s="359">
        <f t="shared" ca="1" si="272"/>
        <v>5.0029891693222446</v>
      </c>
      <c r="H608" s="360">
        <f t="shared" ca="1" si="273"/>
        <v>-55.834534201864564</v>
      </c>
      <c r="I608" s="357">
        <f t="shared" ca="1" si="274"/>
        <v>56.058229638185502</v>
      </c>
      <c r="J608" s="359">
        <f t="shared" ca="1" si="275"/>
        <v>184.26379383972827</v>
      </c>
      <c r="K608" s="360">
        <f t="shared" ca="1" si="276"/>
        <v>-6.3938770953537469</v>
      </c>
      <c r="L608" s="357">
        <f t="shared" ca="1" si="261"/>
        <v>184.37469290691814</v>
      </c>
      <c r="M608" s="359">
        <f t="shared" ca="1" si="277"/>
        <v>-1.4814311344835125</v>
      </c>
      <c r="N608" s="357">
        <f t="shared" ca="1" si="278"/>
        <v>-84.879751645182736</v>
      </c>
      <c r="O608" s="343"/>
      <c r="P608" s="363">
        <f t="shared" ca="1" si="279"/>
        <v>23</v>
      </c>
      <c r="Q608" s="357">
        <f t="shared" ca="1" si="280"/>
        <v>0</v>
      </c>
      <c r="R608" s="359">
        <f t="shared" ca="1" si="281"/>
        <v>0</v>
      </c>
      <c r="S608" s="360">
        <f t="shared" ca="1" si="282"/>
        <v>0.42898953648292248</v>
      </c>
      <c r="T608" s="357">
        <f t="shared" ca="1" si="262"/>
        <v>4.2083873528974696</v>
      </c>
      <c r="U608" s="364">
        <f t="shared" ca="1" si="263"/>
        <v>0</v>
      </c>
      <c r="V608" s="359">
        <f t="shared" ca="1" si="264"/>
        <v>1.2257835004244519</v>
      </c>
      <c r="W608" s="357">
        <f t="shared" ca="1" si="265"/>
        <v>3.3955589404255688</v>
      </c>
      <c r="X608" s="343"/>
      <c r="Y608" s="367" t="str">
        <f t="shared" ca="1" si="283"/>
        <v/>
      </c>
      <c r="Z608" s="368" t="str">
        <f t="shared" ca="1" si="284"/>
        <v/>
      </c>
      <c r="AA608" s="369" t="str">
        <f t="shared" ca="1" si="285"/>
        <v/>
      </c>
      <c r="AB608" s="344"/>
      <c r="AC608" s="363" t="e">
        <f t="shared" ca="1" si="286"/>
        <v>#N/A</v>
      </c>
      <c r="AD608" s="376" t="e">
        <f t="shared" ca="1" si="287"/>
        <v>#N/A</v>
      </c>
      <c r="AE608" s="377" t="e">
        <f t="shared" ca="1" si="266"/>
        <v>#N/A</v>
      </c>
      <c r="AF608" s="344"/>
      <c r="AG608" s="359">
        <f t="shared" ca="1" si="288"/>
        <v>1.8556606503028528</v>
      </c>
      <c r="AH608" s="357">
        <f t="shared" ca="1" si="289"/>
        <v>-7.9151920398806377</v>
      </c>
    </row>
    <row r="609" spans="1:34">
      <c r="A609" s="402">
        <f t="shared" ca="1" si="267"/>
        <v>1E-4</v>
      </c>
      <c r="B609" s="357">
        <f t="shared" ca="1" si="268"/>
        <v>16.925599999999914</v>
      </c>
      <c r="C609" s="342"/>
      <c r="D609" s="359">
        <f t="shared" ca="1" si="269"/>
        <v>-0.70640661655398784</v>
      </c>
      <c r="E609" s="360">
        <f t="shared" ca="1" si="270"/>
        <v>-1.9263362426886319</v>
      </c>
      <c r="F609" s="357">
        <f t="shared" ca="1" si="271"/>
        <v>2.0517752381308751</v>
      </c>
      <c r="G609" s="359">
        <f t="shared" ca="1" si="272"/>
        <v>5.0029185286605893</v>
      </c>
      <c r="H609" s="360">
        <f t="shared" ca="1" si="273"/>
        <v>-55.83472683548883</v>
      </c>
      <c r="I609" s="357">
        <f t="shared" ca="1" si="274"/>
        <v>56.058415198773432</v>
      </c>
      <c r="J609" s="359">
        <f t="shared" ca="1" si="275"/>
        <v>184.26379383972827</v>
      </c>
      <c r="K609" s="360">
        <f t="shared" ca="1" si="276"/>
        <v>-6.3994605584056146</v>
      </c>
      <c r="L609" s="357">
        <f t="shared" ca="1" si="261"/>
        <v>184.37488661867286</v>
      </c>
      <c r="M609" s="359">
        <f t="shared" ca="1" si="277"/>
        <v>-1.4814326962581863</v>
      </c>
      <c r="N609" s="357">
        <f t="shared" ca="1" si="278"/>
        <v>-84.879841128280091</v>
      </c>
      <c r="O609" s="343"/>
      <c r="P609" s="363">
        <f t="shared" ca="1" si="279"/>
        <v>23</v>
      </c>
      <c r="Q609" s="357">
        <f t="shared" ca="1" si="280"/>
        <v>0</v>
      </c>
      <c r="R609" s="359">
        <f t="shared" ca="1" si="281"/>
        <v>0</v>
      </c>
      <c r="S609" s="360">
        <f t="shared" ca="1" si="282"/>
        <v>0.42898953648292248</v>
      </c>
      <c r="T609" s="357">
        <f t="shared" ca="1" si="262"/>
        <v>4.2083873528974696</v>
      </c>
      <c r="U609" s="364">
        <f t="shared" ca="1" si="263"/>
        <v>0</v>
      </c>
      <c r="V609" s="359">
        <f t="shared" ca="1" si="264"/>
        <v>1.2257841848364013</v>
      </c>
      <c r="W609" s="357">
        <f t="shared" ca="1" si="265"/>
        <v>3.3955833159247395</v>
      </c>
      <c r="X609" s="343"/>
      <c r="Y609" s="367" t="str">
        <f t="shared" ca="1" si="283"/>
        <v/>
      </c>
      <c r="Z609" s="368" t="str">
        <f t="shared" ca="1" si="284"/>
        <v/>
      </c>
      <c r="AA609" s="369" t="str">
        <f t="shared" ca="1" si="285"/>
        <v/>
      </c>
      <c r="AB609" s="344"/>
      <c r="AC609" s="363" t="e">
        <f t="shared" ca="1" si="286"/>
        <v>#N/A</v>
      </c>
      <c r="AD609" s="376" t="e">
        <f t="shared" ca="1" si="287"/>
        <v>#N/A</v>
      </c>
      <c r="AE609" s="377" t="e">
        <f t="shared" ca="1" si="266"/>
        <v>#N/A</v>
      </c>
      <c r="AF609" s="344"/>
      <c r="AG609" s="359">
        <f t="shared" ca="1" si="288"/>
        <v>1.8556051956388462</v>
      </c>
      <c r="AH609" s="357">
        <f t="shared" ca="1" si="289"/>
        <v>-7.9152488619282249</v>
      </c>
    </row>
    <row r="610" spans="1:34">
      <c r="A610" s="402">
        <f t="shared" ca="1" si="267"/>
        <v>1E-4</v>
      </c>
      <c r="B610" s="357">
        <f t="shared" ca="1" si="268"/>
        <v>16.925699999999914</v>
      </c>
      <c r="C610" s="342"/>
      <c r="D610" s="359">
        <f t="shared" ca="1" si="269"/>
        <v>-0.70639937499795946</v>
      </c>
      <c r="E610" s="360">
        <f t="shared" ca="1" si="270"/>
        <v>-1.9262785454492244</v>
      </c>
      <c r="F610" s="357">
        <f t="shared" ca="1" si="271"/>
        <v>2.0517185751597338</v>
      </c>
      <c r="G610" s="359">
        <f t="shared" ca="1" si="272"/>
        <v>5.0028478887230898</v>
      </c>
      <c r="H610" s="360">
        <f t="shared" ca="1" si="273"/>
        <v>-55.834919463343375</v>
      </c>
      <c r="I610" s="357">
        <f t="shared" ca="1" si="274"/>
        <v>56.058600753816023</v>
      </c>
      <c r="J610" s="359">
        <f t="shared" ca="1" si="275"/>
        <v>184.26379383972827</v>
      </c>
      <c r="K610" s="360">
        <f t="shared" ca="1" si="276"/>
        <v>-6.405044040720556</v>
      </c>
      <c r="L610" s="357">
        <f t="shared" ca="1" si="261"/>
        <v>184.37508049997822</v>
      </c>
      <c r="M610" s="359">
        <f t="shared" ca="1" si="277"/>
        <v>-1.4814342580004694</v>
      </c>
      <c r="N610" s="357">
        <f t="shared" ca="1" si="278"/>
        <v>-84.879930609521608</v>
      </c>
      <c r="O610" s="343"/>
      <c r="P610" s="363">
        <f t="shared" ca="1" si="279"/>
        <v>23</v>
      </c>
      <c r="Q610" s="357">
        <f t="shared" ca="1" si="280"/>
        <v>0</v>
      </c>
      <c r="R610" s="359">
        <f t="shared" ca="1" si="281"/>
        <v>0</v>
      </c>
      <c r="S610" s="360">
        <f t="shared" ca="1" si="282"/>
        <v>0.42898953648292248</v>
      </c>
      <c r="T610" s="357">
        <f t="shared" ca="1" si="262"/>
        <v>4.2083873528974696</v>
      </c>
      <c r="U610" s="364">
        <f t="shared" ca="1" si="263"/>
        <v>0</v>
      </c>
      <c r="V610" s="359">
        <f t="shared" ca="1" si="264"/>
        <v>1.2257848692510942</v>
      </c>
      <c r="W610" s="357">
        <f t="shared" ca="1" si="265"/>
        <v>3.3956076908592343</v>
      </c>
      <c r="X610" s="343"/>
      <c r="Y610" s="367" t="str">
        <f t="shared" ca="1" si="283"/>
        <v/>
      </c>
      <c r="Z610" s="368" t="str">
        <f t="shared" ca="1" si="284"/>
        <v/>
      </c>
      <c r="AA610" s="369" t="str">
        <f t="shared" ca="1" si="285"/>
        <v/>
      </c>
      <c r="AB610" s="344"/>
      <c r="AC610" s="363" t="e">
        <f t="shared" ca="1" si="286"/>
        <v>#N/A</v>
      </c>
      <c r="AD610" s="376" t="e">
        <f t="shared" ca="1" si="287"/>
        <v>#N/A</v>
      </c>
      <c r="AE610" s="377" t="e">
        <f t="shared" ca="1" si="266"/>
        <v>#N/A</v>
      </c>
      <c r="AF610" s="344"/>
      <c r="AG610" s="359">
        <f t="shared" ca="1" si="288"/>
        <v>1.8555497422389591</v>
      </c>
      <c r="AH610" s="357">
        <f t="shared" ca="1" si="289"/>
        <v>-7.9153056826594961</v>
      </c>
    </row>
    <row r="611" spans="1:34">
      <c r="A611" s="402">
        <f t="shared" ca="1" si="267"/>
        <v>1E-4</v>
      </c>
      <c r="B611" s="357">
        <f t="shared" ca="1" si="268"/>
        <v>16.925799999999914</v>
      </c>
      <c r="C611" s="342"/>
      <c r="D611" s="359">
        <f t="shared" ca="1" si="269"/>
        <v>-0.70639213340132545</v>
      </c>
      <c r="E611" s="360">
        <f t="shared" ca="1" si="270"/>
        <v>-1.9262208495471285</v>
      </c>
      <c r="F611" s="357">
        <f t="shared" ca="1" si="271"/>
        <v>2.0516619135133687</v>
      </c>
      <c r="G611" s="359">
        <f t="shared" ca="1" si="272"/>
        <v>5.0027772495097498</v>
      </c>
      <c r="H611" s="360">
        <f t="shared" ca="1" si="273"/>
        <v>-55.835112085428328</v>
      </c>
      <c r="I611" s="357">
        <f t="shared" ca="1" si="274"/>
        <v>56.05878630331339</v>
      </c>
      <c r="J611" s="359">
        <f t="shared" ca="1" si="275"/>
        <v>184.26379383972827</v>
      </c>
      <c r="K611" s="360">
        <f t="shared" ca="1" si="276"/>
        <v>-6.4106275422979948</v>
      </c>
      <c r="L611" s="357">
        <f t="shared" ca="1" si="261"/>
        <v>184.37527455083546</v>
      </c>
      <c r="M611" s="359">
        <f t="shared" ca="1" si="277"/>
        <v>-1.4814358197103628</v>
      </c>
      <c r="N611" s="357">
        <f t="shared" ca="1" si="278"/>
        <v>-84.880020088907315</v>
      </c>
      <c r="O611" s="343"/>
      <c r="P611" s="363">
        <f t="shared" ca="1" si="279"/>
        <v>23</v>
      </c>
      <c r="Q611" s="357">
        <f t="shared" ca="1" si="280"/>
        <v>0</v>
      </c>
      <c r="R611" s="359">
        <f t="shared" ca="1" si="281"/>
        <v>0</v>
      </c>
      <c r="S611" s="360">
        <f t="shared" ca="1" si="282"/>
        <v>0.42898953648292248</v>
      </c>
      <c r="T611" s="357">
        <f t="shared" ca="1" si="262"/>
        <v>4.2083873528974696</v>
      </c>
      <c r="U611" s="364">
        <f t="shared" ca="1" si="263"/>
        <v>0</v>
      </c>
      <c r="V611" s="359">
        <f t="shared" ca="1" si="264"/>
        <v>1.2257855536685307</v>
      </c>
      <c r="W611" s="357">
        <f t="shared" ca="1" si="265"/>
        <v>3.3956320652290581</v>
      </c>
      <c r="X611" s="343"/>
      <c r="Y611" s="367" t="str">
        <f t="shared" ca="1" si="283"/>
        <v/>
      </c>
      <c r="Z611" s="368" t="str">
        <f t="shared" ca="1" si="284"/>
        <v/>
      </c>
      <c r="AA611" s="369" t="str">
        <f t="shared" ca="1" si="285"/>
        <v/>
      </c>
      <c r="AB611" s="344"/>
      <c r="AC611" s="363" t="e">
        <f t="shared" ca="1" si="286"/>
        <v>#N/A</v>
      </c>
      <c r="AD611" s="376" t="e">
        <f t="shared" ca="1" si="287"/>
        <v>#N/A</v>
      </c>
      <c r="AE611" s="377" t="e">
        <f t="shared" ca="1" si="266"/>
        <v>#N/A</v>
      </c>
      <c r="AF611" s="344"/>
      <c r="AG611" s="359">
        <f t="shared" ca="1" si="288"/>
        <v>1.8554942901031772</v>
      </c>
      <c r="AH611" s="357">
        <f t="shared" ca="1" si="289"/>
        <v>-7.9153625020744744</v>
      </c>
    </row>
    <row r="612" spans="1:34">
      <c r="A612" s="402">
        <f t="shared" ca="1" si="267"/>
        <v>1E-4</v>
      </c>
      <c r="B612" s="357">
        <f t="shared" ca="1" si="268"/>
        <v>16.925899999999913</v>
      </c>
      <c r="C612" s="342"/>
      <c r="D612" s="359">
        <f t="shared" ca="1" si="269"/>
        <v>-0.70638489176408958</v>
      </c>
      <c r="E612" s="360">
        <f t="shared" ca="1" si="270"/>
        <v>-1.9261631549823317</v>
      </c>
      <c r="F612" s="357">
        <f t="shared" ca="1" si="271"/>
        <v>2.051605253191767</v>
      </c>
      <c r="G612" s="359">
        <f t="shared" ca="1" si="272"/>
        <v>5.0027066110205736</v>
      </c>
      <c r="H612" s="360">
        <f t="shared" ca="1" si="273"/>
        <v>-55.835304701743823</v>
      </c>
      <c r="I612" s="357">
        <f t="shared" ca="1" si="274"/>
        <v>56.058971847265667</v>
      </c>
      <c r="J612" s="359">
        <f t="shared" ca="1" si="275"/>
        <v>184.26379383972827</v>
      </c>
      <c r="K612" s="360">
        <f t="shared" ca="1" si="276"/>
        <v>-6.4162110631373537</v>
      </c>
      <c r="L612" s="357">
        <f t="shared" ca="1" si="261"/>
        <v>184.37546877124572</v>
      </c>
      <c r="M612" s="359">
        <f t="shared" ca="1" si="277"/>
        <v>-1.481437381387867</v>
      </c>
      <c r="N612" s="357">
        <f t="shared" ca="1" si="278"/>
        <v>-84.88010956643727</v>
      </c>
      <c r="O612" s="343"/>
      <c r="P612" s="363">
        <f t="shared" ca="1" si="279"/>
        <v>23</v>
      </c>
      <c r="Q612" s="357">
        <f t="shared" ca="1" si="280"/>
        <v>0</v>
      </c>
      <c r="R612" s="359">
        <f t="shared" ca="1" si="281"/>
        <v>0</v>
      </c>
      <c r="S612" s="360">
        <f t="shared" ca="1" si="282"/>
        <v>0.42898953648292248</v>
      </c>
      <c r="T612" s="357">
        <f t="shared" ca="1" si="262"/>
        <v>4.2083873528974696</v>
      </c>
      <c r="U612" s="364">
        <f t="shared" ca="1" si="263"/>
        <v>0</v>
      </c>
      <c r="V612" s="359">
        <f t="shared" ca="1" si="264"/>
        <v>1.2257862380887103</v>
      </c>
      <c r="W612" s="357">
        <f t="shared" ca="1" si="265"/>
        <v>3.3956564390342208</v>
      </c>
      <c r="X612" s="343"/>
      <c r="Y612" s="367" t="str">
        <f t="shared" ca="1" si="283"/>
        <v/>
      </c>
      <c r="Z612" s="368" t="str">
        <f t="shared" ca="1" si="284"/>
        <v/>
      </c>
      <c r="AA612" s="369" t="str">
        <f t="shared" ca="1" si="285"/>
        <v/>
      </c>
      <c r="AB612" s="344"/>
      <c r="AC612" s="363" t="e">
        <f t="shared" ca="1" si="286"/>
        <v>#N/A</v>
      </c>
      <c r="AD612" s="376" t="e">
        <f t="shared" ca="1" si="287"/>
        <v>#N/A</v>
      </c>
      <c r="AE612" s="377" t="e">
        <f t="shared" ca="1" si="266"/>
        <v>#N/A</v>
      </c>
      <c r="AF612" s="344"/>
      <c r="AG612" s="359">
        <f t="shared" ca="1" si="288"/>
        <v>1.8554388392314909</v>
      </c>
      <c r="AH612" s="357">
        <f t="shared" ca="1" si="289"/>
        <v>-7.9154193201731715</v>
      </c>
    </row>
    <row r="613" spans="1:34">
      <c r="A613" s="402">
        <f t="shared" ca="1" si="267"/>
        <v>1E-4</v>
      </c>
      <c r="B613" s="357">
        <f t="shared" ca="1" si="268"/>
        <v>16.925999999999913</v>
      </c>
      <c r="C613" s="342"/>
      <c r="D613" s="359">
        <f t="shared" ca="1" si="269"/>
        <v>-0.70637765008626219</v>
      </c>
      <c r="E613" s="360">
        <f t="shared" ca="1" si="270"/>
        <v>-1.9261054617548128</v>
      </c>
      <c r="F613" s="357">
        <f t="shared" ca="1" si="271"/>
        <v>2.0515485941949096</v>
      </c>
      <c r="G613" s="359">
        <f t="shared" ca="1" si="272"/>
        <v>5.0026359732555647</v>
      </c>
      <c r="H613" s="360">
        <f t="shared" ca="1" si="273"/>
        <v>-55.835497312289995</v>
      </c>
      <c r="I613" s="357">
        <f t="shared" ca="1" si="274"/>
        <v>56.059157385672982</v>
      </c>
      <c r="J613" s="359">
        <f t="shared" ca="1" si="275"/>
        <v>184.26379383972827</v>
      </c>
      <c r="K613" s="360">
        <f t="shared" ca="1" si="276"/>
        <v>-6.4217946032380553</v>
      </c>
      <c r="L613" s="357">
        <f t="shared" ca="1" si="261"/>
        <v>184.37566316121024</v>
      </c>
      <c r="M613" s="359">
        <f t="shared" ca="1" si="277"/>
        <v>-1.4814389430329833</v>
      </c>
      <c r="N613" s="357">
        <f t="shared" ca="1" si="278"/>
        <v>-84.880199042111528</v>
      </c>
      <c r="O613" s="343"/>
      <c r="P613" s="363">
        <f t="shared" ca="1" si="279"/>
        <v>23</v>
      </c>
      <c r="Q613" s="357">
        <f t="shared" ca="1" si="280"/>
        <v>0</v>
      </c>
      <c r="R613" s="359">
        <f t="shared" ca="1" si="281"/>
        <v>0</v>
      </c>
      <c r="S613" s="360">
        <f t="shared" ca="1" si="282"/>
        <v>0.42898953648292248</v>
      </c>
      <c r="T613" s="357">
        <f t="shared" ca="1" si="262"/>
        <v>4.2083873528974696</v>
      </c>
      <c r="U613" s="364">
        <f t="shared" ca="1" si="263"/>
        <v>0</v>
      </c>
      <c r="V613" s="359">
        <f t="shared" ca="1" si="264"/>
        <v>1.2257869225116336</v>
      </c>
      <c r="W613" s="357">
        <f t="shared" ca="1" si="265"/>
        <v>3.3956808122747297</v>
      </c>
      <c r="X613" s="343"/>
      <c r="Y613" s="367" t="str">
        <f t="shared" ca="1" si="283"/>
        <v/>
      </c>
      <c r="Z613" s="368" t="str">
        <f t="shared" ca="1" si="284"/>
        <v/>
      </c>
      <c r="AA613" s="369" t="str">
        <f t="shared" ca="1" si="285"/>
        <v/>
      </c>
      <c r="AB613" s="344"/>
      <c r="AC613" s="363" t="e">
        <f t="shared" ca="1" si="286"/>
        <v>#N/A</v>
      </c>
      <c r="AD613" s="376" t="e">
        <f t="shared" ca="1" si="287"/>
        <v>#N/A</v>
      </c>
      <c r="AE613" s="377" t="e">
        <f t="shared" ca="1" si="266"/>
        <v>#N/A</v>
      </c>
      <c r="AF613" s="344"/>
      <c r="AG613" s="359">
        <f t="shared" ca="1" si="288"/>
        <v>1.8553833896238761</v>
      </c>
      <c r="AH613" s="357">
        <f t="shared" ca="1" si="289"/>
        <v>-7.9154761369556095</v>
      </c>
    </row>
    <row r="614" spans="1:34">
      <c r="A614" s="402">
        <f t="shared" ca="1" si="267"/>
        <v>1E-4</v>
      </c>
      <c r="B614" s="357">
        <f t="shared" ca="1" si="268"/>
        <v>16.926099999999913</v>
      </c>
      <c r="C614" s="342"/>
      <c r="D614" s="359">
        <f t="shared" ca="1" si="269"/>
        <v>-0.70637040836784637</v>
      </c>
      <c r="E614" s="360">
        <f t="shared" ca="1" si="270"/>
        <v>-1.9260477698645504</v>
      </c>
      <c r="F614" s="357">
        <f t="shared" ca="1" si="271"/>
        <v>2.0514919365227753</v>
      </c>
      <c r="G614" s="359">
        <f t="shared" ca="1" si="272"/>
        <v>5.0025653362147278</v>
      </c>
      <c r="H614" s="360">
        <f t="shared" ca="1" si="273"/>
        <v>-55.835689917066979</v>
      </c>
      <c r="I614" s="357">
        <f t="shared" ca="1" si="274"/>
        <v>56.059342918535464</v>
      </c>
      <c r="J614" s="359">
        <f t="shared" ca="1" si="275"/>
        <v>184.26379383972827</v>
      </c>
      <c r="K614" s="360">
        <f t="shared" ca="1" si="276"/>
        <v>-6.4273781625995232</v>
      </c>
      <c r="L614" s="357">
        <f t="shared" ca="1" si="261"/>
        <v>184.37585772073018</v>
      </c>
      <c r="M614" s="359">
        <f t="shared" ca="1" si="277"/>
        <v>-1.4814405046457126</v>
      </c>
      <c r="N614" s="357">
        <f t="shared" ca="1" si="278"/>
        <v>-84.880288515930161</v>
      </c>
      <c r="O614" s="343"/>
      <c r="P614" s="363">
        <f t="shared" ca="1" si="279"/>
        <v>23</v>
      </c>
      <c r="Q614" s="357">
        <f t="shared" ca="1" si="280"/>
        <v>0</v>
      </c>
      <c r="R614" s="359">
        <f t="shared" ca="1" si="281"/>
        <v>0</v>
      </c>
      <c r="S614" s="360">
        <f t="shared" ca="1" si="282"/>
        <v>0.42898953648292248</v>
      </c>
      <c r="T614" s="357">
        <f t="shared" ca="1" si="262"/>
        <v>4.2083873528974696</v>
      </c>
      <c r="U614" s="364">
        <f t="shared" ca="1" si="263"/>
        <v>0</v>
      </c>
      <c r="V614" s="359">
        <f t="shared" ca="1" si="264"/>
        <v>1.2257876069373002</v>
      </c>
      <c r="W614" s="357">
        <f t="shared" ca="1" si="265"/>
        <v>3.3957051849505935</v>
      </c>
      <c r="X614" s="343"/>
      <c r="Y614" s="367" t="str">
        <f t="shared" ca="1" si="283"/>
        <v/>
      </c>
      <c r="Z614" s="368" t="str">
        <f t="shared" ca="1" si="284"/>
        <v/>
      </c>
      <c r="AA614" s="369" t="str">
        <f t="shared" ca="1" si="285"/>
        <v/>
      </c>
      <c r="AB614" s="344"/>
      <c r="AC614" s="363" t="e">
        <f t="shared" ca="1" si="286"/>
        <v>#N/A</v>
      </c>
      <c r="AD614" s="376" t="e">
        <f t="shared" ca="1" si="287"/>
        <v>#N/A</v>
      </c>
      <c r="AE614" s="377" t="e">
        <f t="shared" ca="1" si="266"/>
        <v>#N/A</v>
      </c>
      <c r="AF614" s="344"/>
      <c r="AG614" s="359">
        <f t="shared" ca="1" si="288"/>
        <v>1.8553279412803194</v>
      </c>
      <c r="AH614" s="357">
        <f t="shared" ca="1" si="289"/>
        <v>-7.915532952421807</v>
      </c>
    </row>
    <row r="615" spans="1:34">
      <c r="A615" s="402">
        <f t="shared" ca="1" si="267"/>
        <v>1E-4</v>
      </c>
      <c r="B615" s="357">
        <f t="shared" ca="1" si="268"/>
        <v>16.926199999999913</v>
      </c>
      <c r="C615" s="342"/>
      <c r="D615" s="359">
        <f t="shared" ca="1" si="269"/>
        <v>-0.70636316660884824</v>
      </c>
      <c r="E615" s="360">
        <f t="shared" ca="1" si="270"/>
        <v>-1.9259900793115285</v>
      </c>
      <c r="F615" s="357">
        <f t="shared" ca="1" si="271"/>
        <v>2.0514352801753479</v>
      </c>
      <c r="G615" s="359">
        <f t="shared" ca="1" si="272"/>
        <v>5.0024946998980671</v>
      </c>
      <c r="H615" s="360">
        <f t="shared" ca="1" si="273"/>
        <v>-55.835882516074911</v>
      </c>
      <c r="I615" s="357">
        <f t="shared" ca="1" si="274"/>
        <v>56.059528445853239</v>
      </c>
      <c r="J615" s="359">
        <f t="shared" ca="1" si="275"/>
        <v>184.26379383972827</v>
      </c>
      <c r="K615" s="360">
        <f t="shared" ca="1" si="276"/>
        <v>-6.4329617412211801</v>
      </c>
      <c r="L615" s="357">
        <f t="shared" ca="1" si="261"/>
        <v>184.37605244980676</v>
      </c>
      <c r="M615" s="359">
        <f t="shared" ca="1" si="277"/>
        <v>-1.4814420662260557</v>
      </c>
      <c r="N615" s="357">
        <f t="shared" ca="1" si="278"/>
        <v>-84.880377987893183</v>
      </c>
      <c r="O615" s="343"/>
      <c r="P615" s="363">
        <f t="shared" ca="1" si="279"/>
        <v>23</v>
      </c>
      <c r="Q615" s="357">
        <f t="shared" ca="1" si="280"/>
        <v>0</v>
      </c>
      <c r="R615" s="359">
        <f t="shared" ca="1" si="281"/>
        <v>0</v>
      </c>
      <c r="S615" s="360">
        <f t="shared" ca="1" si="282"/>
        <v>0.42898953648292248</v>
      </c>
      <c r="T615" s="357">
        <f t="shared" ca="1" si="262"/>
        <v>4.2083873528974696</v>
      </c>
      <c r="U615" s="364">
        <f t="shared" ca="1" si="263"/>
        <v>0</v>
      </c>
      <c r="V615" s="359">
        <f t="shared" ca="1" si="264"/>
        <v>1.2257882913657097</v>
      </c>
      <c r="W615" s="357">
        <f t="shared" ca="1" si="265"/>
        <v>3.3957295570618182</v>
      </c>
      <c r="X615" s="343"/>
      <c r="Y615" s="367" t="str">
        <f t="shared" ca="1" si="283"/>
        <v/>
      </c>
      <c r="Z615" s="368" t="str">
        <f t="shared" ca="1" si="284"/>
        <v/>
      </c>
      <c r="AA615" s="369" t="str">
        <f t="shared" ca="1" si="285"/>
        <v/>
      </c>
      <c r="AB615" s="344"/>
      <c r="AC615" s="363" t="e">
        <f t="shared" ca="1" si="286"/>
        <v>#N/A</v>
      </c>
      <c r="AD615" s="376" t="e">
        <f t="shared" ca="1" si="287"/>
        <v>#N/A</v>
      </c>
      <c r="AE615" s="377" t="e">
        <f t="shared" ca="1" si="266"/>
        <v>#N/A</v>
      </c>
      <c r="AF615" s="344"/>
      <c r="AG615" s="359">
        <f t="shared" ca="1" si="288"/>
        <v>1.8552724942008041</v>
      </c>
      <c r="AH615" s="357">
        <f t="shared" ca="1" si="289"/>
        <v>-7.9155897665717827</v>
      </c>
    </row>
    <row r="616" spans="1:34">
      <c r="A616" s="402">
        <f t="shared" ca="1" si="267"/>
        <v>1E-4</v>
      </c>
      <c r="B616" s="357">
        <f t="shared" ca="1" si="268"/>
        <v>16.926299999999912</v>
      </c>
      <c r="C616" s="342"/>
      <c r="D616" s="359">
        <f t="shared" ca="1" si="269"/>
        <v>-0.70635592480927567</v>
      </c>
      <c r="E616" s="360">
        <f t="shared" ca="1" si="270"/>
        <v>-1.9259323900957304</v>
      </c>
      <c r="F616" s="357">
        <f t="shared" ca="1" si="271"/>
        <v>2.0513786251526116</v>
      </c>
      <c r="G616" s="359">
        <f t="shared" ca="1" si="272"/>
        <v>5.0024240643055862</v>
      </c>
      <c r="H616" s="360">
        <f t="shared" ca="1" si="273"/>
        <v>-55.836075109313917</v>
      </c>
      <c r="I616" s="357">
        <f t="shared" ca="1" si="274"/>
        <v>56.059713967626422</v>
      </c>
      <c r="J616" s="359">
        <f t="shared" ca="1" si="275"/>
        <v>184.26379383972827</v>
      </c>
      <c r="K616" s="360">
        <f t="shared" ca="1" si="276"/>
        <v>-6.4385453391024496</v>
      </c>
      <c r="L616" s="357">
        <f t="shared" ca="1" si="261"/>
        <v>184.37624734844118</v>
      </c>
      <c r="M616" s="359">
        <f t="shared" ca="1" si="277"/>
        <v>-1.4814436277740135</v>
      </c>
      <c r="N616" s="357">
        <f t="shared" ca="1" si="278"/>
        <v>-84.88046745800068</v>
      </c>
      <c r="O616" s="343"/>
      <c r="P616" s="363">
        <f t="shared" ca="1" si="279"/>
        <v>23</v>
      </c>
      <c r="Q616" s="357">
        <f t="shared" ca="1" si="280"/>
        <v>0</v>
      </c>
      <c r="R616" s="359">
        <f t="shared" ca="1" si="281"/>
        <v>0</v>
      </c>
      <c r="S616" s="360">
        <f t="shared" ca="1" si="282"/>
        <v>0.42898953648292248</v>
      </c>
      <c r="T616" s="357">
        <f t="shared" ca="1" si="262"/>
        <v>4.2083873528974696</v>
      </c>
      <c r="U616" s="364">
        <f t="shared" ca="1" si="263"/>
        <v>0</v>
      </c>
      <c r="V616" s="359">
        <f t="shared" ca="1" si="264"/>
        <v>1.2257889757968623</v>
      </c>
      <c r="W616" s="357">
        <f t="shared" ca="1" si="265"/>
        <v>3.3957539286084106</v>
      </c>
      <c r="X616" s="343"/>
      <c r="Y616" s="367" t="str">
        <f t="shared" ca="1" si="283"/>
        <v/>
      </c>
      <c r="Z616" s="368" t="str">
        <f t="shared" ca="1" si="284"/>
        <v/>
      </c>
      <c r="AA616" s="369" t="str">
        <f t="shared" ca="1" si="285"/>
        <v/>
      </c>
      <c r="AB616" s="344"/>
      <c r="AC616" s="363" t="e">
        <f t="shared" ca="1" si="286"/>
        <v>#N/A</v>
      </c>
      <c r="AD616" s="376" t="e">
        <f t="shared" ca="1" si="287"/>
        <v>#N/A</v>
      </c>
      <c r="AE616" s="377" t="e">
        <f t="shared" ca="1" si="266"/>
        <v>#N/A</v>
      </c>
      <c r="AF616" s="344"/>
      <c r="AG616" s="359">
        <f t="shared" ca="1" si="288"/>
        <v>1.8552170483853159</v>
      </c>
      <c r="AH616" s="357">
        <f t="shared" ca="1" si="289"/>
        <v>-7.9156465794055508</v>
      </c>
    </row>
    <row r="617" spans="1:34">
      <c r="A617" s="402">
        <f t="shared" ca="1" si="267"/>
        <v>1E-4</v>
      </c>
      <c r="B617" s="357">
        <f t="shared" ca="1" si="268"/>
        <v>16.926399999999912</v>
      </c>
      <c r="C617" s="342"/>
      <c r="D617" s="359">
        <f t="shared" ca="1" si="269"/>
        <v>-0.706348682969133</v>
      </c>
      <c r="E617" s="360">
        <f t="shared" ca="1" si="270"/>
        <v>-1.9258747022171399</v>
      </c>
      <c r="F617" s="357">
        <f t="shared" ca="1" si="271"/>
        <v>2.0513219714545512</v>
      </c>
      <c r="G617" s="359">
        <f t="shared" ca="1" si="272"/>
        <v>5.0023534294372896</v>
      </c>
      <c r="H617" s="360">
        <f t="shared" ca="1" si="273"/>
        <v>-55.836267696784141</v>
      </c>
      <c r="I617" s="357">
        <f t="shared" ca="1" si="274"/>
        <v>56.059899483855148</v>
      </c>
      <c r="J617" s="359">
        <f t="shared" ca="1" si="275"/>
        <v>184.26379383972827</v>
      </c>
      <c r="K617" s="360">
        <f t="shared" ca="1" si="276"/>
        <v>-6.4441289562427544</v>
      </c>
      <c r="L617" s="357">
        <f t="shared" ca="1" si="261"/>
        <v>184.37644241663457</v>
      </c>
      <c r="M617" s="359">
        <f t="shared" ca="1" si="277"/>
        <v>-1.4814451892895872</v>
      </c>
      <c r="N617" s="357">
        <f t="shared" ca="1" si="278"/>
        <v>-84.880556926252694</v>
      </c>
      <c r="O617" s="343"/>
      <c r="P617" s="363">
        <f t="shared" ca="1" si="279"/>
        <v>23</v>
      </c>
      <c r="Q617" s="357">
        <f t="shared" ca="1" si="280"/>
        <v>0</v>
      </c>
      <c r="R617" s="359">
        <f t="shared" ca="1" si="281"/>
        <v>0</v>
      </c>
      <c r="S617" s="360">
        <f t="shared" ca="1" si="282"/>
        <v>0.42898953648292248</v>
      </c>
      <c r="T617" s="357">
        <f t="shared" ca="1" si="262"/>
        <v>4.2083873528974696</v>
      </c>
      <c r="U617" s="364">
        <f t="shared" ca="1" si="263"/>
        <v>0</v>
      </c>
      <c r="V617" s="359">
        <f t="shared" ca="1" si="264"/>
        <v>1.2257896602307576</v>
      </c>
      <c r="W617" s="357">
        <f t="shared" ca="1" si="265"/>
        <v>3.3957782995903774</v>
      </c>
      <c r="X617" s="343"/>
      <c r="Y617" s="367" t="str">
        <f t="shared" ca="1" si="283"/>
        <v/>
      </c>
      <c r="Z617" s="368" t="str">
        <f t="shared" ca="1" si="284"/>
        <v/>
      </c>
      <c r="AA617" s="369" t="str">
        <f t="shared" ca="1" si="285"/>
        <v/>
      </c>
      <c r="AB617" s="344"/>
      <c r="AC617" s="363" t="e">
        <f t="shared" ca="1" si="286"/>
        <v>#N/A</v>
      </c>
      <c r="AD617" s="376" t="e">
        <f t="shared" ca="1" si="287"/>
        <v>#N/A</v>
      </c>
      <c r="AE617" s="377" t="e">
        <f t="shared" ca="1" si="266"/>
        <v>#N/A</v>
      </c>
      <c r="AF617" s="344"/>
      <c r="AG617" s="359">
        <f t="shared" ca="1" si="288"/>
        <v>1.855161603833845</v>
      </c>
      <c r="AH617" s="357">
        <f t="shared" ca="1" si="289"/>
        <v>-7.9157033909231282</v>
      </c>
    </row>
    <row r="618" spans="1:34">
      <c r="A618" s="402">
        <f t="shared" ca="1" si="267"/>
        <v>1E-4</v>
      </c>
      <c r="B618" s="357">
        <f t="shared" ca="1" si="268"/>
        <v>16.926499999999912</v>
      </c>
      <c r="C618" s="342"/>
      <c r="D618" s="359">
        <f t="shared" ca="1" si="269"/>
        <v>-0.70634144108842489</v>
      </c>
      <c r="E618" s="360">
        <f t="shared" ca="1" si="270"/>
        <v>-1.925817015675741</v>
      </c>
      <c r="F618" s="357">
        <f t="shared" ca="1" si="271"/>
        <v>2.0512653190811494</v>
      </c>
      <c r="G618" s="359">
        <f t="shared" ca="1" si="272"/>
        <v>5.0022827952931808</v>
      </c>
      <c r="H618" s="360">
        <f t="shared" ca="1" si="273"/>
        <v>-55.83646027848571</v>
      </c>
      <c r="I618" s="357">
        <f t="shared" ca="1" si="274"/>
        <v>56.060084994539551</v>
      </c>
      <c r="J618" s="359">
        <f t="shared" ca="1" si="275"/>
        <v>184.26379383972827</v>
      </c>
      <c r="K618" s="360">
        <f t="shared" ca="1" si="276"/>
        <v>-6.449712592641518</v>
      </c>
      <c r="L618" s="357">
        <f t="shared" ca="1" si="261"/>
        <v>184.37663765438819</v>
      </c>
      <c r="M618" s="359">
        <f t="shared" ca="1" si="277"/>
        <v>-1.4814467507727775</v>
      </c>
      <c r="N618" s="357">
        <f t="shared" ca="1" si="278"/>
        <v>-84.880646392649282</v>
      </c>
      <c r="O618" s="343"/>
      <c r="P618" s="363">
        <f t="shared" ca="1" si="279"/>
        <v>23</v>
      </c>
      <c r="Q618" s="357">
        <f t="shared" ca="1" si="280"/>
        <v>0</v>
      </c>
      <c r="R618" s="359">
        <f t="shared" ca="1" si="281"/>
        <v>0</v>
      </c>
      <c r="S618" s="360">
        <f t="shared" ca="1" si="282"/>
        <v>0.42898953648292248</v>
      </c>
      <c r="T618" s="357">
        <f t="shared" ca="1" si="262"/>
        <v>4.2083873528974696</v>
      </c>
      <c r="U618" s="364">
        <f t="shared" ca="1" si="263"/>
        <v>0</v>
      </c>
      <c r="V618" s="359">
        <f t="shared" ca="1" si="264"/>
        <v>1.2257903446673966</v>
      </c>
      <c r="W618" s="357">
        <f t="shared" ca="1" si="265"/>
        <v>3.3958026700077326</v>
      </c>
      <c r="X618" s="343"/>
      <c r="Y618" s="367" t="str">
        <f t="shared" ca="1" si="283"/>
        <v/>
      </c>
      <c r="Z618" s="368" t="str">
        <f t="shared" ca="1" si="284"/>
        <v/>
      </c>
      <c r="AA618" s="369" t="str">
        <f t="shared" ca="1" si="285"/>
        <v/>
      </c>
      <c r="AB618" s="344"/>
      <c r="AC618" s="363" t="e">
        <f t="shared" ca="1" si="286"/>
        <v>#N/A</v>
      </c>
      <c r="AD618" s="376" t="e">
        <f t="shared" ca="1" si="287"/>
        <v>#N/A</v>
      </c>
      <c r="AE618" s="377" t="e">
        <f t="shared" ca="1" si="266"/>
        <v>#N/A</v>
      </c>
      <c r="AF618" s="344"/>
      <c r="AG618" s="359">
        <f t="shared" ca="1" si="288"/>
        <v>1.8551061605463746</v>
      </c>
      <c r="AH618" s="357">
        <f t="shared" ca="1" si="289"/>
        <v>-7.91576020112453</v>
      </c>
    </row>
    <row r="619" spans="1:34">
      <c r="A619" s="402">
        <f t="shared" ca="1" si="267"/>
        <v>1E-4</v>
      </c>
      <c r="B619" s="357">
        <f t="shared" ca="1" si="268"/>
        <v>16.926599999999912</v>
      </c>
      <c r="C619" s="342"/>
      <c r="D619" s="359">
        <f t="shared" ca="1" si="269"/>
        <v>-0.70633419916716056</v>
      </c>
      <c r="E619" s="360">
        <f t="shared" ca="1" si="270"/>
        <v>-1.9257593304715011</v>
      </c>
      <c r="F619" s="357">
        <f t="shared" ca="1" si="271"/>
        <v>2.0512086680323769</v>
      </c>
      <c r="G619" s="359">
        <f t="shared" ca="1" si="272"/>
        <v>5.0022121618732642</v>
      </c>
      <c r="H619" s="360">
        <f t="shared" ca="1" si="273"/>
        <v>-55.836652854418759</v>
      </c>
      <c r="I619" s="357">
        <f t="shared" ca="1" si="274"/>
        <v>56.060270499679746</v>
      </c>
      <c r="J619" s="359">
        <f t="shared" ca="1" si="275"/>
        <v>184.26379383972827</v>
      </c>
      <c r="K619" s="360">
        <f t="shared" ca="1" si="276"/>
        <v>-6.4552962482981631</v>
      </c>
      <c r="L619" s="357">
        <f t="shared" ca="1" si="261"/>
        <v>184.37683306170322</v>
      </c>
      <c r="M619" s="359">
        <f t="shared" ca="1" si="277"/>
        <v>-1.4814483122235853</v>
      </c>
      <c r="N619" s="357">
        <f t="shared" ca="1" si="278"/>
        <v>-84.880735857190487</v>
      </c>
      <c r="O619" s="343"/>
      <c r="P619" s="363">
        <f t="shared" ca="1" si="279"/>
        <v>23</v>
      </c>
      <c r="Q619" s="357">
        <f t="shared" ca="1" si="280"/>
        <v>0</v>
      </c>
      <c r="R619" s="359">
        <f t="shared" ca="1" si="281"/>
        <v>0</v>
      </c>
      <c r="S619" s="360">
        <f t="shared" ca="1" si="282"/>
        <v>0.42898953648292248</v>
      </c>
      <c r="T619" s="357">
        <f t="shared" ca="1" si="262"/>
        <v>4.2083873528974696</v>
      </c>
      <c r="U619" s="364">
        <f t="shared" ca="1" si="263"/>
        <v>0</v>
      </c>
      <c r="V619" s="359">
        <f t="shared" ca="1" si="264"/>
        <v>1.2257910291067782</v>
      </c>
      <c r="W619" s="357">
        <f t="shared" ca="1" si="265"/>
        <v>3.3958270398604777</v>
      </c>
      <c r="X619" s="343"/>
      <c r="Y619" s="367" t="str">
        <f t="shared" ca="1" si="283"/>
        <v/>
      </c>
      <c r="Z619" s="368" t="str">
        <f t="shared" ca="1" si="284"/>
        <v/>
      </c>
      <c r="AA619" s="369" t="str">
        <f t="shared" ca="1" si="285"/>
        <v/>
      </c>
      <c r="AB619" s="344"/>
      <c r="AC619" s="363" t="e">
        <f t="shared" ca="1" si="286"/>
        <v>#N/A</v>
      </c>
      <c r="AD619" s="376" t="e">
        <f t="shared" ca="1" si="287"/>
        <v>#N/A</v>
      </c>
      <c r="AE619" s="377" t="e">
        <f t="shared" ca="1" si="266"/>
        <v>#N/A</v>
      </c>
      <c r="AF619" s="344"/>
      <c r="AG619" s="359">
        <f t="shared" ca="1" si="288"/>
        <v>1.8550507185228753</v>
      </c>
      <c r="AH619" s="357">
        <f t="shared" ca="1" si="289"/>
        <v>-7.9158170100097891</v>
      </c>
    </row>
    <row r="620" spans="1:34">
      <c r="A620" s="402">
        <f t="shared" ca="1" si="267"/>
        <v>1E-4</v>
      </c>
      <c r="B620" s="357">
        <f t="shared" ca="1" si="268"/>
        <v>16.926699999999911</v>
      </c>
      <c r="C620" s="342"/>
      <c r="D620" s="359">
        <f t="shared" ca="1" si="269"/>
        <v>-0.70632695720534489</v>
      </c>
      <c r="E620" s="360">
        <f t="shared" ca="1" si="270"/>
        <v>-1.9257016466044163</v>
      </c>
      <c r="F620" s="357">
        <f t="shared" ca="1" si="271"/>
        <v>2.0511520183082288</v>
      </c>
      <c r="G620" s="359">
        <f t="shared" ca="1" si="272"/>
        <v>5.0021415291775435</v>
      </c>
      <c r="H620" s="360">
        <f t="shared" ca="1" si="273"/>
        <v>-55.836845424583416</v>
      </c>
      <c r="I620" s="357">
        <f t="shared" ca="1" si="274"/>
        <v>56.06045599927586</v>
      </c>
      <c r="J620" s="359">
        <f t="shared" ca="1" si="275"/>
        <v>184.26379383972827</v>
      </c>
      <c r="K620" s="360">
        <f t="shared" ca="1" si="276"/>
        <v>-6.4608799232121132</v>
      </c>
      <c r="L620" s="357">
        <f t="shared" ca="1" si="261"/>
        <v>184.37702863858081</v>
      </c>
      <c r="M620" s="359">
        <f t="shared" ca="1" si="277"/>
        <v>-1.4814498736420116</v>
      </c>
      <c r="N620" s="357">
        <f t="shared" ca="1" si="278"/>
        <v>-84.880825319876365</v>
      </c>
      <c r="O620" s="343"/>
      <c r="P620" s="363">
        <f t="shared" ca="1" si="279"/>
        <v>23</v>
      </c>
      <c r="Q620" s="357">
        <f t="shared" ca="1" si="280"/>
        <v>0</v>
      </c>
      <c r="R620" s="359">
        <f t="shared" ca="1" si="281"/>
        <v>0</v>
      </c>
      <c r="S620" s="360">
        <f t="shared" ca="1" si="282"/>
        <v>0.42898953648292248</v>
      </c>
      <c r="T620" s="357">
        <f t="shared" ca="1" si="262"/>
        <v>4.2083873528974696</v>
      </c>
      <c r="U620" s="364">
        <f t="shared" ca="1" si="263"/>
        <v>0</v>
      </c>
      <c r="V620" s="359">
        <f t="shared" ca="1" si="264"/>
        <v>1.2257917135489023</v>
      </c>
      <c r="W620" s="357">
        <f t="shared" ca="1" si="265"/>
        <v>3.3958514091486203</v>
      </c>
      <c r="X620" s="343"/>
      <c r="Y620" s="367" t="str">
        <f t="shared" ca="1" si="283"/>
        <v/>
      </c>
      <c r="Z620" s="368" t="str">
        <f t="shared" ca="1" si="284"/>
        <v/>
      </c>
      <c r="AA620" s="369" t="str">
        <f t="shared" ca="1" si="285"/>
        <v/>
      </c>
      <c r="AB620" s="344"/>
      <c r="AC620" s="363" t="e">
        <f t="shared" ca="1" si="286"/>
        <v>#N/A</v>
      </c>
      <c r="AD620" s="376" t="e">
        <f t="shared" ca="1" si="287"/>
        <v>#N/A</v>
      </c>
      <c r="AE620" s="377" t="e">
        <f t="shared" ca="1" si="266"/>
        <v>#N/A</v>
      </c>
      <c r="AF620" s="344"/>
      <c r="AG620" s="359">
        <f t="shared" ca="1" si="288"/>
        <v>1.854995277763348</v>
      </c>
      <c r="AH620" s="357">
        <f t="shared" ca="1" si="289"/>
        <v>-7.9158738175789081</v>
      </c>
    </row>
    <row r="621" spans="1:34">
      <c r="A621" s="402">
        <f t="shared" ca="1" si="267"/>
        <v>1E-4</v>
      </c>
      <c r="B621" s="357">
        <f t="shared" ca="1" si="268"/>
        <v>16.926799999999911</v>
      </c>
      <c r="C621" s="342"/>
      <c r="D621" s="359">
        <f t="shared" ca="1" si="269"/>
        <v>-0.70631971520298253</v>
      </c>
      <c r="E621" s="360">
        <f t="shared" ca="1" si="270"/>
        <v>-1.92564396407447</v>
      </c>
      <c r="F621" s="357">
        <f t="shared" ca="1" si="271"/>
        <v>2.0510953699086887</v>
      </c>
      <c r="G621" s="359">
        <f t="shared" ca="1" si="272"/>
        <v>5.002070897206023</v>
      </c>
      <c r="H621" s="360">
        <f t="shared" ca="1" si="273"/>
        <v>-55.837037988979823</v>
      </c>
      <c r="I621" s="357">
        <f t="shared" ca="1" si="274"/>
        <v>56.060641493328021</v>
      </c>
      <c r="J621" s="359">
        <f t="shared" ca="1" si="275"/>
        <v>184.26379383972827</v>
      </c>
      <c r="K621" s="360">
        <f t="shared" ca="1" si="276"/>
        <v>-6.4664636173827912</v>
      </c>
      <c r="L621" s="357">
        <f t="shared" ca="1" si="261"/>
        <v>184.3772243850222</v>
      </c>
      <c r="M621" s="359">
        <f t="shared" ca="1" si="277"/>
        <v>-1.4814514350280574</v>
      </c>
      <c r="N621" s="357">
        <f t="shared" ca="1" si="278"/>
        <v>-84.880914780706988</v>
      </c>
      <c r="O621" s="343"/>
      <c r="P621" s="363">
        <f t="shared" ca="1" si="279"/>
        <v>23</v>
      </c>
      <c r="Q621" s="357">
        <f t="shared" ca="1" si="280"/>
        <v>0</v>
      </c>
      <c r="R621" s="359">
        <f t="shared" ca="1" si="281"/>
        <v>0</v>
      </c>
      <c r="S621" s="360">
        <f t="shared" ca="1" si="282"/>
        <v>0.42898953648292248</v>
      </c>
      <c r="T621" s="357">
        <f t="shared" ca="1" si="262"/>
        <v>4.2083873528974696</v>
      </c>
      <c r="U621" s="364">
        <f t="shared" ca="1" si="263"/>
        <v>0</v>
      </c>
      <c r="V621" s="359">
        <f t="shared" ca="1" si="264"/>
        <v>1.2257923979937695</v>
      </c>
      <c r="W621" s="357">
        <f t="shared" ca="1" si="265"/>
        <v>3.3958757778721709</v>
      </c>
      <c r="X621" s="343"/>
      <c r="Y621" s="367" t="str">
        <f t="shared" ca="1" si="283"/>
        <v/>
      </c>
      <c r="Z621" s="368" t="str">
        <f t="shared" ca="1" si="284"/>
        <v/>
      </c>
      <c r="AA621" s="369" t="str">
        <f t="shared" ca="1" si="285"/>
        <v/>
      </c>
      <c r="AB621" s="344"/>
      <c r="AC621" s="363" t="e">
        <f t="shared" ca="1" si="286"/>
        <v>#N/A</v>
      </c>
      <c r="AD621" s="376" t="e">
        <f t="shared" ca="1" si="287"/>
        <v>#N/A</v>
      </c>
      <c r="AE621" s="377" t="e">
        <f t="shared" ca="1" si="266"/>
        <v>#N/A</v>
      </c>
      <c r="AF621" s="344"/>
      <c r="AG621" s="359">
        <f t="shared" ca="1" si="288"/>
        <v>1.8549398382677769</v>
      </c>
      <c r="AH621" s="357">
        <f t="shared" ca="1" si="289"/>
        <v>-7.9159306238319047</v>
      </c>
    </row>
    <row r="622" spans="1:34">
      <c r="A622" s="402">
        <f t="shared" ca="1" si="267"/>
        <v>1E-4</v>
      </c>
      <c r="B622" s="357">
        <f t="shared" ca="1" si="268"/>
        <v>16.926899999999911</v>
      </c>
      <c r="C622" s="342"/>
      <c r="D622" s="359">
        <f t="shared" ca="1" si="269"/>
        <v>-0.70631247316008061</v>
      </c>
      <c r="E622" s="360">
        <f t="shared" ca="1" si="270"/>
        <v>-1.9255862828816346</v>
      </c>
      <c r="F622" s="357">
        <f t="shared" ca="1" si="271"/>
        <v>2.0510387228337303</v>
      </c>
      <c r="G622" s="359">
        <f t="shared" ca="1" si="272"/>
        <v>5.0020002659587073</v>
      </c>
      <c r="H622" s="360">
        <f t="shared" ca="1" si="273"/>
        <v>-55.837230547608108</v>
      </c>
      <c r="I622" s="357">
        <f t="shared" ca="1" si="274"/>
        <v>56.060826981836357</v>
      </c>
      <c r="J622" s="359">
        <f t="shared" ca="1" si="275"/>
        <v>184.26379383972827</v>
      </c>
      <c r="K622" s="360">
        <f t="shared" ca="1" si="276"/>
        <v>-6.4720473308096205</v>
      </c>
      <c r="L622" s="357">
        <f t="shared" ca="1" si="261"/>
        <v>184.37742030102851</v>
      </c>
      <c r="M622" s="359">
        <f t="shared" ca="1" si="277"/>
        <v>-1.4814529963817236</v>
      </c>
      <c r="N622" s="357">
        <f t="shared" ca="1" si="278"/>
        <v>-84.881004239682383</v>
      </c>
      <c r="O622" s="343"/>
      <c r="P622" s="363">
        <f t="shared" ca="1" si="279"/>
        <v>23</v>
      </c>
      <c r="Q622" s="357">
        <f t="shared" ca="1" si="280"/>
        <v>0</v>
      </c>
      <c r="R622" s="359">
        <f t="shared" ca="1" si="281"/>
        <v>0</v>
      </c>
      <c r="S622" s="360">
        <f t="shared" ca="1" si="282"/>
        <v>0.42898953648292248</v>
      </c>
      <c r="T622" s="357">
        <f t="shared" ca="1" si="262"/>
        <v>4.2083873528974696</v>
      </c>
      <c r="U622" s="364">
        <f t="shared" ca="1" si="263"/>
        <v>0</v>
      </c>
      <c r="V622" s="359">
        <f t="shared" ca="1" si="264"/>
        <v>1.225793082441379</v>
      </c>
      <c r="W622" s="357">
        <f t="shared" ca="1" si="265"/>
        <v>3.3959001460311353</v>
      </c>
      <c r="X622" s="343"/>
      <c r="Y622" s="367" t="str">
        <f t="shared" ca="1" si="283"/>
        <v/>
      </c>
      <c r="Z622" s="368" t="str">
        <f t="shared" ca="1" si="284"/>
        <v/>
      </c>
      <c r="AA622" s="369" t="str">
        <f t="shared" ca="1" si="285"/>
        <v/>
      </c>
      <c r="AB622" s="344"/>
      <c r="AC622" s="363" t="e">
        <f t="shared" ca="1" si="286"/>
        <v>#N/A</v>
      </c>
      <c r="AD622" s="376" t="e">
        <f t="shared" ca="1" si="287"/>
        <v>#N/A</v>
      </c>
      <c r="AE622" s="377" t="e">
        <f t="shared" ca="1" si="266"/>
        <v>#N/A</v>
      </c>
      <c r="AF622" s="344"/>
      <c r="AG622" s="359">
        <f t="shared" ca="1" si="288"/>
        <v>1.854884400036136</v>
      </c>
      <c r="AH622" s="357">
        <f t="shared" ca="1" si="289"/>
        <v>-7.9159874287688048</v>
      </c>
    </row>
    <row r="623" spans="1:34">
      <c r="A623" s="402">
        <f t="shared" ca="1" si="267"/>
        <v>1E-4</v>
      </c>
      <c r="B623" s="357">
        <f t="shared" ca="1" si="268"/>
        <v>16.926999999999911</v>
      </c>
      <c r="C623" s="342"/>
      <c r="D623" s="359">
        <f t="shared" ca="1" si="269"/>
        <v>-0.70630523107664489</v>
      </c>
      <c r="E623" s="360">
        <f t="shared" ca="1" si="270"/>
        <v>-1.9255286030258985</v>
      </c>
      <c r="F623" s="357">
        <f t="shared" ca="1" si="271"/>
        <v>2.0509820770833422</v>
      </c>
      <c r="G623" s="359">
        <f t="shared" ca="1" si="272"/>
        <v>5.0019296354355998</v>
      </c>
      <c r="H623" s="360">
        <f t="shared" ca="1" si="273"/>
        <v>-55.837423100468413</v>
      </c>
      <c r="I623" s="357">
        <f t="shared" ca="1" si="274"/>
        <v>56.061012464800996</v>
      </c>
      <c r="J623" s="359">
        <f t="shared" ca="1" si="275"/>
        <v>184.26379383972827</v>
      </c>
      <c r="K623" s="360">
        <f t="shared" ca="1" si="276"/>
        <v>-6.4776310634920247</v>
      </c>
      <c r="L623" s="357">
        <f t="shared" ca="1" si="261"/>
        <v>184.37761638660101</v>
      </c>
      <c r="M623" s="359">
        <f t="shared" ca="1" si="277"/>
        <v>-1.4814545577030109</v>
      </c>
      <c r="N623" s="357">
        <f t="shared" ca="1" si="278"/>
        <v>-84.881093696802608</v>
      </c>
      <c r="O623" s="343"/>
      <c r="P623" s="363">
        <f t="shared" ca="1" si="279"/>
        <v>23</v>
      </c>
      <c r="Q623" s="357">
        <f t="shared" ca="1" si="280"/>
        <v>0</v>
      </c>
      <c r="R623" s="359">
        <f t="shared" ca="1" si="281"/>
        <v>0</v>
      </c>
      <c r="S623" s="360">
        <f t="shared" ca="1" si="282"/>
        <v>0.42898953648292248</v>
      </c>
      <c r="T623" s="357">
        <f t="shared" ca="1" si="262"/>
        <v>4.2083873528974696</v>
      </c>
      <c r="U623" s="364">
        <f t="shared" ca="1" si="263"/>
        <v>0</v>
      </c>
      <c r="V623" s="359">
        <f t="shared" ca="1" si="264"/>
        <v>1.2257937668917316</v>
      </c>
      <c r="W623" s="357">
        <f t="shared" ca="1" si="265"/>
        <v>3.3959245136255229</v>
      </c>
      <c r="X623" s="343"/>
      <c r="Y623" s="367" t="str">
        <f t="shared" ca="1" si="283"/>
        <v/>
      </c>
      <c r="Z623" s="368" t="str">
        <f t="shared" ca="1" si="284"/>
        <v/>
      </c>
      <c r="AA623" s="369" t="str">
        <f t="shared" ca="1" si="285"/>
        <v/>
      </c>
      <c r="AB623" s="344"/>
      <c r="AC623" s="363" t="e">
        <f t="shared" ca="1" si="286"/>
        <v>#N/A</v>
      </c>
      <c r="AD623" s="376" t="e">
        <f t="shared" ca="1" si="287"/>
        <v>#N/A</v>
      </c>
      <c r="AE623" s="377" t="e">
        <f t="shared" ca="1" si="266"/>
        <v>#N/A</v>
      </c>
      <c r="AF623" s="344"/>
      <c r="AG623" s="359">
        <f t="shared" ca="1" si="288"/>
        <v>1.8548289630684165</v>
      </c>
      <c r="AH623" s="357">
        <f t="shared" ca="1" si="289"/>
        <v>-7.9160442323896207</v>
      </c>
    </row>
    <row r="624" spans="1:34">
      <c r="A624" s="402">
        <f t="shared" ca="1" si="267"/>
        <v>1E-4</v>
      </c>
      <c r="B624" s="357">
        <f t="shared" ca="1" si="268"/>
        <v>16.927099999999911</v>
      </c>
      <c r="C624" s="342"/>
      <c r="D624" s="359">
        <f t="shared" ca="1" si="269"/>
        <v>-0.70629798895268225</v>
      </c>
      <c r="E624" s="360">
        <f t="shared" ca="1" si="270"/>
        <v>-1.9254709245072386</v>
      </c>
      <c r="F624" s="357">
        <f t="shared" ca="1" si="271"/>
        <v>2.0509254326575026</v>
      </c>
      <c r="G624" s="359">
        <f t="shared" ca="1" si="272"/>
        <v>5.0018590056367049</v>
      </c>
      <c r="H624" s="360">
        <f t="shared" ca="1" si="273"/>
        <v>-55.837615647560867</v>
      </c>
      <c r="I624" s="357">
        <f t="shared" ca="1" si="274"/>
        <v>56.061197942222059</v>
      </c>
      <c r="J624" s="359">
        <f t="shared" ca="1" si="275"/>
        <v>184.26379383972827</v>
      </c>
      <c r="K624" s="360">
        <f t="shared" ca="1" si="276"/>
        <v>-6.4832148154294265</v>
      </c>
      <c r="L624" s="357">
        <f t="shared" ca="1" si="261"/>
        <v>184.37781264174083</v>
      </c>
      <c r="M624" s="359">
        <f t="shared" ca="1" si="277"/>
        <v>-1.4814561189919204</v>
      </c>
      <c r="N624" s="357">
        <f t="shared" ca="1" si="278"/>
        <v>-84.88118315206772</v>
      </c>
      <c r="O624" s="343"/>
      <c r="P624" s="363">
        <f t="shared" ca="1" si="279"/>
        <v>23</v>
      </c>
      <c r="Q624" s="357">
        <f t="shared" ca="1" si="280"/>
        <v>0</v>
      </c>
      <c r="R624" s="359">
        <f t="shared" ca="1" si="281"/>
        <v>0</v>
      </c>
      <c r="S624" s="360">
        <f t="shared" ca="1" si="282"/>
        <v>0.42898953648292248</v>
      </c>
      <c r="T624" s="357">
        <f t="shared" ca="1" si="262"/>
        <v>4.2083873528974696</v>
      </c>
      <c r="U624" s="364">
        <f t="shared" ca="1" si="263"/>
        <v>0</v>
      </c>
      <c r="V624" s="359">
        <f t="shared" ca="1" si="264"/>
        <v>1.2257944513448269</v>
      </c>
      <c r="W624" s="357">
        <f t="shared" ca="1" si="265"/>
        <v>3.3959488806553404</v>
      </c>
      <c r="X624" s="343"/>
      <c r="Y624" s="367" t="str">
        <f t="shared" ca="1" si="283"/>
        <v/>
      </c>
      <c r="Z624" s="368" t="str">
        <f t="shared" ca="1" si="284"/>
        <v/>
      </c>
      <c r="AA624" s="369" t="str">
        <f t="shared" ca="1" si="285"/>
        <v/>
      </c>
      <c r="AB624" s="344"/>
      <c r="AC624" s="363" t="e">
        <f t="shared" ca="1" si="286"/>
        <v>#N/A</v>
      </c>
      <c r="AD624" s="376" t="e">
        <f t="shared" ca="1" si="287"/>
        <v>#N/A</v>
      </c>
      <c r="AE624" s="377" t="e">
        <f t="shared" ca="1" si="266"/>
        <v>#N/A</v>
      </c>
      <c r="AF624" s="344"/>
      <c r="AG624" s="359">
        <f t="shared" ca="1" si="288"/>
        <v>1.8547735273646015</v>
      </c>
      <c r="AH624" s="357">
        <f t="shared" ca="1" si="289"/>
        <v>-7.9161010346943748</v>
      </c>
    </row>
    <row r="625" spans="1:34">
      <c r="A625" s="402">
        <f t="shared" ca="1" si="267"/>
        <v>1E-4</v>
      </c>
      <c r="B625" s="357">
        <f t="shared" ca="1" si="268"/>
        <v>16.92719999999991</v>
      </c>
      <c r="C625" s="342"/>
      <c r="D625" s="359">
        <f t="shared" ca="1" si="269"/>
        <v>-0.70629074678819859</v>
      </c>
      <c r="E625" s="360">
        <f t="shared" ca="1" si="270"/>
        <v>-1.9254132473256389</v>
      </c>
      <c r="F625" s="357">
        <f t="shared" ca="1" si="271"/>
        <v>2.050868789556195</v>
      </c>
      <c r="G625" s="359">
        <f t="shared" ca="1" si="272"/>
        <v>5.0017883765620264</v>
      </c>
      <c r="H625" s="360">
        <f t="shared" ca="1" si="273"/>
        <v>-55.837808188885596</v>
      </c>
      <c r="I625" s="357">
        <f t="shared" ca="1" si="274"/>
        <v>56.061383414099673</v>
      </c>
      <c r="J625" s="359">
        <f t="shared" ca="1" si="275"/>
        <v>184.26379383972827</v>
      </c>
      <c r="K625" s="360">
        <f t="shared" ca="1" si="276"/>
        <v>-6.4887985866212485</v>
      </c>
      <c r="L625" s="357">
        <f t="shared" ca="1" si="261"/>
        <v>184.37800906644918</v>
      </c>
      <c r="M625" s="359">
        <f t="shared" ca="1" si="277"/>
        <v>-1.4814576802484534</v>
      </c>
      <c r="N625" s="357">
        <f t="shared" ca="1" si="278"/>
        <v>-84.881272605477804</v>
      </c>
      <c r="O625" s="343"/>
      <c r="P625" s="363">
        <f t="shared" ca="1" si="279"/>
        <v>23</v>
      </c>
      <c r="Q625" s="357">
        <f t="shared" ca="1" si="280"/>
        <v>0</v>
      </c>
      <c r="R625" s="359">
        <f t="shared" ca="1" si="281"/>
        <v>0</v>
      </c>
      <c r="S625" s="360">
        <f t="shared" ca="1" si="282"/>
        <v>0.42898953648292248</v>
      </c>
      <c r="T625" s="357">
        <f t="shared" ca="1" si="262"/>
        <v>4.2083873528974696</v>
      </c>
      <c r="U625" s="364">
        <f t="shared" ca="1" si="263"/>
        <v>0</v>
      </c>
      <c r="V625" s="359">
        <f t="shared" ca="1" si="264"/>
        <v>1.2257951358006645</v>
      </c>
      <c r="W625" s="357">
        <f t="shared" ca="1" si="265"/>
        <v>3.3959732471205939</v>
      </c>
      <c r="X625" s="343"/>
      <c r="Y625" s="367" t="str">
        <f t="shared" ca="1" si="283"/>
        <v/>
      </c>
      <c r="Z625" s="368" t="str">
        <f t="shared" ca="1" si="284"/>
        <v/>
      </c>
      <c r="AA625" s="369" t="str">
        <f t="shared" ca="1" si="285"/>
        <v/>
      </c>
      <c r="AB625" s="344"/>
      <c r="AC625" s="363" t="e">
        <f t="shared" ca="1" si="286"/>
        <v>#N/A</v>
      </c>
      <c r="AD625" s="376" t="e">
        <f t="shared" ca="1" si="287"/>
        <v>#N/A</v>
      </c>
      <c r="AE625" s="377" t="e">
        <f t="shared" ca="1" si="266"/>
        <v>#N/A</v>
      </c>
      <c r="AF625" s="344"/>
      <c r="AG625" s="359">
        <f t="shared" ca="1" si="288"/>
        <v>1.8547180929246716</v>
      </c>
      <c r="AH625" s="357">
        <f t="shared" ca="1" si="289"/>
        <v>-7.9161578356830828</v>
      </c>
    </row>
    <row r="626" spans="1:34">
      <c r="A626" s="402">
        <f t="shared" ca="1" si="267"/>
        <v>1E-4</v>
      </c>
      <c r="B626" s="357">
        <f t="shared" ca="1" si="268"/>
        <v>16.92729999999991</v>
      </c>
      <c r="C626" s="342"/>
      <c r="D626" s="359">
        <f t="shared" ca="1" si="269"/>
        <v>-0.70628350458319633</v>
      </c>
      <c r="E626" s="360">
        <f t="shared" ca="1" si="270"/>
        <v>-1.9253555714810853</v>
      </c>
      <c r="F626" s="357">
        <f t="shared" ca="1" si="271"/>
        <v>2.0508121477794057</v>
      </c>
      <c r="G626" s="359">
        <f t="shared" ca="1" si="272"/>
        <v>5.0017177482115684</v>
      </c>
      <c r="H626" s="360">
        <f t="shared" ca="1" si="273"/>
        <v>-55.838000724442743</v>
      </c>
      <c r="I626" s="357">
        <f t="shared" ca="1" si="274"/>
        <v>56.061568880433974</v>
      </c>
      <c r="J626" s="359">
        <f t="shared" ca="1" si="275"/>
        <v>184.26379383972827</v>
      </c>
      <c r="K626" s="360">
        <f t="shared" ca="1" si="276"/>
        <v>-6.4943823770669153</v>
      </c>
      <c r="L626" s="357">
        <f t="shared" ca="1" si="261"/>
        <v>184.37820566072728</v>
      </c>
      <c r="M626" s="359">
        <f t="shared" ca="1" si="277"/>
        <v>-1.4814592414726102</v>
      </c>
      <c r="N626" s="357">
        <f t="shared" ca="1" si="278"/>
        <v>-84.88136205703286</v>
      </c>
      <c r="O626" s="343"/>
      <c r="P626" s="363">
        <f t="shared" ca="1" si="279"/>
        <v>23</v>
      </c>
      <c r="Q626" s="357">
        <f t="shared" ca="1" si="280"/>
        <v>0</v>
      </c>
      <c r="R626" s="359">
        <f t="shared" ca="1" si="281"/>
        <v>0</v>
      </c>
      <c r="S626" s="360">
        <f t="shared" ca="1" si="282"/>
        <v>0.42898953648292248</v>
      </c>
      <c r="T626" s="357">
        <f t="shared" ca="1" si="262"/>
        <v>4.2083873528974696</v>
      </c>
      <c r="U626" s="364">
        <f t="shared" ca="1" si="263"/>
        <v>0</v>
      </c>
      <c r="V626" s="359">
        <f t="shared" ca="1" si="264"/>
        <v>1.2257958202592441</v>
      </c>
      <c r="W626" s="357">
        <f t="shared" ca="1" si="265"/>
        <v>3.3959976130212923</v>
      </c>
      <c r="X626" s="343"/>
      <c r="Y626" s="367" t="str">
        <f t="shared" ca="1" si="283"/>
        <v/>
      </c>
      <c r="Z626" s="368" t="str">
        <f t="shared" ca="1" si="284"/>
        <v/>
      </c>
      <c r="AA626" s="369" t="str">
        <f t="shared" ca="1" si="285"/>
        <v/>
      </c>
      <c r="AB626" s="344"/>
      <c r="AC626" s="363" t="e">
        <f t="shared" ca="1" si="286"/>
        <v>#N/A</v>
      </c>
      <c r="AD626" s="376" t="e">
        <f t="shared" ca="1" si="287"/>
        <v>#N/A</v>
      </c>
      <c r="AE626" s="377" t="e">
        <f t="shared" ca="1" si="266"/>
        <v>#N/A</v>
      </c>
      <c r="AF626" s="344"/>
      <c r="AG626" s="359">
        <f t="shared" ca="1" si="288"/>
        <v>1.8546626597486187</v>
      </c>
      <c r="AH626" s="357">
        <f t="shared" ca="1" si="289"/>
        <v>-7.9162146353557583</v>
      </c>
    </row>
    <row r="627" spans="1:34">
      <c r="A627" s="402">
        <f t="shared" ca="1" si="267"/>
        <v>1E-4</v>
      </c>
      <c r="B627" s="357">
        <f t="shared" ca="1" si="268"/>
        <v>16.92739999999991</v>
      </c>
      <c r="C627" s="342"/>
      <c r="D627" s="359">
        <f t="shared" ca="1" si="269"/>
        <v>-0.70627626233768581</v>
      </c>
      <c r="E627" s="360">
        <f t="shared" ca="1" si="270"/>
        <v>-1.9252978969735555</v>
      </c>
      <c r="F627" s="357">
        <f t="shared" ca="1" si="271"/>
        <v>2.0507555073271138</v>
      </c>
      <c r="G627" s="359">
        <f t="shared" ca="1" si="272"/>
        <v>5.0016471205853348</v>
      </c>
      <c r="H627" s="360">
        <f t="shared" ca="1" si="273"/>
        <v>-55.838193254232444</v>
      </c>
      <c r="I627" s="357">
        <f t="shared" ca="1" si="274"/>
        <v>56.061754341225075</v>
      </c>
      <c r="J627" s="359">
        <f t="shared" ca="1" si="275"/>
        <v>184.26379383972827</v>
      </c>
      <c r="K627" s="360">
        <f t="shared" ca="1" si="276"/>
        <v>-6.4999661867658487</v>
      </c>
      <c r="L627" s="357">
        <f t="shared" ca="1" si="261"/>
        <v>184.37840242457622</v>
      </c>
      <c r="M627" s="359">
        <f t="shared" ca="1" si="277"/>
        <v>-1.4814608026643921</v>
      </c>
      <c r="N627" s="357">
        <f t="shared" ca="1" si="278"/>
        <v>-84.881451506732972</v>
      </c>
      <c r="O627" s="343"/>
      <c r="P627" s="363">
        <f t="shared" ca="1" si="279"/>
        <v>23</v>
      </c>
      <c r="Q627" s="357">
        <f t="shared" ca="1" si="280"/>
        <v>0</v>
      </c>
      <c r="R627" s="359">
        <f t="shared" ca="1" si="281"/>
        <v>0</v>
      </c>
      <c r="S627" s="360">
        <f t="shared" ca="1" si="282"/>
        <v>0.42898953648292248</v>
      </c>
      <c r="T627" s="357">
        <f t="shared" ca="1" si="262"/>
        <v>4.2083873528974696</v>
      </c>
      <c r="U627" s="364">
        <f t="shared" ca="1" si="263"/>
        <v>0</v>
      </c>
      <c r="V627" s="359">
        <f t="shared" ca="1" si="264"/>
        <v>1.2257965047205666</v>
      </c>
      <c r="W627" s="357">
        <f t="shared" ca="1" si="265"/>
        <v>3.3960219783574432</v>
      </c>
      <c r="X627" s="343"/>
      <c r="Y627" s="367" t="str">
        <f t="shared" ca="1" si="283"/>
        <v/>
      </c>
      <c r="Z627" s="368" t="str">
        <f t="shared" ca="1" si="284"/>
        <v/>
      </c>
      <c r="AA627" s="369" t="str">
        <f t="shared" ca="1" si="285"/>
        <v/>
      </c>
      <c r="AB627" s="344"/>
      <c r="AC627" s="363" t="e">
        <f t="shared" ca="1" si="286"/>
        <v>#N/A</v>
      </c>
      <c r="AD627" s="376" t="e">
        <f t="shared" ca="1" si="287"/>
        <v>#N/A</v>
      </c>
      <c r="AE627" s="377" t="e">
        <f t="shared" ca="1" si="266"/>
        <v>#N/A</v>
      </c>
      <c r="AF627" s="344"/>
      <c r="AG627" s="359">
        <f t="shared" ca="1" si="288"/>
        <v>1.8546072278364267</v>
      </c>
      <c r="AH627" s="357">
        <f t="shared" ca="1" si="289"/>
        <v>-7.9162714337124225</v>
      </c>
    </row>
    <row r="628" spans="1:34">
      <c r="A628" s="402">
        <f t="shared" ca="1" si="267"/>
        <v>1E-4</v>
      </c>
      <c r="B628" s="357">
        <f t="shared" ca="1" si="268"/>
        <v>16.92749999999991</v>
      </c>
      <c r="C628" s="342"/>
      <c r="D628" s="359">
        <f t="shared" ca="1" si="269"/>
        <v>-0.70626902005167147</v>
      </c>
      <c r="E628" s="360">
        <f t="shared" ca="1" si="270"/>
        <v>-1.9252402238030335</v>
      </c>
      <c r="F628" s="357">
        <f t="shared" ca="1" si="271"/>
        <v>2.0506988681993032</v>
      </c>
      <c r="G628" s="359">
        <f t="shared" ca="1" si="272"/>
        <v>5.0015764936833298</v>
      </c>
      <c r="H628" s="360">
        <f t="shared" ca="1" si="273"/>
        <v>-55.838385778254825</v>
      </c>
      <c r="I628" s="357">
        <f t="shared" ca="1" si="274"/>
        <v>56.061939796473119</v>
      </c>
      <c r="J628" s="359">
        <f t="shared" ca="1" si="275"/>
        <v>184.26379383972827</v>
      </c>
      <c r="K628" s="360">
        <f t="shared" ca="1" si="276"/>
        <v>-6.505550015717473</v>
      </c>
      <c r="L628" s="357">
        <f t="shared" ca="1" si="261"/>
        <v>184.3785993579973</v>
      </c>
      <c r="M628" s="359">
        <f t="shared" ca="1" si="277"/>
        <v>-1.4814623638237998</v>
      </c>
      <c r="N628" s="357">
        <f t="shared" ca="1" si="278"/>
        <v>-84.881540954578185</v>
      </c>
      <c r="O628" s="343"/>
      <c r="P628" s="363">
        <f t="shared" ca="1" si="279"/>
        <v>23</v>
      </c>
      <c r="Q628" s="357">
        <f t="shared" ca="1" si="280"/>
        <v>0</v>
      </c>
      <c r="R628" s="359">
        <f t="shared" ca="1" si="281"/>
        <v>0</v>
      </c>
      <c r="S628" s="360">
        <f t="shared" ca="1" si="282"/>
        <v>0.42898953648292248</v>
      </c>
      <c r="T628" s="357">
        <f t="shared" ca="1" si="262"/>
        <v>4.2083873528974696</v>
      </c>
      <c r="U628" s="364">
        <f t="shared" ca="1" si="263"/>
        <v>0</v>
      </c>
      <c r="V628" s="359">
        <f t="shared" ca="1" si="264"/>
        <v>1.2257971891846311</v>
      </c>
      <c r="W628" s="357">
        <f t="shared" ca="1" si="265"/>
        <v>3.396046343129056</v>
      </c>
      <c r="X628" s="343"/>
      <c r="Y628" s="367" t="str">
        <f t="shared" ca="1" si="283"/>
        <v/>
      </c>
      <c r="Z628" s="368" t="str">
        <f t="shared" ca="1" si="284"/>
        <v/>
      </c>
      <c r="AA628" s="369" t="str">
        <f t="shared" ca="1" si="285"/>
        <v/>
      </c>
      <c r="AB628" s="344"/>
      <c r="AC628" s="363" t="e">
        <f t="shared" ca="1" si="286"/>
        <v>#N/A</v>
      </c>
      <c r="AD628" s="376" t="e">
        <f t="shared" ca="1" si="287"/>
        <v>#N/A</v>
      </c>
      <c r="AE628" s="377" t="e">
        <f t="shared" ca="1" si="266"/>
        <v>#N/A</v>
      </c>
      <c r="AF628" s="344"/>
      <c r="AG628" s="359">
        <f t="shared" ca="1" si="288"/>
        <v>1.8545517971880745</v>
      </c>
      <c r="AH628" s="357">
        <f t="shared" ca="1" si="289"/>
        <v>-7.9163282307530931</v>
      </c>
    </row>
    <row r="629" spans="1:34">
      <c r="A629" s="402">
        <f t="shared" ca="1" si="267"/>
        <v>1E-4</v>
      </c>
      <c r="B629" s="357">
        <f t="shared" ca="1" si="268"/>
        <v>16.927599999999909</v>
      </c>
      <c r="C629" s="342"/>
      <c r="D629" s="359">
        <f t="shared" ca="1" si="269"/>
        <v>-0.70626177772515997</v>
      </c>
      <c r="E629" s="360">
        <f t="shared" ca="1" si="270"/>
        <v>-1.9251825519694954</v>
      </c>
      <c r="F629" s="357">
        <f t="shared" ca="1" si="271"/>
        <v>2.0506422303959515</v>
      </c>
      <c r="G629" s="359">
        <f t="shared" ca="1" si="272"/>
        <v>5.001505867505557</v>
      </c>
      <c r="H629" s="360">
        <f t="shared" ca="1" si="273"/>
        <v>-55.838578296510022</v>
      </c>
      <c r="I629" s="357">
        <f t="shared" ca="1" si="274"/>
        <v>56.062125246178212</v>
      </c>
      <c r="J629" s="359">
        <f t="shared" ca="1" si="275"/>
        <v>184.26379383972827</v>
      </c>
      <c r="K629" s="360">
        <f t="shared" ca="1" si="276"/>
        <v>-6.5111338639212111</v>
      </c>
      <c r="L629" s="357">
        <f t="shared" ca="1" si="261"/>
        <v>184.37879646099162</v>
      </c>
      <c r="M629" s="359">
        <f t="shared" ca="1" si="277"/>
        <v>-1.4814639249508343</v>
      </c>
      <c r="N629" s="357">
        <f t="shared" ca="1" si="278"/>
        <v>-84.88163040056854</v>
      </c>
      <c r="O629" s="343"/>
      <c r="P629" s="363">
        <f t="shared" ca="1" si="279"/>
        <v>23</v>
      </c>
      <c r="Q629" s="357">
        <f t="shared" ca="1" si="280"/>
        <v>0</v>
      </c>
      <c r="R629" s="359">
        <f t="shared" ca="1" si="281"/>
        <v>0</v>
      </c>
      <c r="S629" s="360">
        <f t="shared" ca="1" si="282"/>
        <v>0.42898953648292248</v>
      </c>
      <c r="T629" s="357">
        <f t="shared" ca="1" si="262"/>
        <v>4.2083873528974696</v>
      </c>
      <c r="U629" s="364">
        <f t="shared" ca="1" si="263"/>
        <v>0</v>
      </c>
      <c r="V629" s="359">
        <f t="shared" ca="1" si="264"/>
        <v>1.2257978736514381</v>
      </c>
      <c r="W629" s="357">
        <f t="shared" ca="1" si="265"/>
        <v>3.3960707073361354</v>
      </c>
      <c r="X629" s="343"/>
      <c r="Y629" s="367" t="str">
        <f t="shared" ca="1" si="283"/>
        <v/>
      </c>
      <c r="Z629" s="368" t="str">
        <f t="shared" ca="1" si="284"/>
        <v/>
      </c>
      <c r="AA629" s="369" t="str">
        <f t="shared" ca="1" si="285"/>
        <v/>
      </c>
      <c r="AB629" s="344"/>
      <c r="AC629" s="363" t="e">
        <f t="shared" ca="1" si="286"/>
        <v>#N/A</v>
      </c>
      <c r="AD629" s="376" t="e">
        <f t="shared" ca="1" si="287"/>
        <v>#N/A</v>
      </c>
      <c r="AE629" s="377" t="e">
        <f t="shared" ca="1" si="266"/>
        <v>#N/A</v>
      </c>
      <c r="AF629" s="344"/>
      <c r="AG629" s="359">
        <f t="shared" ca="1" si="288"/>
        <v>1.8544963678035478</v>
      </c>
      <c r="AH629" s="357">
        <f t="shared" ca="1" si="289"/>
        <v>-7.9163850264777915</v>
      </c>
    </row>
    <row r="630" spans="1:34">
      <c r="A630" s="402">
        <f t="shared" ca="1" si="267"/>
        <v>1E-4</v>
      </c>
      <c r="B630" s="357">
        <f t="shared" ca="1" si="268"/>
        <v>16.927699999999909</v>
      </c>
      <c r="C630" s="342"/>
      <c r="D630" s="359">
        <f t="shared" ca="1" si="269"/>
        <v>-0.70625453535815719</v>
      </c>
      <c r="E630" s="360">
        <f t="shared" ca="1" si="270"/>
        <v>-1.9251248814729305</v>
      </c>
      <c r="F630" s="357">
        <f t="shared" ca="1" si="271"/>
        <v>2.0505855939170474</v>
      </c>
      <c r="G630" s="359">
        <f t="shared" ca="1" si="272"/>
        <v>5.0014352420520209</v>
      </c>
      <c r="H630" s="360">
        <f t="shared" ca="1" si="273"/>
        <v>-55.83877080899817</v>
      </c>
      <c r="I630" s="357">
        <f t="shared" ca="1" si="274"/>
        <v>56.062310690340496</v>
      </c>
      <c r="J630" s="359">
        <f t="shared" ca="1" si="275"/>
        <v>184.26379383972827</v>
      </c>
      <c r="K630" s="360">
        <f t="shared" ca="1" si="276"/>
        <v>-6.5167177313764864</v>
      </c>
      <c r="L630" s="357">
        <f t="shared" ca="1" si="261"/>
        <v>184.37899373356043</v>
      </c>
      <c r="M630" s="359">
        <f t="shared" ca="1" si="277"/>
        <v>-1.481465486045497</v>
      </c>
      <c r="N630" s="357">
        <f t="shared" ca="1" si="278"/>
        <v>-84.881719844704136</v>
      </c>
      <c r="O630" s="343"/>
      <c r="P630" s="363">
        <f t="shared" ca="1" si="279"/>
        <v>23</v>
      </c>
      <c r="Q630" s="357">
        <f t="shared" ca="1" si="280"/>
        <v>0</v>
      </c>
      <c r="R630" s="359">
        <f t="shared" ca="1" si="281"/>
        <v>0</v>
      </c>
      <c r="S630" s="360">
        <f t="shared" ca="1" si="282"/>
        <v>0.42898953648292248</v>
      </c>
      <c r="T630" s="357">
        <f t="shared" ca="1" si="262"/>
        <v>4.2083873528974696</v>
      </c>
      <c r="U630" s="364">
        <f t="shared" ca="1" si="263"/>
        <v>0</v>
      </c>
      <c r="V630" s="359">
        <f t="shared" ca="1" si="264"/>
        <v>1.2257985581209871</v>
      </c>
      <c r="W630" s="357">
        <f t="shared" ca="1" si="265"/>
        <v>3.3960950709786899</v>
      </c>
      <c r="X630" s="343"/>
      <c r="Y630" s="367" t="str">
        <f t="shared" ca="1" si="283"/>
        <v/>
      </c>
      <c r="Z630" s="368" t="str">
        <f t="shared" ca="1" si="284"/>
        <v/>
      </c>
      <c r="AA630" s="369" t="str">
        <f t="shared" ca="1" si="285"/>
        <v/>
      </c>
      <c r="AB630" s="344"/>
      <c r="AC630" s="363" t="e">
        <f t="shared" ca="1" si="286"/>
        <v>#N/A</v>
      </c>
      <c r="AD630" s="376" t="e">
        <f t="shared" ca="1" si="287"/>
        <v>#N/A</v>
      </c>
      <c r="AE630" s="377" t="e">
        <f t="shared" ca="1" si="266"/>
        <v>#N/A</v>
      </c>
      <c r="AF630" s="344"/>
      <c r="AG630" s="359">
        <f t="shared" ca="1" si="288"/>
        <v>1.8544409396828341</v>
      </c>
      <c r="AH630" s="357">
        <f t="shared" ca="1" si="289"/>
        <v>-7.9164418208865301</v>
      </c>
    </row>
    <row r="631" spans="1:34">
      <c r="A631" s="402">
        <f t="shared" ca="1" si="267"/>
        <v>1E-4</v>
      </c>
      <c r="B631" s="357">
        <f t="shared" ca="1" si="268"/>
        <v>16.927799999999909</v>
      </c>
      <c r="C631" s="342"/>
      <c r="D631" s="359">
        <f t="shared" ca="1" si="269"/>
        <v>-0.70624729295066591</v>
      </c>
      <c r="E631" s="360">
        <f t="shared" ca="1" si="270"/>
        <v>-1.9250672123133183</v>
      </c>
      <c r="F631" s="357">
        <f t="shared" ca="1" si="271"/>
        <v>2.050528958762571</v>
      </c>
      <c r="G631" s="359">
        <f t="shared" ca="1" si="272"/>
        <v>5.001364617322726</v>
      </c>
      <c r="H631" s="360">
        <f t="shared" ca="1" si="273"/>
        <v>-55.838963315719404</v>
      </c>
      <c r="I631" s="357">
        <f t="shared" ca="1" si="274"/>
        <v>56.062496128960085</v>
      </c>
      <c r="J631" s="359">
        <f t="shared" ca="1" si="275"/>
        <v>184.26379383972827</v>
      </c>
      <c r="K631" s="360">
        <f t="shared" ca="1" si="276"/>
        <v>-6.5223016180827225</v>
      </c>
      <c r="L631" s="357">
        <f t="shared" ca="1" si="261"/>
        <v>184.37919117570488</v>
      </c>
      <c r="M631" s="359">
        <f t="shared" ca="1" si="277"/>
        <v>-1.481467047107788</v>
      </c>
      <c r="N631" s="357">
        <f t="shared" ca="1" si="278"/>
        <v>-84.881809286984961</v>
      </c>
      <c r="O631" s="343"/>
      <c r="P631" s="363">
        <f t="shared" ca="1" si="279"/>
        <v>23</v>
      </c>
      <c r="Q631" s="357">
        <f t="shared" ca="1" si="280"/>
        <v>0</v>
      </c>
      <c r="R631" s="359">
        <f t="shared" ca="1" si="281"/>
        <v>0</v>
      </c>
      <c r="S631" s="360">
        <f t="shared" ca="1" si="282"/>
        <v>0.42898953648292248</v>
      </c>
      <c r="T631" s="357">
        <f t="shared" ca="1" si="262"/>
        <v>4.2083873528974696</v>
      </c>
      <c r="U631" s="364">
        <f t="shared" ca="1" si="263"/>
        <v>0</v>
      </c>
      <c r="V631" s="359">
        <f t="shared" ca="1" si="264"/>
        <v>1.2257992425932782</v>
      </c>
      <c r="W631" s="357">
        <f t="shared" ca="1" si="265"/>
        <v>3.3961194340567267</v>
      </c>
      <c r="X631" s="343"/>
      <c r="Y631" s="367" t="str">
        <f t="shared" ca="1" si="283"/>
        <v/>
      </c>
      <c r="Z631" s="368" t="str">
        <f t="shared" ca="1" si="284"/>
        <v/>
      </c>
      <c r="AA631" s="369" t="str">
        <f t="shared" ca="1" si="285"/>
        <v/>
      </c>
      <c r="AB631" s="344"/>
      <c r="AC631" s="363" t="e">
        <f t="shared" ca="1" si="286"/>
        <v>#N/A</v>
      </c>
      <c r="AD631" s="376" t="e">
        <f t="shared" ca="1" si="287"/>
        <v>#N/A</v>
      </c>
      <c r="AE631" s="377" t="e">
        <f t="shared" ca="1" si="266"/>
        <v>#N/A</v>
      </c>
      <c r="AF631" s="344"/>
      <c r="AG631" s="359">
        <f t="shared" ca="1" si="288"/>
        <v>1.8543855128259201</v>
      </c>
      <c r="AH631" s="357">
        <f t="shared" ca="1" si="289"/>
        <v>-7.9164986139793276</v>
      </c>
    </row>
    <row r="632" spans="1:34">
      <c r="A632" s="402">
        <f t="shared" ca="1" si="267"/>
        <v>1E-4</v>
      </c>
      <c r="B632" s="357">
        <f t="shared" ca="1" si="268"/>
        <v>16.927899999999909</v>
      </c>
      <c r="C632" s="342"/>
      <c r="D632" s="359">
        <f t="shared" ca="1" si="269"/>
        <v>-0.70624005050269756</v>
      </c>
      <c r="E632" s="360">
        <f t="shared" ca="1" si="270"/>
        <v>-1.925009544490643</v>
      </c>
      <c r="F632" s="357">
        <f t="shared" ca="1" si="271"/>
        <v>2.0504723249325081</v>
      </c>
      <c r="G632" s="359">
        <f t="shared" ca="1" si="272"/>
        <v>5.0012939933176757</v>
      </c>
      <c r="H632" s="360">
        <f t="shared" ca="1" si="273"/>
        <v>-55.839155816673852</v>
      </c>
      <c r="I632" s="357">
        <f t="shared" ca="1" si="274"/>
        <v>56.06268156203712</v>
      </c>
      <c r="J632" s="359">
        <f t="shared" ca="1" si="275"/>
        <v>184.26379383972827</v>
      </c>
      <c r="K632" s="360">
        <f t="shared" ca="1" si="276"/>
        <v>-6.5278855240393421</v>
      </c>
      <c r="L632" s="357">
        <f t="shared" ca="1" si="261"/>
        <v>184.37938878742614</v>
      </c>
      <c r="M632" s="359">
        <f t="shared" ca="1" si="277"/>
        <v>-1.4814686081377089</v>
      </c>
      <c r="N632" s="357">
        <f t="shared" ca="1" si="278"/>
        <v>-84.881898727411127</v>
      </c>
      <c r="O632" s="343"/>
      <c r="P632" s="363">
        <f t="shared" ca="1" si="279"/>
        <v>23</v>
      </c>
      <c r="Q632" s="357">
        <f t="shared" ca="1" si="280"/>
        <v>0</v>
      </c>
      <c r="R632" s="359">
        <f t="shared" ca="1" si="281"/>
        <v>0</v>
      </c>
      <c r="S632" s="360">
        <f t="shared" ca="1" si="282"/>
        <v>0.42898953648292248</v>
      </c>
      <c r="T632" s="357">
        <f t="shared" ca="1" si="262"/>
        <v>4.2083873528974696</v>
      </c>
      <c r="U632" s="364">
        <f t="shared" ca="1" si="263"/>
        <v>0</v>
      </c>
      <c r="V632" s="359">
        <f t="shared" ca="1" si="264"/>
        <v>1.2257999270683115</v>
      </c>
      <c r="W632" s="357">
        <f t="shared" ca="1" si="265"/>
        <v>3.3961437965702559</v>
      </c>
      <c r="X632" s="343"/>
      <c r="Y632" s="367" t="str">
        <f t="shared" ca="1" si="283"/>
        <v/>
      </c>
      <c r="Z632" s="368" t="str">
        <f t="shared" ca="1" si="284"/>
        <v/>
      </c>
      <c r="AA632" s="369" t="str">
        <f t="shared" ca="1" si="285"/>
        <v/>
      </c>
      <c r="AB632" s="344"/>
      <c r="AC632" s="363" t="e">
        <f t="shared" ca="1" si="286"/>
        <v>#N/A</v>
      </c>
      <c r="AD632" s="376" t="e">
        <f t="shared" ca="1" si="287"/>
        <v>#N/A</v>
      </c>
      <c r="AE632" s="377" t="e">
        <f t="shared" ca="1" si="266"/>
        <v>#N/A</v>
      </c>
      <c r="AF632" s="344"/>
      <c r="AG632" s="359">
        <f t="shared" ca="1" si="288"/>
        <v>1.8543300872327864</v>
      </c>
      <c r="AH632" s="357">
        <f t="shared" ca="1" si="289"/>
        <v>-7.9165554057562</v>
      </c>
    </row>
    <row r="633" spans="1:34">
      <c r="A633" s="402">
        <f t="shared" ca="1" si="267"/>
        <v>1E-4</v>
      </c>
      <c r="B633" s="357">
        <f t="shared" ca="1" si="268"/>
        <v>16.927999999999908</v>
      </c>
      <c r="C633" s="342"/>
      <c r="D633" s="359">
        <f t="shared" ca="1" si="269"/>
        <v>-0.70623280801425392</v>
      </c>
      <c r="E633" s="360">
        <f t="shared" ca="1" si="270"/>
        <v>-1.9249518780048787</v>
      </c>
      <c r="F633" s="357">
        <f t="shared" ca="1" si="271"/>
        <v>2.0504156924268324</v>
      </c>
      <c r="G633" s="359">
        <f t="shared" ca="1" si="272"/>
        <v>5.0012233700368744</v>
      </c>
      <c r="H633" s="360">
        <f t="shared" ca="1" si="273"/>
        <v>-55.839348311861656</v>
      </c>
      <c r="I633" s="357">
        <f t="shared" ca="1" si="274"/>
        <v>56.062866989571717</v>
      </c>
      <c r="J633" s="359">
        <f t="shared" ca="1" si="275"/>
        <v>184.26379383972827</v>
      </c>
      <c r="K633" s="360">
        <f t="shared" ca="1" si="276"/>
        <v>-6.5334694492457688</v>
      </c>
      <c r="L633" s="357">
        <f t="shared" ca="1" si="261"/>
        <v>184.37958656872541</v>
      </c>
      <c r="M633" s="359">
        <f t="shared" ca="1" si="277"/>
        <v>-1.4814701691352603</v>
      </c>
      <c r="N633" s="357">
        <f t="shared" ca="1" si="278"/>
        <v>-84.881988165982648</v>
      </c>
      <c r="O633" s="343"/>
      <c r="P633" s="363">
        <f t="shared" ca="1" si="279"/>
        <v>23</v>
      </c>
      <c r="Q633" s="357">
        <f t="shared" ca="1" si="280"/>
        <v>0</v>
      </c>
      <c r="R633" s="359">
        <f t="shared" ca="1" si="281"/>
        <v>0</v>
      </c>
      <c r="S633" s="360">
        <f t="shared" ca="1" si="282"/>
        <v>0.42898953648292248</v>
      </c>
      <c r="T633" s="357">
        <f t="shared" ca="1" si="262"/>
        <v>4.2083873528974696</v>
      </c>
      <c r="U633" s="364">
        <f t="shared" ca="1" si="263"/>
        <v>0</v>
      </c>
      <c r="V633" s="359">
        <f t="shared" ca="1" si="264"/>
        <v>1.2258006115460864</v>
      </c>
      <c r="W633" s="357">
        <f t="shared" ca="1" si="265"/>
        <v>3.3961681585192811</v>
      </c>
      <c r="X633" s="343"/>
      <c r="Y633" s="367" t="str">
        <f t="shared" ca="1" si="283"/>
        <v/>
      </c>
      <c r="Z633" s="368" t="str">
        <f t="shared" ca="1" si="284"/>
        <v/>
      </c>
      <c r="AA633" s="369" t="str">
        <f t="shared" ca="1" si="285"/>
        <v/>
      </c>
      <c r="AB633" s="344"/>
      <c r="AC633" s="363" t="e">
        <f t="shared" ca="1" si="286"/>
        <v>#N/A</v>
      </c>
      <c r="AD633" s="376" t="e">
        <f t="shared" ca="1" si="287"/>
        <v>#N/A</v>
      </c>
      <c r="AE633" s="377" t="e">
        <f t="shared" ca="1" si="266"/>
        <v>#N/A</v>
      </c>
      <c r="AF633" s="344"/>
      <c r="AG633" s="359">
        <f t="shared" ca="1" si="288"/>
        <v>1.8542746629034141</v>
      </c>
      <c r="AH633" s="357">
        <f t="shared" ca="1" si="289"/>
        <v>-7.9166121962171729</v>
      </c>
    </row>
    <row r="634" spans="1:34">
      <c r="A634" s="402">
        <f t="shared" ca="1" si="267"/>
        <v>1E-4</v>
      </c>
      <c r="B634" s="357">
        <f t="shared" ca="1" si="268"/>
        <v>16.928099999999908</v>
      </c>
      <c r="C634" s="342"/>
      <c r="D634" s="359">
        <f t="shared" ca="1" si="269"/>
        <v>-0.70622556548534221</v>
      </c>
      <c r="E634" s="360">
        <f t="shared" ca="1" si="270"/>
        <v>-1.9248942128560191</v>
      </c>
      <c r="F634" s="357">
        <f t="shared" ca="1" si="271"/>
        <v>2.0503590612455382</v>
      </c>
      <c r="G634" s="359">
        <f t="shared" ca="1" si="272"/>
        <v>5.0011527474803259</v>
      </c>
      <c r="H634" s="360">
        <f t="shared" ca="1" si="273"/>
        <v>-55.839540801282944</v>
      </c>
      <c r="I634" s="357">
        <f t="shared" ca="1" si="274"/>
        <v>56.063052411564001</v>
      </c>
      <c r="J634" s="359">
        <f t="shared" ca="1" si="275"/>
        <v>184.26379383972827</v>
      </c>
      <c r="K634" s="360">
        <f t="shared" ca="1" si="276"/>
        <v>-6.5390533937014261</v>
      </c>
      <c r="L634" s="357">
        <f t="shared" ca="1" si="261"/>
        <v>184.37978451960387</v>
      </c>
      <c r="M634" s="359">
        <f t="shared" ca="1" si="277"/>
        <v>-1.4814717301004432</v>
      </c>
      <c r="N634" s="357">
        <f t="shared" ca="1" si="278"/>
        <v>-84.882077602699596</v>
      </c>
      <c r="O634" s="343"/>
      <c r="P634" s="363">
        <f t="shared" ca="1" si="279"/>
        <v>23</v>
      </c>
      <c r="Q634" s="357">
        <f t="shared" ca="1" si="280"/>
        <v>0</v>
      </c>
      <c r="R634" s="359">
        <f t="shared" ca="1" si="281"/>
        <v>0</v>
      </c>
      <c r="S634" s="360">
        <f t="shared" ca="1" si="282"/>
        <v>0.42898953648292248</v>
      </c>
      <c r="T634" s="357">
        <f t="shared" ca="1" si="262"/>
        <v>4.2083873528974696</v>
      </c>
      <c r="U634" s="364">
        <f t="shared" ca="1" si="263"/>
        <v>0</v>
      </c>
      <c r="V634" s="359">
        <f t="shared" ca="1" si="264"/>
        <v>1.2258012960266038</v>
      </c>
      <c r="W634" s="357">
        <f t="shared" ca="1" si="265"/>
        <v>3.3961925199038139</v>
      </c>
      <c r="X634" s="343"/>
      <c r="Y634" s="367" t="str">
        <f t="shared" ca="1" si="283"/>
        <v/>
      </c>
      <c r="Z634" s="368" t="str">
        <f t="shared" ca="1" si="284"/>
        <v/>
      </c>
      <c r="AA634" s="369" t="str">
        <f t="shared" ca="1" si="285"/>
        <v/>
      </c>
      <c r="AB634" s="344"/>
      <c r="AC634" s="363" t="e">
        <f t="shared" ca="1" si="286"/>
        <v>#N/A</v>
      </c>
      <c r="AD634" s="376" t="e">
        <f t="shared" ca="1" si="287"/>
        <v>#N/A</v>
      </c>
      <c r="AE634" s="377" t="e">
        <f t="shared" ca="1" si="266"/>
        <v>#N/A</v>
      </c>
      <c r="AF634" s="344"/>
      <c r="AG634" s="359">
        <f t="shared" ca="1" si="288"/>
        <v>1.8542192398377972</v>
      </c>
      <c r="AH634" s="357">
        <f t="shared" ca="1" si="289"/>
        <v>-7.9166689853622527</v>
      </c>
    </row>
    <row r="635" spans="1:34">
      <c r="A635" s="402">
        <f t="shared" ca="1" si="267"/>
        <v>1E-4</v>
      </c>
      <c r="B635" s="357">
        <f t="shared" ca="1" si="268"/>
        <v>16.928199999999908</v>
      </c>
      <c r="C635" s="342"/>
      <c r="D635" s="359">
        <f t="shared" ca="1" si="269"/>
        <v>-0.70621832291596953</v>
      </c>
      <c r="E635" s="360">
        <f t="shared" ca="1" si="270"/>
        <v>-1.9248365490440342</v>
      </c>
      <c r="F635" s="357">
        <f t="shared" ca="1" si="271"/>
        <v>2.0503024313885967</v>
      </c>
      <c r="G635" s="359">
        <f t="shared" ca="1" si="272"/>
        <v>5.0010821256480344</v>
      </c>
      <c r="H635" s="360">
        <f t="shared" ca="1" si="273"/>
        <v>-55.83973328493785</v>
      </c>
      <c r="I635" s="357">
        <f t="shared" ca="1" si="274"/>
        <v>56.06323782801411</v>
      </c>
      <c r="J635" s="359">
        <f t="shared" ca="1" si="275"/>
        <v>184.26379383972827</v>
      </c>
      <c r="K635" s="360">
        <f t="shared" ca="1" si="276"/>
        <v>-6.5446373574057368</v>
      </c>
      <c r="L635" s="357">
        <f t="shared" ca="1" si="261"/>
        <v>184.37998264006271</v>
      </c>
      <c r="M635" s="359">
        <f t="shared" ca="1" si="277"/>
        <v>-1.4814732910332586</v>
      </c>
      <c r="N635" s="357">
        <f t="shared" ca="1" si="278"/>
        <v>-84.882167037562027</v>
      </c>
      <c r="O635" s="343"/>
      <c r="P635" s="363">
        <f t="shared" ca="1" si="279"/>
        <v>23</v>
      </c>
      <c r="Q635" s="357">
        <f t="shared" ca="1" si="280"/>
        <v>0</v>
      </c>
      <c r="R635" s="359">
        <f t="shared" ca="1" si="281"/>
        <v>0</v>
      </c>
      <c r="S635" s="360">
        <f t="shared" ca="1" si="282"/>
        <v>0.42898953648292248</v>
      </c>
      <c r="T635" s="357">
        <f t="shared" ca="1" si="262"/>
        <v>4.2083873528974696</v>
      </c>
      <c r="U635" s="364">
        <f t="shared" ca="1" si="263"/>
        <v>0</v>
      </c>
      <c r="V635" s="359">
        <f t="shared" ca="1" si="264"/>
        <v>1.2258019805098623</v>
      </c>
      <c r="W635" s="357">
        <f t="shared" ca="1" si="265"/>
        <v>3.3962168807238591</v>
      </c>
      <c r="X635" s="343"/>
      <c r="Y635" s="367" t="str">
        <f t="shared" ca="1" si="283"/>
        <v/>
      </c>
      <c r="Z635" s="368" t="str">
        <f t="shared" ca="1" si="284"/>
        <v/>
      </c>
      <c r="AA635" s="369" t="str">
        <f t="shared" ca="1" si="285"/>
        <v/>
      </c>
      <c r="AB635" s="344"/>
      <c r="AC635" s="363" t="e">
        <f t="shared" ca="1" si="286"/>
        <v>#N/A</v>
      </c>
      <c r="AD635" s="376" t="e">
        <f t="shared" ca="1" si="287"/>
        <v>#N/A</v>
      </c>
      <c r="AE635" s="377" t="e">
        <f t="shared" ca="1" si="266"/>
        <v>#N/A</v>
      </c>
      <c r="AF635" s="344"/>
      <c r="AG635" s="359">
        <f t="shared" ca="1" si="288"/>
        <v>1.854163818035909</v>
      </c>
      <c r="AH635" s="357">
        <f t="shared" ca="1" si="289"/>
        <v>-7.9167257731914678</v>
      </c>
    </row>
    <row r="636" spans="1:34">
      <c r="A636" s="402">
        <f t="shared" ca="1" si="267"/>
        <v>1E-4</v>
      </c>
      <c r="B636" s="357">
        <f t="shared" ca="1" si="268"/>
        <v>16.928299999999908</v>
      </c>
      <c r="C636" s="342"/>
      <c r="D636" s="359">
        <f t="shared" ca="1" si="269"/>
        <v>-0.70621108030613977</v>
      </c>
      <c r="E636" s="360">
        <f t="shared" ca="1" si="270"/>
        <v>-1.9247788865689142</v>
      </c>
      <c r="F636" s="357">
        <f t="shared" ca="1" si="271"/>
        <v>2.0502458028559976</v>
      </c>
      <c r="G636" s="359">
        <f t="shared" ca="1" si="272"/>
        <v>5.0010115045400036</v>
      </c>
      <c r="H636" s="360">
        <f t="shared" ca="1" si="273"/>
        <v>-55.83992576282651</v>
      </c>
      <c r="I636" s="357">
        <f t="shared" ca="1" si="274"/>
        <v>56.063423238922155</v>
      </c>
      <c r="J636" s="359">
        <f t="shared" ca="1" si="275"/>
        <v>184.26379383972827</v>
      </c>
      <c r="K636" s="360">
        <f t="shared" ca="1" si="276"/>
        <v>-6.5502213403581253</v>
      </c>
      <c r="L636" s="357">
        <f t="shared" ca="1" si="261"/>
        <v>184.38018093010314</v>
      </c>
      <c r="M636" s="359">
        <f t="shared" ca="1" si="277"/>
        <v>-1.4814748519337073</v>
      </c>
      <c r="N636" s="357">
        <f t="shared" ca="1" si="278"/>
        <v>-84.88225647056997</v>
      </c>
      <c r="O636" s="343"/>
      <c r="P636" s="363">
        <f t="shared" ca="1" si="279"/>
        <v>23</v>
      </c>
      <c r="Q636" s="357">
        <f t="shared" ca="1" si="280"/>
        <v>0</v>
      </c>
      <c r="R636" s="359">
        <f t="shared" ca="1" si="281"/>
        <v>0</v>
      </c>
      <c r="S636" s="360">
        <f t="shared" ca="1" si="282"/>
        <v>0.42898953648292248</v>
      </c>
      <c r="T636" s="357">
        <f t="shared" ca="1" si="262"/>
        <v>4.2083873528974696</v>
      </c>
      <c r="U636" s="364">
        <f t="shared" ca="1" si="263"/>
        <v>0</v>
      </c>
      <c r="V636" s="359">
        <f t="shared" ca="1" si="264"/>
        <v>1.2258026649958635</v>
      </c>
      <c r="W636" s="357">
        <f t="shared" ca="1" si="265"/>
        <v>3.3962412409794269</v>
      </c>
      <c r="X636" s="343"/>
      <c r="Y636" s="367" t="str">
        <f t="shared" ca="1" si="283"/>
        <v/>
      </c>
      <c r="Z636" s="368" t="str">
        <f t="shared" ca="1" si="284"/>
        <v/>
      </c>
      <c r="AA636" s="369" t="str">
        <f t="shared" ca="1" si="285"/>
        <v/>
      </c>
      <c r="AB636" s="344"/>
      <c r="AC636" s="363" t="e">
        <f t="shared" ca="1" si="286"/>
        <v>#N/A</v>
      </c>
      <c r="AD636" s="376" t="e">
        <f t="shared" ca="1" si="287"/>
        <v>#N/A</v>
      </c>
      <c r="AE636" s="377" t="e">
        <f t="shared" ca="1" si="266"/>
        <v>#N/A</v>
      </c>
      <c r="AF636" s="344"/>
      <c r="AG636" s="359">
        <f t="shared" ca="1" si="288"/>
        <v>1.8541083974977441</v>
      </c>
      <c r="AH636" s="357">
        <f t="shared" ca="1" si="289"/>
        <v>-7.9167825597048287</v>
      </c>
    </row>
    <row r="637" spans="1:34">
      <c r="A637" s="402">
        <f t="shared" ca="1" si="267"/>
        <v>1E-4</v>
      </c>
      <c r="B637" s="357">
        <f t="shared" ca="1" si="268"/>
        <v>16.928399999999908</v>
      </c>
      <c r="C637" s="342"/>
      <c r="D637" s="359">
        <f t="shared" ca="1" si="269"/>
        <v>-0.70620383765586148</v>
      </c>
      <c r="E637" s="360">
        <f t="shared" ca="1" si="270"/>
        <v>-1.924721225430635</v>
      </c>
      <c r="F637" s="357">
        <f t="shared" ca="1" si="271"/>
        <v>2.0501891756477182</v>
      </c>
      <c r="G637" s="359">
        <f t="shared" ca="1" si="272"/>
        <v>5.0009408841562379</v>
      </c>
      <c r="H637" s="360">
        <f t="shared" ca="1" si="273"/>
        <v>-55.840118234949053</v>
      </c>
      <c r="I637" s="357">
        <f t="shared" ca="1" si="274"/>
        <v>56.063608644288273</v>
      </c>
      <c r="J637" s="359">
        <f t="shared" ca="1" si="275"/>
        <v>184.26379383972827</v>
      </c>
      <c r="K637" s="360">
        <f t="shared" ca="1" si="276"/>
        <v>-6.5558053425580143</v>
      </c>
      <c r="L637" s="357">
        <f t="shared" ca="1" si="261"/>
        <v>184.38037938972627</v>
      </c>
      <c r="M637" s="359">
        <f t="shared" ca="1" si="277"/>
        <v>-1.4814764128017903</v>
      </c>
      <c r="N637" s="357">
        <f t="shared" ca="1" si="278"/>
        <v>-84.882345901723511</v>
      </c>
      <c r="O637" s="343"/>
      <c r="P637" s="363">
        <f t="shared" ca="1" si="279"/>
        <v>23</v>
      </c>
      <c r="Q637" s="357">
        <f t="shared" ca="1" si="280"/>
        <v>0</v>
      </c>
      <c r="R637" s="359">
        <f t="shared" ca="1" si="281"/>
        <v>0</v>
      </c>
      <c r="S637" s="360">
        <f t="shared" ca="1" si="282"/>
        <v>0.42898953648292248</v>
      </c>
      <c r="T637" s="357">
        <f t="shared" ca="1" si="262"/>
        <v>4.2083873528974696</v>
      </c>
      <c r="U637" s="364">
        <f t="shared" ca="1" si="263"/>
        <v>0</v>
      </c>
      <c r="V637" s="359">
        <f t="shared" ca="1" si="264"/>
        <v>1.2258033494846059</v>
      </c>
      <c r="W637" s="357">
        <f t="shared" ca="1" si="265"/>
        <v>3.3962656006705214</v>
      </c>
      <c r="X637" s="343"/>
      <c r="Y637" s="367" t="str">
        <f t="shared" ca="1" si="283"/>
        <v/>
      </c>
      <c r="Z637" s="368" t="str">
        <f t="shared" ca="1" si="284"/>
        <v/>
      </c>
      <c r="AA637" s="369" t="str">
        <f t="shared" ca="1" si="285"/>
        <v/>
      </c>
      <c r="AB637" s="344"/>
      <c r="AC637" s="363" t="e">
        <f t="shared" ca="1" si="286"/>
        <v>#N/A</v>
      </c>
      <c r="AD637" s="376" t="e">
        <f t="shared" ca="1" si="287"/>
        <v>#N/A</v>
      </c>
      <c r="AE637" s="377" t="e">
        <f t="shared" ca="1" si="266"/>
        <v>#N/A</v>
      </c>
      <c r="AF637" s="344"/>
      <c r="AG637" s="359">
        <f t="shared" ca="1" si="288"/>
        <v>1.8540529782232786</v>
      </c>
      <c r="AH637" s="357">
        <f t="shared" ca="1" si="289"/>
        <v>-7.9168393449023595</v>
      </c>
    </row>
    <row r="638" spans="1:34">
      <c r="A638" s="402">
        <f t="shared" ca="1" si="267"/>
        <v>1E-4</v>
      </c>
      <c r="B638" s="357">
        <f t="shared" ca="1" si="268"/>
        <v>16.928499999999907</v>
      </c>
      <c r="C638" s="342"/>
      <c r="D638" s="359">
        <f t="shared" ca="1" si="269"/>
        <v>-0.70619659496513887</v>
      </c>
      <c r="E638" s="360">
        <f t="shared" ca="1" si="270"/>
        <v>-1.9246635656291851</v>
      </c>
      <c r="F638" s="357">
        <f t="shared" ca="1" si="271"/>
        <v>2.0501325497637475</v>
      </c>
      <c r="G638" s="359">
        <f t="shared" ca="1" si="272"/>
        <v>5.0008702644967418</v>
      </c>
      <c r="H638" s="360">
        <f t="shared" ca="1" si="273"/>
        <v>-55.840310701305619</v>
      </c>
      <c r="I638" s="357">
        <f t="shared" ca="1" si="274"/>
        <v>56.063794044112591</v>
      </c>
      <c r="J638" s="359">
        <f t="shared" ca="1" si="275"/>
        <v>184.26379383972827</v>
      </c>
      <c r="K638" s="360">
        <f t="shared" ca="1" si="276"/>
        <v>-6.5613893640048273</v>
      </c>
      <c r="L638" s="357">
        <f t="shared" ca="1" si="261"/>
        <v>184.38057801893331</v>
      </c>
      <c r="M638" s="359">
        <f t="shared" ca="1" si="277"/>
        <v>-1.4814779736375085</v>
      </c>
      <c r="N638" s="357">
        <f t="shared" ca="1" si="278"/>
        <v>-84.882435331022677</v>
      </c>
      <c r="O638" s="343"/>
      <c r="P638" s="363">
        <f t="shared" ca="1" si="279"/>
        <v>23</v>
      </c>
      <c r="Q638" s="357">
        <f t="shared" ca="1" si="280"/>
        <v>0</v>
      </c>
      <c r="R638" s="359">
        <f t="shared" ca="1" si="281"/>
        <v>0</v>
      </c>
      <c r="S638" s="360">
        <f t="shared" ca="1" si="282"/>
        <v>0.42898953648292248</v>
      </c>
      <c r="T638" s="357">
        <f t="shared" ca="1" si="262"/>
        <v>4.2083873528974696</v>
      </c>
      <c r="U638" s="364">
        <f t="shared" ca="1" si="263"/>
        <v>0</v>
      </c>
      <c r="V638" s="359">
        <f t="shared" ca="1" si="264"/>
        <v>1.2258040339760894</v>
      </c>
      <c r="W638" s="357">
        <f t="shared" ca="1" si="265"/>
        <v>3.3962899597971519</v>
      </c>
      <c r="X638" s="343"/>
      <c r="Y638" s="367" t="str">
        <f t="shared" ca="1" si="283"/>
        <v/>
      </c>
      <c r="Z638" s="368" t="str">
        <f t="shared" ca="1" si="284"/>
        <v/>
      </c>
      <c r="AA638" s="369" t="str">
        <f t="shared" ca="1" si="285"/>
        <v/>
      </c>
      <c r="AB638" s="344"/>
      <c r="AC638" s="363" t="e">
        <f t="shared" ca="1" si="286"/>
        <v>#N/A</v>
      </c>
      <c r="AD638" s="376" t="e">
        <f t="shared" ca="1" si="287"/>
        <v>#N/A</v>
      </c>
      <c r="AE638" s="377" t="e">
        <f t="shared" ca="1" si="266"/>
        <v>#N/A</v>
      </c>
      <c r="AF638" s="344"/>
      <c r="AG638" s="359">
        <f t="shared" ca="1" si="288"/>
        <v>1.8539975602125081</v>
      </c>
      <c r="AH638" s="357">
        <f t="shared" ca="1" si="289"/>
        <v>-7.91689612878407</v>
      </c>
    </row>
    <row r="639" spans="1:34">
      <c r="A639" s="402">
        <f t="shared" ca="1" si="267"/>
        <v>1E-4</v>
      </c>
      <c r="B639" s="357">
        <f t="shared" ca="1" si="268"/>
        <v>16.928599999999907</v>
      </c>
      <c r="C639" s="342"/>
      <c r="D639" s="359">
        <f t="shared" ca="1" si="269"/>
        <v>-0.70618935223397805</v>
      </c>
      <c r="E639" s="360">
        <f t="shared" ca="1" si="270"/>
        <v>-1.9246059071645458</v>
      </c>
      <c r="F639" s="357">
        <f t="shared" ca="1" si="271"/>
        <v>2.0500759252040668</v>
      </c>
      <c r="G639" s="359">
        <f t="shared" ca="1" si="272"/>
        <v>5.0007996455615187</v>
      </c>
      <c r="H639" s="360">
        <f t="shared" ca="1" si="273"/>
        <v>-55.840503161896336</v>
      </c>
      <c r="I639" s="357">
        <f t="shared" ca="1" si="274"/>
        <v>56.063979438395229</v>
      </c>
      <c r="J639" s="359">
        <f t="shared" ca="1" si="275"/>
        <v>184.26379383972827</v>
      </c>
      <c r="K639" s="360">
        <f t="shared" ca="1" si="276"/>
        <v>-6.5669734046979871</v>
      </c>
      <c r="L639" s="357">
        <f t="shared" ca="1" si="261"/>
        <v>184.38077681772546</v>
      </c>
      <c r="M639" s="359">
        <f t="shared" ca="1" si="277"/>
        <v>-1.4814795344408629</v>
      </c>
      <c r="N639" s="357">
        <f t="shared" ca="1" si="278"/>
        <v>-84.882524758467525</v>
      </c>
      <c r="O639" s="343"/>
      <c r="P639" s="363">
        <f t="shared" ca="1" si="279"/>
        <v>23</v>
      </c>
      <c r="Q639" s="357">
        <f t="shared" ca="1" si="280"/>
        <v>0</v>
      </c>
      <c r="R639" s="359">
        <f t="shared" ca="1" si="281"/>
        <v>0</v>
      </c>
      <c r="S639" s="360">
        <f t="shared" ca="1" si="282"/>
        <v>0.42898953648292248</v>
      </c>
      <c r="T639" s="357">
        <f t="shared" ca="1" si="262"/>
        <v>4.2083873528974696</v>
      </c>
      <c r="U639" s="364">
        <f t="shared" ca="1" si="263"/>
        <v>0</v>
      </c>
      <c r="V639" s="359">
        <f t="shared" ca="1" si="264"/>
        <v>1.2258047184703149</v>
      </c>
      <c r="W639" s="357">
        <f t="shared" ca="1" si="265"/>
        <v>3.3963143183593272</v>
      </c>
      <c r="X639" s="343"/>
      <c r="Y639" s="367" t="str">
        <f t="shared" ca="1" si="283"/>
        <v/>
      </c>
      <c r="Z639" s="368" t="str">
        <f t="shared" ca="1" si="284"/>
        <v/>
      </c>
      <c r="AA639" s="369" t="str">
        <f t="shared" ca="1" si="285"/>
        <v/>
      </c>
      <c r="AB639" s="344"/>
      <c r="AC639" s="363" t="e">
        <f t="shared" ca="1" si="286"/>
        <v>#N/A</v>
      </c>
      <c r="AD639" s="376" t="e">
        <f t="shared" ca="1" si="287"/>
        <v>#N/A</v>
      </c>
      <c r="AE639" s="377" t="e">
        <f t="shared" ca="1" si="266"/>
        <v>#N/A</v>
      </c>
      <c r="AF639" s="344"/>
      <c r="AG639" s="359">
        <f t="shared" ca="1" si="288"/>
        <v>1.8539421434654066</v>
      </c>
      <c r="AH639" s="357">
        <f t="shared" ca="1" si="289"/>
        <v>-7.9169529113499806</v>
      </c>
    </row>
    <row r="640" spans="1:34">
      <c r="A640" s="402">
        <f t="shared" ca="1" si="267"/>
        <v>1E-4</v>
      </c>
      <c r="B640" s="357">
        <f t="shared" ca="1" si="268"/>
        <v>16.928699999999907</v>
      </c>
      <c r="C640" s="342"/>
      <c r="D640" s="359">
        <f t="shared" ca="1" si="269"/>
        <v>-0.70618210946238602</v>
      </c>
      <c r="E640" s="360">
        <f t="shared" ca="1" si="270"/>
        <v>-1.9245482500366924</v>
      </c>
      <c r="F640" s="357">
        <f t="shared" ca="1" si="271"/>
        <v>2.0500193019686521</v>
      </c>
      <c r="G640" s="359">
        <f t="shared" ca="1" si="272"/>
        <v>5.0007290273505722</v>
      </c>
      <c r="H640" s="360">
        <f t="shared" ca="1" si="273"/>
        <v>-55.840695616721341</v>
      </c>
      <c r="I640" s="357">
        <f t="shared" ca="1" si="274"/>
        <v>56.06416482713631</v>
      </c>
      <c r="J640" s="359">
        <f t="shared" ca="1" si="275"/>
        <v>184.26379383972827</v>
      </c>
      <c r="K640" s="360">
        <f t="shared" ca="1" si="276"/>
        <v>-6.572557464636918</v>
      </c>
      <c r="L640" s="357">
        <f t="shared" ca="1" si="261"/>
        <v>184.3809757861039</v>
      </c>
      <c r="M640" s="359">
        <f t="shared" ca="1" si="277"/>
        <v>-1.4814810952118544</v>
      </c>
      <c r="N640" s="357">
        <f t="shared" ca="1" si="278"/>
        <v>-84.882614184058127</v>
      </c>
      <c r="O640" s="343"/>
      <c r="P640" s="363">
        <f t="shared" ca="1" si="279"/>
        <v>23</v>
      </c>
      <c r="Q640" s="357">
        <f t="shared" ca="1" si="280"/>
        <v>0</v>
      </c>
      <c r="R640" s="359">
        <f t="shared" ca="1" si="281"/>
        <v>0</v>
      </c>
      <c r="S640" s="360">
        <f t="shared" ca="1" si="282"/>
        <v>0.42898953648292248</v>
      </c>
      <c r="T640" s="357">
        <f t="shared" ca="1" si="262"/>
        <v>4.2083873528974696</v>
      </c>
      <c r="U640" s="364">
        <f t="shared" ca="1" si="263"/>
        <v>0</v>
      </c>
      <c r="V640" s="359">
        <f t="shared" ca="1" si="264"/>
        <v>1.2258054029672825</v>
      </c>
      <c r="W640" s="357">
        <f t="shared" ca="1" si="265"/>
        <v>3.3963386763570549</v>
      </c>
      <c r="X640" s="343"/>
      <c r="Y640" s="367" t="str">
        <f t="shared" ca="1" si="283"/>
        <v/>
      </c>
      <c r="Z640" s="368" t="str">
        <f t="shared" ca="1" si="284"/>
        <v/>
      </c>
      <c r="AA640" s="369" t="str">
        <f t="shared" ca="1" si="285"/>
        <v/>
      </c>
      <c r="AB640" s="344"/>
      <c r="AC640" s="363" t="e">
        <f t="shared" ca="1" si="286"/>
        <v>#N/A</v>
      </c>
      <c r="AD640" s="376" t="e">
        <f t="shared" ca="1" si="287"/>
        <v>#N/A</v>
      </c>
      <c r="AE640" s="377" t="e">
        <f t="shared" ca="1" si="266"/>
        <v>#N/A</v>
      </c>
      <c r="AF640" s="344"/>
      <c r="AG640" s="359">
        <f t="shared" ca="1" si="288"/>
        <v>1.8538867279819629</v>
      </c>
      <c r="AH640" s="357">
        <f t="shared" ca="1" si="289"/>
        <v>-7.9170096926001134</v>
      </c>
    </row>
    <row r="641" spans="1:34">
      <c r="A641" s="402">
        <f t="shared" ca="1" si="267"/>
        <v>1E-4</v>
      </c>
      <c r="B641" s="357">
        <f t="shared" ca="1" si="268"/>
        <v>16.928799999999907</v>
      </c>
      <c r="C641" s="342"/>
      <c r="D641" s="359">
        <f t="shared" ca="1" si="269"/>
        <v>-0.70617486665036699</v>
      </c>
      <c r="E641" s="360">
        <f t="shared" ca="1" si="270"/>
        <v>-1.9244905942456096</v>
      </c>
      <c r="F641" s="357">
        <f t="shared" ca="1" si="271"/>
        <v>2.0499626800574893</v>
      </c>
      <c r="G641" s="359">
        <f t="shared" ca="1" si="272"/>
        <v>5.0006584098639069</v>
      </c>
      <c r="H641" s="360">
        <f t="shared" ca="1" si="273"/>
        <v>-55.840888065780767</v>
      </c>
      <c r="I641" s="357">
        <f t="shared" ca="1" si="274"/>
        <v>56.064350210335974</v>
      </c>
      <c r="J641" s="359">
        <f t="shared" ca="1" si="275"/>
        <v>184.26379383972827</v>
      </c>
      <c r="K641" s="360">
        <f t="shared" ca="1" si="276"/>
        <v>-6.5781415438210429</v>
      </c>
      <c r="L641" s="357">
        <f t="shared" ca="1" si="261"/>
        <v>184.3811749240698</v>
      </c>
      <c r="M641" s="359">
        <f t="shared" ca="1" si="277"/>
        <v>-1.4814826559504839</v>
      </c>
      <c r="N641" s="357">
        <f t="shared" ca="1" si="278"/>
        <v>-84.882703607794525</v>
      </c>
      <c r="O641" s="343"/>
      <c r="P641" s="363">
        <f t="shared" ca="1" si="279"/>
        <v>23</v>
      </c>
      <c r="Q641" s="357">
        <f t="shared" ca="1" si="280"/>
        <v>0</v>
      </c>
      <c r="R641" s="359">
        <f t="shared" ca="1" si="281"/>
        <v>0</v>
      </c>
      <c r="S641" s="360">
        <f t="shared" ca="1" si="282"/>
        <v>0.42898953648292248</v>
      </c>
      <c r="T641" s="357">
        <f t="shared" ca="1" si="262"/>
        <v>4.2083873528974696</v>
      </c>
      <c r="U641" s="364">
        <f t="shared" ca="1" si="263"/>
        <v>0</v>
      </c>
      <c r="V641" s="359">
        <f t="shared" ca="1" si="264"/>
        <v>1.2258060874669909</v>
      </c>
      <c r="W641" s="357">
        <f t="shared" ca="1" si="265"/>
        <v>3.3963630337903412</v>
      </c>
      <c r="X641" s="343"/>
      <c r="Y641" s="367" t="str">
        <f t="shared" ca="1" si="283"/>
        <v/>
      </c>
      <c r="Z641" s="368" t="str">
        <f t="shared" ca="1" si="284"/>
        <v/>
      </c>
      <c r="AA641" s="369" t="str">
        <f t="shared" ca="1" si="285"/>
        <v/>
      </c>
      <c r="AB641" s="344"/>
      <c r="AC641" s="363" t="e">
        <f t="shared" ca="1" si="286"/>
        <v>#N/A</v>
      </c>
      <c r="AD641" s="376" t="e">
        <f t="shared" ca="1" si="287"/>
        <v>#N/A</v>
      </c>
      <c r="AE641" s="377" t="e">
        <f t="shared" ca="1" si="266"/>
        <v>#N/A</v>
      </c>
      <c r="AF641" s="344"/>
      <c r="AG641" s="359">
        <f t="shared" ca="1" si="288"/>
        <v>1.8538313137621607</v>
      </c>
      <c r="AH641" s="357">
        <f t="shared" ca="1" si="289"/>
        <v>-7.9170664725344846</v>
      </c>
    </row>
    <row r="642" spans="1:34">
      <c r="A642" s="402">
        <f t="shared" ca="1" si="267"/>
        <v>1E-4</v>
      </c>
      <c r="B642" s="357">
        <f t="shared" ca="1" si="268"/>
        <v>16.928899999999906</v>
      </c>
      <c r="C642" s="342"/>
      <c r="D642" s="359">
        <f t="shared" ca="1" si="269"/>
        <v>-0.70616762379792908</v>
      </c>
      <c r="E642" s="360">
        <f t="shared" ca="1" si="270"/>
        <v>-1.9244329397912807</v>
      </c>
      <c r="F642" s="357">
        <f t="shared" ca="1" si="271"/>
        <v>2.0499060594705614</v>
      </c>
      <c r="G642" s="359">
        <f t="shared" ca="1" si="272"/>
        <v>5.000587793101527</v>
      </c>
      <c r="H642" s="360">
        <f t="shared" ca="1" si="273"/>
        <v>-55.841080509074743</v>
      </c>
      <c r="I642" s="357">
        <f t="shared" ca="1" si="274"/>
        <v>56.064535587994335</v>
      </c>
      <c r="J642" s="359">
        <f t="shared" ca="1" si="275"/>
        <v>184.26379383972827</v>
      </c>
      <c r="K642" s="360">
        <f t="shared" ca="1" si="276"/>
        <v>-6.5837256422497861</v>
      </c>
      <c r="L642" s="357">
        <f t="shared" ca="1" si="261"/>
        <v>184.38137423162433</v>
      </c>
      <c r="M642" s="359">
        <f t="shared" ca="1" si="277"/>
        <v>-1.4814842166567523</v>
      </c>
      <c r="N642" s="357">
        <f t="shared" ca="1" si="278"/>
        <v>-84.882793029676762</v>
      </c>
      <c r="O642" s="343"/>
      <c r="P642" s="363">
        <f t="shared" ca="1" si="279"/>
        <v>23</v>
      </c>
      <c r="Q642" s="357">
        <f t="shared" ca="1" si="280"/>
        <v>0</v>
      </c>
      <c r="R642" s="359">
        <f t="shared" ca="1" si="281"/>
        <v>0</v>
      </c>
      <c r="S642" s="360">
        <f t="shared" ca="1" si="282"/>
        <v>0.42898953648292248</v>
      </c>
      <c r="T642" s="357">
        <f t="shared" ca="1" si="262"/>
        <v>4.2083873528974696</v>
      </c>
      <c r="U642" s="364">
        <f t="shared" ca="1" si="263"/>
        <v>0</v>
      </c>
      <c r="V642" s="359">
        <f t="shared" ca="1" si="264"/>
        <v>1.2258067719694408</v>
      </c>
      <c r="W642" s="357">
        <f t="shared" ca="1" si="265"/>
        <v>3.3963873906591919</v>
      </c>
      <c r="X642" s="343"/>
      <c r="Y642" s="367" t="str">
        <f t="shared" ca="1" si="283"/>
        <v/>
      </c>
      <c r="Z642" s="368" t="str">
        <f t="shared" ca="1" si="284"/>
        <v/>
      </c>
      <c r="AA642" s="369" t="str">
        <f t="shared" ca="1" si="285"/>
        <v/>
      </c>
      <c r="AB642" s="344"/>
      <c r="AC642" s="363" t="e">
        <f t="shared" ca="1" si="286"/>
        <v>#N/A</v>
      </c>
      <c r="AD642" s="376" t="e">
        <f t="shared" ca="1" si="287"/>
        <v>#N/A</v>
      </c>
      <c r="AE642" s="377" t="e">
        <f t="shared" ca="1" si="266"/>
        <v>#N/A</v>
      </c>
      <c r="AF642" s="344"/>
      <c r="AG642" s="359">
        <f t="shared" ca="1" si="288"/>
        <v>1.8537759008059815</v>
      </c>
      <c r="AH642" s="357">
        <f t="shared" ca="1" si="289"/>
        <v>-7.9171232511531109</v>
      </c>
    </row>
    <row r="643" spans="1:34">
      <c r="A643" s="402">
        <f t="shared" ca="1" si="267"/>
        <v>1E-4</v>
      </c>
      <c r="B643" s="357">
        <f t="shared" ca="1" si="268"/>
        <v>16.928999999999906</v>
      </c>
      <c r="C643" s="342"/>
      <c r="D643" s="359">
        <f t="shared" ca="1" si="269"/>
        <v>-0.70616038090507616</v>
      </c>
      <c r="E643" s="360">
        <f t="shared" ca="1" si="270"/>
        <v>-1.9243752866736932</v>
      </c>
      <c r="F643" s="357">
        <f t="shared" ca="1" si="271"/>
        <v>2.049849440207856</v>
      </c>
      <c r="G643" s="359">
        <f t="shared" ca="1" si="272"/>
        <v>5.0005171770634362</v>
      </c>
      <c r="H643" s="360">
        <f t="shared" ca="1" si="273"/>
        <v>-55.841272946603411</v>
      </c>
      <c r="I643" s="357">
        <f t="shared" ca="1" si="274"/>
        <v>56.064720960111529</v>
      </c>
      <c r="J643" s="359">
        <f t="shared" ca="1" si="275"/>
        <v>184.26379383972827</v>
      </c>
      <c r="K643" s="360">
        <f t="shared" ca="1" si="276"/>
        <v>-6.5893097599225703</v>
      </c>
      <c r="L643" s="357">
        <f t="shared" ca="1" si="261"/>
        <v>184.38157370876868</v>
      </c>
      <c r="M643" s="359">
        <f t="shared" ca="1" si="277"/>
        <v>-1.4814857773306607</v>
      </c>
      <c r="N643" s="357">
        <f t="shared" ca="1" si="278"/>
        <v>-84.882882449704908</v>
      </c>
      <c r="O643" s="343"/>
      <c r="P643" s="363">
        <f t="shared" ca="1" si="279"/>
        <v>23</v>
      </c>
      <c r="Q643" s="357">
        <f t="shared" ca="1" si="280"/>
        <v>0</v>
      </c>
      <c r="R643" s="359">
        <f t="shared" ca="1" si="281"/>
        <v>0</v>
      </c>
      <c r="S643" s="360">
        <f t="shared" ca="1" si="282"/>
        <v>0.42898953648292248</v>
      </c>
      <c r="T643" s="357">
        <f t="shared" ca="1" si="262"/>
        <v>4.2083873528974696</v>
      </c>
      <c r="U643" s="364">
        <f t="shared" ca="1" si="263"/>
        <v>0</v>
      </c>
      <c r="V643" s="359">
        <f t="shared" ca="1" si="264"/>
        <v>1.225807456474632</v>
      </c>
      <c r="W643" s="357">
        <f t="shared" ca="1" si="265"/>
        <v>3.3964117469636204</v>
      </c>
      <c r="X643" s="343"/>
      <c r="Y643" s="367" t="str">
        <f t="shared" ca="1" si="283"/>
        <v/>
      </c>
      <c r="Z643" s="368" t="str">
        <f t="shared" ca="1" si="284"/>
        <v/>
      </c>
      <c r="AA643" s="369" t="str">
        <f t="shared" ca="1" si="285"/>
        <v/>
      </c>
      <c r="AB643" s="344"/>
      <c r="AC643" s="363" t="e">
        <f t="shared" ca="1" si="286"/>
        <v>#N/A</v>
      </c>
      <c r="AD643" s="376" t="e">
        <f t="shared" ca="1" si="287"/>
        <v>#N/A</v>
      </c>
      <c r="AE643" s="377" t="e">
        <f t="shared" ca="1" si="266"/>
        <v>#N/A</v>
      </c>
      <c r="AF643" s="344"/>
      <c r="AG643" s="359">
        <f t="shared" ca="1" si="288"/>
        <v>1.8537204891134218</v>
      </c>
      <c r="AH643" s="357">
        <f t="shared" ca="1" si="289"/>
        <v>-7.917180028456003</v>
      </c>
    </row>
    <row r="644" spans="1:34">
      <c r="A644" s="402">
        <f t="shared" ca="1" si="267"/>
        <v>1E-4</v>
      </c>
      <c r="B644" s="357">
        <f t="shared" ca="1" si="268"/>
        <v>16.929099999999906</v>
      </c>
      <c r="C644" s="342"/>
      <c r="D644" s="359">
        <f t="shared" ca="1" si="269"/>
        <v>-0.70615313797181589</v>
      </c>
      <c r="E644" s="360">
        <f t="shared" ca="1" si="270"/>
        <v>-1.924317634892815</v>
      </c>
      <c r="F644" s="357">
        <f t="shared" ca="1" si="271"/>
        <v>2.0497928222693433</v>
      </c>
      <c r="G644" s="359">
        <f t="shared" ca="1" si="272"/>
        <v>5.000446561749639</v>
      </c>
      <c r="H644" s="360">
        <f t="shared" ca="1" si="273"/>
        <v>-55.841465378366898</v>
      </c>
      <c r="I644" s="357">
        <f t="shared" ca="1" si="274"/>
        <v>56.064906326687662</v>
      </c>
      <c r="J644" s="359">
        <f t="shared" ca="1" si="275"/>
        <v>184.26379383972827</v>
      </c>
      <c r="K644" s="360">
        <f t="shared" ca="1" si="276"/>
        <v>-6.5948938968388191</v>
      </c>
      <c r="L644" s="357">
        <f t="shared" ref="L644:L707" ca="1" si="290">SQRT(pos_x^2+pos_z^2)</f>
        <v>184.38177335550398</v>
      </c>
      <c r="M644" s="359">
        <f t="shared" ca="1" si="277"/>
        <v>-1.4814873379722098</v>
      </c>
      <c r="N644" s="357">
        <f t="shared" ca="1" si="278"/>
        <v>-84.882971867879007</v>
      </c>
      <c r="O644" s="343"/>
      <c r="P644" s="363">
        <f t="shared" ca="1" si="279"/>
        <v>23</v>
      </c>
      <c r="Q644" s="357">
        <f t="shared" ca="1" si="280"/>
        <v>0</v>
      </c>
      <c r="R644" s="359">
        <f t="shared" ca="1" si="281"/>
        <v>0</v>
      </c>
      <c r="S644" s="360">
        <f t="shared" ca="1" si="282"/>
        <v>0.42898953648292248</v>
      </c>
      <c r="T644" s="357">
        <f t="shared" ref="T644:T707" ca="1" si="291">m*g</f>
        <v>4.2083873528974696</v>
      </c>
      <c r="U644" s="364">
        <f t="shared" ref="U644:U707" ca="1" si="292">IF(pos_xz&lt;L_rampe,Poids*COS(Beta),0)</f>
        <v>0</v>
      </c>
      <c r="V644" s="359">
        <f t="shared" ref="V644:V707" ca="1" si="293">Rho_moyen*(20000-Alt_rampe-pos_z)/(20000+Alt_rampe+pos_z)</f>
        <v>1.2258081409825647</v>
      </c>
      <c r="W644" s="357">
        <f t="shared" ref="W644:W707" ca="1" si="294">1/2*Rho*Sref*Cx*vit_xz^2</f>
        <v>3.3964361027036278</v>
      </c>
      <c r="X644" s="343"/>
      <c r="Y644" s="367" t="str">
        <f t="shared" ca="1" si="283"/>
        <v/>
      </c>
      <c r="Z644" s="368" t="str">
        <f t="shared" ca="1" si="284"/>
        <v/>
      </c>
      <c r="AA644" s="369" t="str">
        <f t="shared" ca="1" si="285"/>
        <v/>
      </c>
      <c r="AB644" s="344"/>
      <c r="AC644" s="363" t="e">
        <f t="shared" ca="1" si="286"/>
        <v>#N/A</v>
      </c>
      <c r="AD644" s="376" t="e">
        <f t="shared" ca="1" si="287"/>
        <v>#N/A</v>
      </c>
      <c r="AE644" s="377" t="e">
        <f t="shared" ref="AE644:AE707" ca="1" si="295">IF(t&lt;T_para, pos_z, NA())</f>
        <v>#N/A</v>
      </c>
      <c r="AF644" s="344"/>
      <c r="AG644" s="359">
        <f t="shared" ca="1" si="288"/>
        <v>1.8536650786844477</v>
      </c>
      <c r="AH644" s="357">
        <f t="shared" ca="1" si="289"/>
        <v>-7.9172368044431947</v>
      </c>
    </row>
    <row r="645" spans="1:34">
      <c r="A645" s="402">
        <f t="shared" ref="A645:A708" ca="1" si="296">IF(B644+0.01&lt;=T_ini+ROUNDUP(Temps_fin_propu,0), 0.01, IF(K644&gt;0, 0.1, 0.0001))</f>
        <v>1E-4</v>
      </c>
      <c r="B645" s="357">
        <f t="shared" ref="B645:B708" ca="1" si="297">B644+pas</f>
        <v>16.929199999999906</v>
      </c>
      <c r="C645" s="342"/>
      <c r="D645" s="359">
        <f t="shared" ref="D645:D708" ca="1" si="298">IF(AND(L644&lt;L_rampe,Poussee&lt;Poids*SIN(M644)),0,(-W644+Poussee)/m*COS(M644)-U644/m*SIN(M644))</f>
        <v>-0.70614589499815317</v>
      </c>
      <c r="E645" s="360">
        <f t="shared" ref="E645:E708" ca="1" si="299">IF(AND(L644&lt;L_rampe,Poussee&lt;Poids*SIN(M644)),0,(-W644+Poussee)/m*SIN(M644)+U644/m*COS(M644)-Poids/m)</f>
        <v>-1.9242599844486437</v>
      </c>
      <c r="F645" s="357">
        <f t="shared" ref="F645:F708" ca="1" si="300">SQRT(acc_x^2+acc_z^2)</f>
        <v>2.0497362056550195</v>
      </c>
      <c r="G645" s="359">
        <f t="shared" ref="G645:G708" ca="1" si="301">G644+acc_x*pas</f>
        <v>5.0003759471601388</v>
      </c>
      <c r="H645" s="360">
        <f t="shared" ref="H645:H708" ca="1" si="302">H644+acc_z*pas</f>
        <v>-55.84165780436534</v>
      </c>
      <c r="I645" s="357">
        <f t="shared" ref="I645:I708" ca="1" si="303">SQRT(vit_x^2+vit_z^2)</f>
        <v>56.065091687722891</v>
      </c>
      <c r="J645" s="359">
        <f t="shared" ref="J645:J708" ca="1" si="304">J644+0.5*(vit_x+G644)*pas*(K644&gt;=0)</f>
        <v>184.26379383972827</v>
      </c>
      <c r="K645" s="360">
        <f t="shared" ref="K645:K708" ca="1" si="305">K644+0.5*(vit_z+H644)*pas</f>
        <v>-6.6004780529979561</v>
      </c>
      <c r="L645" s="357">
        <f t="shared" ca="1" si="290"/>
        <v>184.3819731718315</v>
      </c>
      <c r="M645" s="359">
        <f t="shared" ref="M645:M708" ca="1" si="306">IF(AND(L644&gt;L_rampe,G645&gt;0),ATAN2(G645,H645),$M$4)</f>
        <v>-1.4814888985814005</v>
      </c>
      <c r="N645" s="357">
        <f t="shared" ref="N645:N708" ca="1" si="307">DEGREES(Beta)</f>
        <v>-84.883061284199101</v>
      </c>
      <c r="O645" s="343"/>
      <c r="P645" s="363">
        <f t="shared" ref="P645:P708" ca="1" si="308">MATCH(t-pas/2-T_ini,CdP_t)</f>
        <v>23</v>
      </c>
      <c r="Q645" s="357">
        <f t="shared" ref="Q645:Q708" ca="1" si="309">(INDEX(CdP,2,i_P+1)-INDEX(CdP,2,i_P+0))/(INDEX(CdP,1,i_P+1)-INDEX(CdP,1,i_P+0))*(t-pas/2-T_ini-INDEX(CdP,1,i_P+0))+INDEX(CdP,2,i_P+0)</f>
        <v>0</v>
      </c>
      <c r="R645" s="359">
        <f t="shared" ref="R645:R708" ca="1" si="310">Poussee/(g*ISP)</f>
        <v>0</v>
      </c>
      <c r="S645" s="360">
        <f t="shared" ref="S645:S708" ca="1" si="311">S644-Débit*pas</f>
        <v>0.42898953648292248</v>
      </c>
      <c r="T645" s="357">
        <f t="shared" ca="1" si="291"/>
        <v>4.2083873528974696</v>
      </c>
      <c r="U645" s="364">
        <f t="shared" ca="1" si="292"/>
        <v>0</v>
      </c>
      <c r="V645" s="359">
        <f t="shared" ca="1" si="293"/>
        <v>1.2258088254932382</v>
      </c>
      <c r="W645" s="357">
        <f t="shared" ca="1" si="294"/>
        <v>3.3964604578792259</v>
      </c>
      <c r="X645" s="343"/>
      <c r="Y645" s="367" t="str">
        <f t="shared" ref="Y645:Y708" ca="1" si="312">IF(AND(pos_z&lt;=0,K644&gt;0),"Impact balistique","") &amp; IF(AND(H646&lt;0,vit_z&gt;=0),"Apogée","") &amp; IF(AND(Poussee=0,Q644&gt;0),"Fin de propulsion","") &amp; IF(AND(L646&gt;L_rampe,pos_xz&lt;=L_rampe),"Sortie de rampe","")</f>
        <v/>
      </c>
      <c r="Z645" s="368" t="str">
        <f t="shared" ref="Z645:Z708" ca="1" si="313">IF(ABS(t-T_para)&lt;pas/2,"Para","")</f>
        <v/>
      </c>
      <c r="AA645" s="369" t="str">
        <f t="shared" ref="AA645:AA708" ca="1" si="314">IF(ABS(t-T_satellite)&lt;pas/2,"Satellite","")</f>
        <v/>
      </c>
      <c r="AB645" s="344"/>
      <c r="AC645" s="363" t="e">
        <f t="shared" ref="AC645:AC708" ca="1" si="315">IF(ABS(t-ROUND(t,0))&lt;0.001,t,NA())</f>
        <v>#N/A</v>
      </c>
      <c r="AD645" s="376" t="e">
        <f t="shared" ref="AD645:AD708" ca="1" si="316">IF(ABS(t-ROUND(t,0))&lt;0.001,pos_x,NA())</f>
        <v>#N/A</v>
      </c>
      <c r="AE645" s="377" t="e">
        <f t="shared" ca="1" si="295"/>
        <v>#N/A</v>
      </c>
      <c r="AF645" s="344"/>
      <c r="AG645" s="359">
        <f t="shared" ref="AG645:AG708" ca="1" si="317">IF(AND(L644&lt;L_rampe,Poussee&lt;Poids*SIN(M644)),0,(-W644+Poussee)/m-Poids*SIN(M644)/m)</f>
        <v>1.853609669519062</v>
      </c>
      <c r="AH645" s="357">
        <f t="shared" ref="AH645:AH708" ca="1" si="318">IF(AND(L644&lt;L_rampe,Poussee&lt;Poids*SIN(M644)), g*SIN(M644), (-W644+Poussee)/m)</f>
        <v>-7.9172935791146868</v>
      </c>
    </row>
    <row r="646" spans="1:34">
      <c r="A646" s="402">
        <f t="shared" ca="1" si="296"/>
        <v>1E-4</v>
      </c>
      <c r="B646" s="357">
        <f t="shared" ca="1" si="297"/>
        <v>16.929299999999905</v>
      </c>
      <c r="C646" s="342"/>
      <c r="D646" s="359">
        <f t="shared" ca="1" si="298"/>
        <v>-0.7061386519840952</v>
      </c>
      <c r="E646" s="360">
        <f t="shared" ca="1" si="299"/>
        <v>-1.9242023353411515</v>
      </c>
      <c r="F646" s="357">
        <f t="shared" ca="1" si="300"/>
        <v>2.049679590364859</v>
      </c>
      <c r="G646" s="359">
        <f t="shared" ca="1" si="301"/>
        <v>5.0003053332949401</v>
      </c>
      <c r="H646" s="360">
        <f t="shared" ca="1" si="302"/>
        <v>-55.841850224598872</v>
      </c>
      <c r="I646" s="357">
        <f t="shared" ca="1" si="303"/>
        <v>56.065277043217321</v>
      </c>
      <c r="J646" s="359">
        <f t="shared" ca="1" si="304"/>
        <v>184.26379383972827</v>
      </c>
      <c r="K646" s="360">
        <f t="shared" ca="1" si="305"/>
        <v>-6.6060622283994039</v>
      </c>
      <c r="L646" s="357">
        <f t="shared" ca="1" si="290"/>
        <v>184.38217315775236</v>
      </c>
      <c r="M646" s="359">
        <f t="shared" ca="1" si="306"/>
        <v>-1.4814904591582339</v>
      </c>
      <c r="N646" s="357">
        <f t="shared" ca="1" si="307"/>
        <v>-84.883150698665261</v>
      </c>
      <c r="O646" s="343"/>
      <c r="P646" s="363">
        <f t="shared" ca="1" si="308"/>
        <v>23</v>
      </c>
      <c r="Q646" s="357">
        <f t="shared" ca="1" si="309"/>
        <v>0</v>
      </c>
      <c r="R646" s="359">
        <f t="shared" ca="1" si="310"/>
        <v>0</v>
      </c>
      <c r="S646" s="360">
        <f t="shared" ca="1" si="311"/>
        <v>0.42898953648292248</v>
      </c>
      <c r="T646" s="357">
        <f t="shared" ca="1" si="291"/>
        <v>4.2083873528974696</v>
      </c>
      <c r="U646" s="364">
        <f t="shared" ca="1" si="292"/>
        <v>0</v>
      </c>
      <c r="V646" s="359">
        <f t="shared" ca="1" si="293"/>
        <v>1.2258095100066528</v>
      </c>
      <c r="W646" s="357">
        <f t="shared" ca="1" si="294"/>
        <v>3.3964848124904208</v>
      </c>
      <c r="X646" s="343"/>
      <c r="Y646" s="367" t="str">
        <f t="shared" ca="1" si="312"/>
        <v/>
      </c>
      <c r="Z646" s="368" t="str">
        <f t="shared" ca="1" si="313"/>
        <v/>
      </c>
      <c r="AA646" s="369" t="str">
        <f t="shared" ca="1" si="314"/>
        <v/>
      </c>
      <c r="AB646" s="344"/>
      <c r="AC646" s="363" t="e">
        <f t="shared" ca="1" si="315"/>
        <v>#N/A</v>
      </c>
      <c r="AD646" s="376" t="e">
        <f t="shared" ca="1" si="316"/>
        <v>#N/A</v>
      </c>
      <c r="AE646" s="377" t="e">
        <f t="shared" ca="1" si="295"/>
        <v>#N/A</v>
      </c>
      <c r="AF646" s="344"/>
      <c r="AG646" s="359">
        <f t="shared" ca="1" si="317"/>
        <v>1.8535542616172362</v>
      </c>
      <c r="AH646" s="357">
        <f t="shared" ca="1" si="318"/>
        <v>-7.9173503524705078</v>
      </c>
    </row>
    <row r="647" spans="1:34">
      <c r="A647" s="402">
        <f t="shared" ca="1" si="296"/>
        <v>1E-4</v>
      </c>
      <c r="B647" s="357">
        <f t="shared" ca="1" si="297"/>
        <v>16.929399999999905</v>
      </c>
      <c r="C647" s="342"/>
      <c r="D647" s="359">
        <f t="shared" ca="1" si="298"/>
        <v>-0.70613140892964799</v>
      </c>
      <c r="E647" s="360">
        <f t="shared" ca="1" si="299"/>
        <v>-1.9241446875703225</v>
      </c>
      <c r="F647" s="357">
        <f t="shared" ca="1" si="300"/>
        <v>2.0496229763988456</v>
      </c>
      <c r="G647" s="359">
        <f t="shared" ca="1" si="301"/>
        <v>5.0002347201540474</v>
      </c>
      <c r="H647" s="360">
        <f t="shared" ca="1" si="302"/>
        <v>-55.842042639067628</v>
      </c>
      <c r="I647" s="357">
        <f t="shared" ca="1" si="303"/>
        <v>56.065462393171082</v>
      </c>
      <c r="J647" s="359">
        <f t="shared" ca="1" si="304"/>
        <v>184.26379383972827</v>
      </c>
      <c r="K647" s="360">
        <f t="shared" ca="1" si="305"/>
        <v>-6.6116464230425871</v>
      </c>
      <c r="L647" s="357">
        <f t="shared" ca="1" si="290"/>
        <v>184.38237331326769</v>
      </c>
      <c r="M647" s="359">
        <f t="shared" ca="1" si="306"/>
        <v>-1.481492019702711</v>
      </c>
      <c r="N647" s="357">
        <f t="shared" ca="1" si="307"/>
        <v>-84.883240111277544</v>
      </c>
      <c r="O647" s="343"/>
      <c r="P647" s="363">
        <f t="shared" ca="1" si="308"/>
        <v>23</v>
      </c>
      <c r="Q647" s="357">
        <f t="shared" ca="1" si="309"/>
        <v>0</v>
      </c>
      <c r="R647" s="359">
        <f t="shared" ca="1" si="310"/>
        <v>0</v>
      </c>
      <c r="S647" s="360">
        <f t="shared" ca="1" si="311"/>
        <v>0.42898953648292248</v>
      </c>
      <c r="T647" s="357">
        <f t="shared" ca="1" si="291"/>
        <v>4.2083873528974696</v>
      </c>
      <c r="U647" s="364">
        <f t="shared" ca="1" si="292"/>
        <v>0</v>
      </c>
      <c r="V647" s="359">
        <f t="shared" ca="1" si="293"/>
        <v>1.2258101945228088</v>
      </c>
      <c r="W647" s="357">
        <f t="shared" ca="1" si="294"/>
        <v>3.3965091665372205</v>
      </c>
      <c r="X647" s="343"/>
      <c r="Y647" s="367" t="str">
        <f t="shared" ca="1" si="312"/>
        <v/>
      </c>
      <c r="Z647" s="368" t="str">
        <f t="shared" ca="1" si="313"/>
        <v/>
      </c>
      <c r="AA647" s="369" t="str">
        <f t="shared" ca="1" si="314"/>
        <v/>
      </c>
      <c r="AB647" s="344"/>
      <c r="AC647" s="363" t="e">
        <f t="shared" ca="1" si="315"/>
        <v>#N/A</v>
      </c>
      <c r="AD647" s="376" t="e">
        <f t="shared" ca="1" si="316"/>
        <v>#N/A</v>
      </c>
      <c r="AE647" s="377" t="e">
        <f t="shared" ca="1" si="295"/>
        <v>#N/A</v>
      </c>
      <c r="AF647" s="344"/>
      <c r="AG647" s="359">
        <f t="shared" ca="1" si="317"/>
        <v>1.8534988549789624</v>
      </c>
      <c r="AH647" s="357">
        <f t="shared" ca="1" si="318"/>
        <v>-7.917407124510671</v>
      </c>
    </row>
    <row r="648" spans="1:34">
      <c r="A648" s="402">
        <f t="shared" ca="1" si="296"/>
        <v>1E-4</v>
      </c>
      <c r="B648" s="357">
        <f t="shared" ca="1" si="297"/>
        <v>16.929499999999905</v>
      </c>
      <c r="C648" s="342"/>
      <c r="D648" s="359">
        <f t="shared" ca="1" si="298"/>
        <v>-0.7061241658348143</v>
      </c>
      <c r="E648" s="360">
        <f t="shared" ca="1" si="299"/>
        <v>-1.9240870411361399</v>
      </c>
      <c r="F648" s="357">
        <f t="shared" ca="1" si="300"/>
        <v>2.0495663637569628</v>
      </c>
      <c r="G648" s="359">
        <f t="shared" ca="1" si="301"/>
        <v>5.0001641077374641</v>
      </c>
      <c r="H648" s="360">
        <f t="shared" ca="1" si="302"/>
        <v>-55.842235047771744</v>
      </c>
      <c r="I648" s="357">
        <f t="shared" ca="1" si="303"/>
        <v>56.065647737584314</v>
      </c>
      <c r="J648" s="359">
        <f t="shared" ca="1" si="304"/>
        <v>184.26379383972827</v>
      </c>
      <c r="K648" s="360">
        <f t="shared" ca="1" si="305"/>
        <v>-6.6172306369269291</v>
      </c>
      <c r="L648" s="357">
        <f t="shared" ca="1" si="290"/>
        <v>184.38257363837877</v>
      </c>
      <c r="M648" s="359">
        <f t="shared" ca="1" si="306"/>
        <v>-1.4814935802148326</v>
      </c>
      <c r="N648" s="357">
        <f t="shared" ca="1" si="307"/>
        <v>-84.883329522035993</v>
      </c>
      <c r="O648" s="343"/>
      <c r="P648" s="363">
        <f t="shared" ca="1" si="308"/>
        <v>23</v>
      </c>
      <c r="Q648" s="357">
        <f t="shared" ca="1" si="309"/>
        <v>0</v>
      </c>
      <c r="R648" s="359">
        <f t="shared" ca="1" si="310"/>
        <v>0</v>
      </c>
      <c r="S648" s="360">
        <f t="shared" ca="1" si="311"/>
        <v>0.42898953648292248</v>
      </c>
      <c r="T648" s="357">
        <f t="shared" ca="1" si="291"/>
        <v>4.2083873528974696</v>
      </c>
      <c r="U648" s="364">
        <f t="shared" ca="1" si="292"/>
        <v>0</v>
      </c>
      <c r="V648" s="359">
        <f t="shared" ca="1" si="293"/>
        <v>1.2258108790417053</v>
      </c>
      <c r="W648" s="357">
        <f t="shared" ca="1" si="294"/>
        <v>3.3965335200196338</v>
      </c>
      <c r="X648" s="343"/>
      <c r="Y648" s="367" t="str">
        <f t="shared" ca="1" si="312"/>
        <v/>
      </c>
      <c r="Z648" s="368" t="str">
        <f t="shared" ca="1" si="313"/>
        <v/>
      </c>
      <c r="AA648" s="369" t="str">
        <f t="shared" ca="1" si="314"/>
        <v/>
      </c>
      <c r="AB648" s="344"/>
      <c r="AC648" s="363" t="e">
        <f t="shared" ca="1" si="315"/>
        <v>#N/A</v>
      </c>
      <c r="AD648" s="376" t="e">
        <f t="shared" ca="1" si="316"/>
        <v>#N/A</v>
      </c>
      <c r="AE648" s="377" t="e">
        <f t="shared" ca="1" si="295"/>
        <v>#N/A</v>
      </c>
      <c r="AF648" s="344"/>
      <c r="AG648" s="359">
        <f t="shared" ca="1" si="317"/>
        <v>1.8534434496042209</v>
      </c>
      <c r="AH648" s="357">
        <f t="shared" ca="1" si="318"/>
        <v>-7.9174638952351959</v>
      </c>
    </row>
    <row r="649" spans="1:34">
      <c r="A649" s="402">
        <f t="shared" ca="1" si="296"/>
        <v>1E-4</v>
      </c>
      <c r="B649" s="357">
        <f t="shared" ca="1" si="297"/>
        <v>16.929599999999905</v>
      </c>
      <c r="C649" s="342"/>
      <c r="D649" s="359">
        <f t="shared" ca="1" si="298"/>
        <v>-0.70611692269960424</v>
      </c>
      <c r="E649" s="360">
        <f t="shared" ca="1" si="299"/>
        <v>-1.9240293960385815</v>
      </c>
      <c r="F649" s="357">
        <f t="shared" ca="1" si="300"/>
        <v>2.0495097524391896</v>
      </c>
      <c r="G649" s="359">
        <f t="shared" ca="1" si="301"/>
        <v>5.0000934960451939</v>
      </c>
      <c r="H649" s="360">
        <f t="shared" ca="1" si="302"/>
        <v>-55.842427450711348</v>
      </c>
      <c r="I649" s="357">
        <f t="shared" ca="1" si="303"/>
        <v>56.065833076457125</v>
      </c>
      <c r="J649" s="359">
        <f t="shared" ca="1" si="304"/>
        <v>184.26379383972827</v>
      </c>
      <c r="K649" s="360">
        <f t="shared" ca="1" si="305"/>
        <v>-6.6228148700518537</v>
      </c>
      <c r="L649" s="357">
        <f t="shared" ca="1" si="290"/>
        <v>184.38277413308668</v>
      </c>
      <c r="M649" s="359">
        <f t="shared" ca="1" si="306"/>
        <v>-1.4814951406945995</v>
      </c>
      <c r="N649" s="357">
        <f t="shared" ca="1" si="307"/>
        <v>-84.88341893094065</v>
      </c>
      <c r="O649" s="343"/>
      <c r="P649" s="363">
        <f t="shared" ca="1" si="308"/>
        <v>23</v>
      </c>
      <c r="Q649" s="357">
        <f t="shared" ca="1" si="309"/>
        <v>0</v>
      </c>
      <c r="R649" s="359">
        <f t="shared" ca="1" si="310"/>
        <v>0</v>
      </c>
      <c r="S649" s="360">
        <f t="shared" ca="1" si="311"/>
        <v>0.42898953648292248</v>
      </c>
      <c r="T649" s="357">
        <f t="shared" ca="1" si="291"/>
        <v>4.2083873528974696</v>
      </c>
      <c r="U649" s="364">
        <f t="shared" ca="1" si="292"/>
        <v>0</v>
      </c>
      <c r="V649" s="359">
        <f t="shared" ca="1" si="293"/>
        <v>1.2258115635633431</v>
      </c>
      <c r="W649" s="357">
        <f t="shared" ca="1" si="294"/>
        <v>3.3965578729376658</v>
      </c>
      <c r="X649" s="343"/>
      <c r="Y649" s="367" t="str">
        <f t="shared" ca="1" si="312"/>
        <v/>
      </c>
      <c r="Z649" s="368" t="str">
        <f t="shared" ca="1" si="313"/>
        <v/>
      </c>
      <c r="AA649" s="369" t="str">
        <f t="shared" ca="1" si="314"/>
        <v/>
      </c>
      <c r="AB649" s="344"/>
      <c r="AC649" s="363" t="e">
        <f t="shared" ca="1" si="315"/>
        <v>#N/A</v>
      </c>
      <c r="AD649" s="376" t="e">
        <f t="shared" ca="1" si="316"/>
        <v>#N/A</v>
      </c>
      <c r="AE649" s="377" t="e">
        <f t="shared" ca="1" si="295"/>
        <v>#N/A</v>
      </c>
      <c r="AF649" s="344"/>
      <c r="AG649" s="359">
        <f t="shared" ca="1" si="317"/>
        <v>1.8533880454929959</v>
      </c>
      <c r="AH649" s="357">
        <f t="shared" ca="1" si="318"/>
        <v>-7.9175206646441021</v>
      </c>
    </row>
    <row r="650" spans="1:34">
      <c r="A650" s="402">
        <f t="shared" ca="1" si="296"/>
        <v>1E-4</v>
      </c>
      <c r="B650" s="357">
        <f t="shared" ca="1" si="297"/>
        <v>16.929699999999904</v>
      </c>
      <c r="C650" s="342"/>
      <c r="D650" s="359">
        <f t="shared" ca="1" si="298"/>
        <v>-0.70610967952402193</v>
      </c>
      <c r="E650" s="360">
        <f t="shared" ca="1" si="299"/>
        <v>-1.9239717522776347</v>
      </c>
      <c r="F650" s="357">
        <f t="shared" ca="1" si="300"/>
        <v>2.0494531424455134</v>
      </c>
      <c r="G650" s="359">
        <f t="shared" ca="1" si="301"/>
        <v>5.0000228850772412</v>
      </c>
      <c r="H650" s="360">
        <f t="shared" ca="1" si="302"/>
        <v>-55.842619847886574</v>
      </c>
      <c r="I650" s="357">
        <f t="shared" ca="1" si="303"/>
        <v>56.066018409789649</v>
      </c>
      <c r="J650" s="359">
        <f t="shared" ca="1" si="304"/>
        <v>184.26379383972827</v>
      </c>
      <c r="K650" s="360">
        <f t="shared" ca="1" si="305"/>
        <v>-6.6283991224167833</v>
      </c>
      <c r="L650" s="357">
        <f t="shared" ca="1" si="290"/>
        <v>184.38297479739265</v>
      </c>
      <c r="M650" s="359">
        <f t="shared" ca="1" si="306"/>
        <v>-1.4814967011420128</v>
      </c>
      <c r="N650" s="357">
        <f t="shared" ca="1" si="307"/>
        <v>-84.883508337991586</v>
      </c>
      <c r="O650" s="343"/>
      <c r="P650" s="363">
        <f t="shared" ca="1" si="308"/>
        <v>23</v>
      </c>
      <c r="Q650" s="357">
        <f t="shared" ca="1" si="309"/>
        <v>0</v>
      </c>
      <c r="R650" s="359">
        <f t="shared" ca="1" si="310"/>
        <v>0</v>
      </c>
      <c r="S650" s="360">
        <f t="shared" ca="1" si="311"/>
        <v>0.42898953648292248</v>
      </c>
      <c r="T650" s="357">
        <f t="shared" ca="1" si="291"/>
        <v>4.2083873528974696</v>
      </c>
      <c r="U650" s="364">
        <f t="shared" ca="1" si="292"/>
        <v>0</v>
      </c>
      <c r="V650" s="359">
        <f t="shared" ca="1" si="293"/>
        <v>1.2258122480877216</v>
      </c>
      <c r="W650" s="357">
        <f t="shared" ca="1" si="294"/>
        <v>3.3965822252913265</v>
      </c>
      <c r="X650" s="343"/>
      <c r="Y650" s="367" t="str">
        <f t="shared" ca="1" si="312"/>
        <v/>
      </c>
      <c r="Z650" s="368" t="str">
        <f t="shared" ca="1" si="313"/>
        <v/>
      </c>
      <c r="AA650" s="369" t="str">
        <f t="shared" ca="1" si="314"/>
        <v/>
      </c>
      <c r="AB650" s="344"/>
      <c r="AC650" s="363" t="e">
        <f t="shared" ca="1" si="315"/>
        <v>#N/A</v>
      </c>
      <c r="AD650" s="376" t="e">
        <f t="shared" ca="1" si="316"/>
        <v>#N/A</v>
      </c>
      <c r="AE650" s="377" t="e">
        <f t="shared" ca="1" si="295"/>
        <v>#N/A</v>
      </c>
      <c r="AF650" s="344"/>
      <c r="AG650" s="359">
        <f t="shared" ca="1" si="317"/>
        <v>1.8533326426452756</v>
      </c>
      <c r="AH650" s="357">
        <f t="shared" ca="1" si="318"/>
        <v>-7.9175774327374029</v>
      </c>
    </row>
    <row r="651" spans="1:34">
      <c r="A651" s="402">
        <f t="shared" ca="1" si="296"/>
        <v>1E-4</v>
      </c>
      <c r="B651" s="357">
        <f t="shared" ca="1" si="297"/>
        <v>16.929799999999904</v>
      </c>
      <c r="C651" s="342"/>
      <c r="D651" s="359">
        <f t="shared" ca="1" si="298"/>
        <v>-0.70610243630807412</v>
      </c>
      <c r="E651" s="360">
        <f t="shared" ca="1" si="299"/>
        <v>-1.9239141098532766</v>
      </c>
      <c r="F651" s="357">
        <f t="shared" ca="1" si="300"/>
        <v>2.0493965337759121</v>
      </c>
      <c r="G651" s="359">
        <f t="shared" ca="1" si="301"/>
        <v>4.9999522748336105</v>
      </c>
      <c r="H651" s="360">
        <f t="shared" ca="1" si="302"/>
        <v>-55.842812239297558</v>
      </c>
      <c r="I651" s="357">
        <f t="shared" ca="1" si="303"/>
        <v>56.066203737582008</v>
      </c>
      <c r="J651" s="359">
        <f t="shared" ca="1" si="304"/>
        <v>184.26379383972827</v>
      </c>
      <c r="K651" s="360">
        <f t="shared" ca="1" si="305"/>
        <v>-6.6339833940211426</v>
      </c>
      <c r="L651" s="357">
        <f t="shared" ca="1" si="290"/>
        <v>184.38317563129786</v>
      </c>
      <c r="M651" s="359">
        <f t="shared" ca="1" si="306"/>
        <v>-1.4814982615570733</v>
      </c>
      <c r="N651" s="357">
        <f t="shared" ca="1" si="307"/>
        <v>-84.883597743188844</v>
      </c>
      <c r="O651" s="343"/>
      <c r="P651" s="363">
        <f t="shared" ca="1" si="308"/>
        <v>23</v>
      </c>
      <c r="Q651" s="357">
        <f t="shared" ca="1" si="309"/>
        <v>0</v>
      </c>
      <c r="R651" s="359">
        <f t="shared" ca="1" si="310"/>
        <v>0</v>
      </c>
      <c r="S651" s="360">
        <f t="shared" ca="1" si="311"/>
        <v>0.42898953648292248</v>
      </c>
      <c r="T651" s="357">
        <f t="shared" ca="1" si="291"/>
        <v>4.2083873528974696</v>
      </c>
      <c r="U651" s="364">
        <f t="shared" ca="1" si="292"/>
        <v>0</v>
      </c>
      <c r="V651" s="359">
        <f t="shared" ca="1" si="293"/>
        <v>1.2258129326148413</v>
      </c>
      <c r="W651" s="357">
        <f t="shared" ca="1" si="294"/>
        <v>3.3966065770806226</v>
      </c>
      <c r="X651" s="343"/>
      <c r="Y651" s="367" t="str">
        <f t="shared" ca="1" si="312"/>
        <v/>
      </c>
      <c r="Z651" s="368" t="str">
        <f t="shared" ca="1" si="313"/>
        <v/>
      </c>
      <c r="AA651" s="369" t="str">
        <f t="shared" ca="1" si="314"/>
        <v/>
      </c>
      <c r="AB651" s="344"/>
      <c r="AC651" s="363" t="e">
        <f t="shared" ca="1" si="315"/>
        <v>#N/A</v>
      </c>
      <c r="AD651" s="376" t="e">
        <f t="shared" ca="1" si="316"/>
        <v>#N/A</v>
      </c>
      <c r="AE651" s="377" t="e">
        <f t="shared" ca="1" si="295"/>
        <v>#N/A</v>
      </c>
      <c r="AF651" s="344"/>
      <c r="AG651" s="359">
        <f t="shared" ca="1" si="317"/>
        <v>1.8532772410610399</v>
      </c>
      <c r="AH651" s="357">
        <f t="shared" ca="1" si="318"/>
        <v>-7.9176341995151205</v>
      </c>
    </row>
    <row r="652" spans="1:34">
      <c r="A652" s="402">
        <f t="shared" ca="1" si="296"/>
        <v>1E-4</v>
      </c>
      <c r="B652" s="357">
        <f t="shared" ca="1" si="297"/>
        <v>16.929899999999904</v>
      </c>
      <c r="C652" s="342"/>
      <c r="D652" s="359">
        <f t="shared" ca="1" si="298"/>
        <v>-0.70609519305176704</v>
      </c>
      <c r="E652" s="360">
        <f t="shared" ca="1" si="299"/>
        <v>-1.9238564687654911</v>
      </c>
      <c r="F652" s="357">
        <f t="shared" ca="1" si="300"/>
        <v>2.0493399264303709</v>
      </c>
      <c r="G652" s="359">
        <f t="shared" ca="1" si="301"/>
        <v>4.9998816653143052</v>
      </c>
      <c r="H652" s="360">
        <f t="shared" ca="1" si="302"/>
        <v>-55.843004624944435</v>
      </c>
      <c r="I652" s="357">
        <f t="shared" ca="1" si="303"/>
        <v>56.066389059834336</v>
      </c>
      <c r="J652" s="359">
        <f t="shared" ca="1" si="304"/>
        <v>184.26379383972827</v>
      </c>
      <c r="K652" s="360">
        <f t="shared" ca="1" si="305"/>
        <v>-6.639567684864355</v>
      </c>
      <c r="L652" s="357">
        <f t="shared" ca="1" si="290"/>
        <v>184.38337663480343</v>
      </c>
      <c r="M652" s="359">
        <f t="shared" ca="1" si="306"/>
        <v>-1.4814998219397821</v>
      </c>
      <c r="N652" s="357">
        <f t="shared" ca="1" si="307"/>
        <v>-84.88368714653248</v>
      </c>
      <c r="O652" s="343"/>
      <c r="P652" s="363">
        <f t="shared" ca="1" si="308"/>
        <v>23</v>
      </c>
      <c r="Q652" s="357">
        <f t="shared" ca="1" si="309"/>
        <v>0</v>
      </c>
      <c r="R652" s="359">
        <f t="shared" ca="1" si="310"/>
        <v>0</v>
      </c>
      <c r="S652" s="360">
        <f t="shared" ca="1" si="311"/>
        <v>0.42898953648292248</v>
      </c>
      <c r="T652" s="357">
        <f t="shared" ca="1" si="291"/>
        <v>4.2083873528974696</v>
      </c>
      <c r="U652" s="364">
        <f t="shared" ca="1" si="292"/>
        <v>0</v>
      </c>
      <c r="V652" s="359">
        <f t="shared" ca="1" si="293"/>
        <v>1.2258136171447012</v>
      </c>
      <c r="W652" s="357">
        <f t="shared" ca="1" si="294"/>
        <v>3.39663092830556</v>
      </c>
      <c r="X652" s="343"/>
      <c r="Y652" s="367" t="str">
        <f t="shared" ca="1" si="312"/>
        <v/>
      </c>
      <c r="Z652" s="368" t="str">
        <f t="shared" ca="1" si="313"/>
        <v/>
      </c>
      <c r="AA652" s="369" t="str">
        <f t="shared" ca="1" si="314"/>
        <v/>
      </c>
      <c r="AB652" s="344"/>
      <c r="AC652" s="363" t="e">
        <f t="shared" ca="1" si="315"/>
        <v>#N/A</v>
      </c>
      <c r="AD652" s="376" t="e">
        <f t="shared" ca="1" si="316"/>
        <v>#N/A</v>
      </c>
      <c r="AE652" s="377" t="e">
        <f t="shared" ca="1" si="295"/>
        <v>#N/A</v>
      </c>
      <c r="AF652" s="344"/>
      <c r="AG652" s="359">
        <f t="shared" ca="1" si="317"/>
        <v>1.8532218407402761</v>
      </c>
      <c r="AH652" s="357">
        <f t="shared" ca="1" si="318"/>
        <v>-7.9176909649772709</v>
      </c>
    </row>
    <row r="653" spans="1:34">
      <c r="A653" s="402">
        <f t="shared" ca="1" si="296"/>
        <v>1E-4</v>
      </c>
      <c r="B653" s="357">
        <f t="shared" ca="1" si="297"/>
        <v>16.929999999999904</v>
      </c>
      <c r="C653" s="342"/>
      <c r="D653" s="359">
        <f t="shared" ca="1" si="298"/>
        <v>-0.70608794975510447</v>
      </c>
      <c r="E653" s="360">
        <f t="shared" ca="1" si="299"/>
        <v>-1.923798829014264</v>
      </c>
      <c r="F653" s="357">
        <f t="shared" ca="1" si="300"/>
        <v>2.0492833204088741</v>
      </c>
      <c r="G653" s="359">
        <f t="shared" ca="1" si="301"/>
        <v>4.9998110565193299</v>
      </c>
      <c r="H653" s="360">
        <f t="shared" ca="1" si="302"/>
        <v>-55.843197004827339</v>
      </c>
      <c r="I653" s="357">
        <f t="shared" ca="1" si="303"/>
        <v>56.066574376546768</v>
      </c>
      <c r="J653" s="359">
        <f t="shared" ca="1" si="304"/>
        <v>184.26379383972827</v>
      </c>
      <c r="K653" s="360">
        <f t="shared" ca="1" si="305"/>
        <v>-6.6451519949458433</v>
      </c>
      <c r="L653" s="357">
        <f t="shared" ca="1" si="290"/>
        <v>184.38357780791057</v>
      </c>
      <c r="M653" s="359">
        <f t="shared" ca="1" si="306"/>
        <v>-1.4815013822901402</v>
      </c>
      <c r="N653" s="357">
        <f t="shared" ca="1" si="307"/>
        <v>-84.883776548022553</v>
      </c>
      <c r="O653" s="343"/>
      <c r="P653" s="363">
        <f t="shared" ca="1" si="308"/>
        <v>23</v>
      </c>
      <c r="Q653" s="357">
        <f t="shared" ca="1" si="309"/>
        <v>0</v>
      </c>
      <c r="R653" s="359">
        <f t="shared" ca="1" si="310"/>
        <v>0</v>
      </c>
      <c r="S653" s="360">
        <f t="shared" ca="1" si="311"/>
        <v>0.42898953648292248</v>
      </c>
      <c r="T653" s="357">
        <f t="shared" ca="1" si="291"/>
        <v>4.2083873528974696</v>
      </c>
      <c r="U653" s="364">
        <f t="shared" ca="1" si="292"/>
        <v>0</v>
      </c>
      <c r="V653" s="359">
        <f t="shared" ca="1" si="293"/>
        <v>1.2258143016773015</v>
      </c>
      <c r="W653" s="357">
        <f t="shared" ca="1" si="294"/>
        <v>3.3966552789661497</v>
      </c>
      <c r="X653" s="343"/>
      <c r="Y653" s="367" t="str">
        <f t="shared" ca="1" si="312"/>
        <v/>
      </c>
      <c r="Z653" s="368" t="str">
        <f t="shared" ca="1" si="313"/>
        <v/>
      </c>
      <c r="AA653" s="369" t="str">
        <f t="shared" ca="1" si="314"/>
        <v/>
      </c>
      <c r="AB653" s="344"/>
      <c r="AC653" s="363" t="e">
        <f t="shared" ca="1" si="315"/>
        <v>#N/A</v>
      </c>
      <c r="AD653" s="376" t="e">
        <f t="shared" ca="1" si="316"/>
        <v>#N/A</v>
      </c>
      <c r="AE653" s="377" t="e">
        <f t="shared" ca="1" si="295"/>
        <v>#N/A</v>
      </c>
      <c r="AF653" s="344"/>
      <c r="AG653" s="359">
        <f t="shared" ca="1" si="317"/>
        <v>1.8531664416829727</v>
      </c>
      <c r="AH653" s="357">
        <f t="shared" ca="1" si="318"/>
        <v>-7.9177477291238674</v>
      </c>
    </row>
    <row r="654" spans="1:34">
      <c r="A654" s="402">
        <f t="shared" ca="1" si="296"/>
        <v>1E-4</v>
      </c>
      <c r="B654" s="357">
        <f t="shared" ca="1" si="297"/>
        <v>16.930099999999904</v>
      </c>
      <c r="C654" s="342"/>
      <c r="D654" s="359">
        <f t="shared" ca="1" si="298"/>
        <v>-0.70608070641809395</v>
      </c>
      <c r="E654" s="360">
        <f t="shared" ca="1" si="299"/>
        <v>-1.9237411905995696</v>
      </c>
      <c r="F654" s="357">
        <f t="shared" ca="1" si="300"/>
        <v>2.0492267157113981</v>
      </c>
      <c r="G654" s="359">
        <f t="shared" ca="1" si="301"/>
        <v>4.999740448448688</v>
      </c>
      <c r="H654" s="360">
        <f t="shared" ca="1" si="302"/>
        <v>-55.843389378946398</v>
      </c>
      <c r="I654" s="357">
        <f t="shared" ca="1" si="303"/>
        <v>56.066759687719404</v>
      </c>
      <c r="J654" s="359">
        <f t="shared" ca="1" si="304"/>
        <v>184.26379383972827</v>
      </c>
      <c r="K654" s="360">
        <f t="shared" ca="1" si="305"/>
        <v>-6.6507363242650319</v>
      </c>
      <c r="L654" s="357">
        <f t="shared" ca="1" si="290"/>
        <v>184.38377915062046</v>
      </c>
      <c r="M654" s="359">
        <f t="shared" ca="1" si="306"/>
        <v>-1.4815029426081483</v>
      </c>
      <c r="N654" s="357">
        <f t="shared" ca="1" si="307"/>
        <v>-84.883865947659118</v>
      </c>
      <c r="O654" s="343"/>
      <c r="P654" s="363">
        <f t="shared" ca="1" si="308"/>
        <v>23</v>
      </c>
      <c r="Q654" s="357">
        <f t="shared" ca="1" si="309"/>
        <v>0</v>
      </c>
      <c r="R654" s="359">
        <f t="shared" ca="1" si="310"/>
        <v>0</v>
      </c>
      <c r="S654" s="360">
        <f t="shared" ca="1" si="311"/>
        <v>0.42898953648292248</v>
      </c>
      <c r="T654" s="357">
        <f t="shared" ca="1" si="291"/>
        <v>4.2083873528974696</v>
      </c>
      <c r="U654" s="364">
        <f t="shared" ca="1" si="292"/>
        <v>0</v>
      </c>
      <c r="V654" s="359">
        <f t="shared" ca="1" si="293"/>
        <v>1.2258149862126428</v>
      </c>
      <c r="W654" s="357">
        <f t="shared" ca="1" si="294"/>
        <v>3.3966796290623966</v>
      </c>
      <c r="X654" s="343"/>
      <c r="Y654" s="367" t="str">
        <f t="shared" ca="1" si="312"/>
        <v/>
      </c>
      <c r="Z654" s="368" t="str">
        <f t="shared" ca="1" si="313"/>
        <v/>
      </c>
      <c r="AA654" s="369" t="str">
        <f t="shared" ca="1" si="314"/>
        <v/>
      </c>
      <c r="AB654" s="344"/>
      <c r="AC654" s="363" t="e">
        <f t="shared" ca="1" si="315"/>
        <v>#N/A</v>
      </c>
      <c r="AD654" s="376" t="e">
        <f t="shared" ca="1" si="316"/>
        <v>#N/A</v>
      </c>
      <c r="AE654" s="377" t="e">
        <f t="shared" ca="1" si="295"/>
        <v>#N/A</v>
      </c>
      <c r="AF654" s="344"/>
      <c r="AG654" s="359">
        <f t="shared" ca="1" si="317"/>
        <v>1.853111043889105</v>
      </c>
      <c r="AH654" s="357">
        <f t="shared" ca="1" si="318"/>
        <v>-7.9178044919549366</v>
      </c>
    </row>
    <row r="655" spans="1:34">
      <c r="A655" s="402">
        <f t="shared" ca="1" si="296"/>
        <v>1E-4</v>
      </c>
      <c r="B655" s="357">
        <f t="shared" ca="1" si="297"/>
        <v>16.930199999999903</v>
      </c>
      <c r="C655" s="342"/>
      <c r="D655" s="359">
        <f t="shared" ca="1" si="298"/>
        <v>-0.70607346304074081</v>
      </c>
      <c r="E655" s="360">
        <f t="shared" ca="1" si="299"/>
        <v>-1.9236835535213972</v>
      </c>
      <c r="F655" s="357">
        <f t="shared" ca="1" si="300"/>
        <v>2.0491701123379324</v>
      </c>
      <c r="G655" s="359">
        <f t="shared" ca="1" si="301"/>
        <v>4.9996698411023841</v>
      </c>
      <c r="H655" s="360">
        <f t="shared" ca="1" si="302"/>
        <v>-55.843581747301748</v>
      </c>
      <c r="I655" s="357">
        <f t="shared" ca="1" si="303"/>
        <v>56.066944993352379</v>
      </c>
      <c r="J655" s="359">
        <f t="shared" ca="1" si="304"/>
        <v>184.26379383972827</v>
      </c>
      <c r="K655" s="360">
        <f t="shared" ca="1" si="305"/>
        <v>-6.6563206728213444</v>
      </c>
      <c r="L655" s="357">
        <f t="shared" ca="1" si="290"/>
        <v>184.38398066293425</v>
      </c>
      <c r="M655" s="359">
        <f t="shared" ca="1" si="306"/>
        <v>-1.4815045028938074</v>
      </c>
      <c r="N655" s="357">
        <f t="shared" ca="1" si="307"/>
        <v>-84.883955345442217</v>
      </c>
      <c r="O655" s="343"/>
      <c r="P655" s="363">
        <f t="shared" ca="1" si="308"/>
        <v>23</v>
      </c>
      <c r="Q655" s="357">
        <f t="shared" ca="1" si="309"/>
        <v>0</v>
      </c>
      <c r="R655" s="359">
        <f t="shared" ca="1" si="310"/>
        <v>0</v>
      </c>
      <c r="S655" s="360">
        <f t="shared" ca="1" si="311"/>
        <v>0.42898953648292248</v>
      </c>
      <c r="T655" s="357">
        <f t="shared" ca="1" si="291"/>
        <v>4.2083873528974696</v>
      </c>
      <c r="U655" s="364">
        <f t="shared" ca="1" si="292"/>
        <v>0</v>
      </c>
      <c r="V655" s="359">
        <f t="shared" ca="1" si="293"/>
        <v>1.2258156707507246</v>
      </c>
      <c r="W655" s="357">
        <f t="shared" ca="1" si="294"/>
        <v>3.3967039785943083</v>
      </c>
      <c r="X655" s="343"/>
      <c r="Y655" s="367" t="str">
        <f t="shared" ca="1" si="312"/>
        <v/>
      </c>
      <c r="Z655" s="368" t="str">
        <f t="shared" ca="1" si="313"/>
        <v/>
      </c>
      <c r="AA655" s="369" t="str">
        <f t="shared" ca="1" si="314"/>
        <v/>
      </c>
      <c r="AB655" s="344"/>
      <c r="AC655" s="363" t="e">
        <f t="shared" ca="1" si="315"/>
        <v>#N/A</v>
      </c>
      <c r="AD655" s="376" t="e">
        <f t="shared" ca="1" si="316"/>
        <v>#N/A</v>
      </c>
      <c r="AE655" s="377" t="e">
        <f t="shared" ca="1" si="295"/>
        <v>#N/A</v>
      </c>
      <c r="AF655" s="344"/>
      <c r="AG655" s="359">
        <f t="shared" ca="1" si="317"/>
        <v>1.8530556473586648</v>
      </c>
      <c r="AH655" s="357">
        <f t="shared" ca="1" si="318"/>
        <v>-7.9178612534704884</v>
      </c>
    </row>
    <row r="656" spans="1:34">
      <c r="A656" s="402">
        <f t="shared" ca="1" si="296"/>
        <v>1E-4</v>
      </c>
      <c r="B656" s="357">
        <f t="shared" ca="1" si="297"/>
        <v>16.930299999999903</v>
      </c>
      <c r="C656" s="342"/>
      <c r="D656" s="359">
        <f t="shared" ca="1" si="298"/>
        <v>-0.70606621962305149</v>
      </c>
      <c r="E656" s="360">
        <f t="shared" ca="1" si="299"/>
        <v>-1.9236259177797255</v>
      </c>
      <c r="F656" s="357">
        <f t="shared" ca="1" si="300"/>
        <v>2.0491135102884561</v>
      </c>
      <c r="G656" s="359">
        <f t="shared" ca="1" si="301"/>
        <v>4.9995992344804217</v>
      </c>
      <c r="H656" s="360">
        <f t="shared" ca="1" si="302"/>
        <v>-55.843774109893523</v>
      </c>
      <c r="I656" s="357">
        <f t="shared" ca="1" si="303"/>
        <v>56.067130293445835</v>
      </c>
      <c r="J656" s="359">
        <f t="shared" ca="1" si="304"/>
        <v>184.26379383972827</v>
      </c>
      <c r="K656" s="360">
        <f t="shared" ca="1" si="305"/>
        <v>-6.6619050406142044</v>
      </c>
      <c r="L656" s="357">
        <f t="shared" ca="1" si="290"/>
        <v>184.38418234485312</v>
      </c>
      <c r="M656" s="359">
        <f t="shared" ca="1" si="306"/>
        <v>-1.4815060631471184</v>
      </c>
      <c r="N656" s="357">
        <f t="shared" ca="1" si="307"/>
        <v>-84.884044741371909</v>
      </c>
      <c r="O656" s="343"/>
      <c r="P656" s="363">
        <f t="shared" ca="1" si="308"/>
        <v>23</v>
      </c>
      <c r="Q656" s="357">
        <f t="shared" ca="1" si="309"/>
        <v>0</v>
      </c>
      <c r="R656" s="359">
        <f t="shared" ca="1" si="310"/>
        <v>0</v>
      </c>
      <c r="S656" s="360">
        <f t="shared" ca="1" si="311"/>
        <v>0.42898953648292248</v>
      </c>
      <c r="T656" s="357">
        <f t="shared" ca="1" si="291"/>
        <v>4.2083873528974696</v>
      </c>
      <c r="U656" s="364">
        <f t="shared" ca="1" si="292"/>
        <v>0</v>
      </c>
      <c r="V656" s="359">
        <f t="shared" ca="1" si="293"/>
        <v>1.2258163552915471</v>
      </c>
      <c r="W656" s="357">
        <f t="shared" ca="1" si="294"/>
        <v>3.3967283275618949</v>
      </c>
      <c r="X656" s="343"/>
      <c r="Y656" s="367" t="str">
        <f t="shared" ca="1" si="312"/>
        <v/>
      </c>
      <c r="Z656" s="368" t="str">
        <f t="shared" ca="1" si="313"/>
        <v/>
      </c>
      <c r="AA656" s="369" t="str">
        <f t="shared" ca="1" si="314"/>
        <v/>
      </c>
      <c r="AB656" s="344"/>
      <c r="AC656" s="363" t="e">
        <f t="shared" ca="1" si="315"/>
        <v>#N/A</v>
      </c>
      <c r="AD656" s="376" t="e">
        <f t="shared" ca="1" si="316"/>
        <v>#N/A</v>
      </c>
      <c r="AE656" s="377" t="e">
        <f t="shared" ca="1" si="295"/>
        <v>#N/A</v>
      </c>
      <c r="AF656" s="344"/>
      <c r="AG656" s="359">
        <f t="shared" ca="1" si="317"/>
        <v>1.8530002520916362</v>
      </c>
      <c r="AH656" s="357">
        <f t="shared" ca="1" si="318"/>
        <v>-7.9179180136705423</v>
      </c>
    </row>
    <row r="657" spans="1:34">
      <c r="A657" s="402">
        <f t="shared" ca="1" si="296"/>
        <v>1E-4</v>
      </c>
      <c r="B657" s="357">
        <f t="shared" ca="1" si="297"/>
        <v>16.930399999999903</v>
      </c>
      <c r="C657" s="342"/>
      <c r="D657" s="359">
        <f t="shared" ca="1" si="298"/>
        <v>-0.70605897616503288</v>
      </c>
      <c r="E657" s="360">
        <f t="shared" ca="1" si="299"/>
        <v>-1.923568283374534</v>
      </c>
      <c r="F657" s="357">
        <f t="shared" ca="1" si="300"/>
        <v>2.0490569095629496</v>
      </c>
      <c r="G657" s="359">
        <f t="shared" ca="1" si="301"/>
        <v>4.9995286285828051</v>
      </c>
      <c r="H657" s="360">
        <f t="shared" ca="1" si="302"/>
        <v>-55.843966466721859</v>
      </c>
      <c r="I657" s="357">
        <f t="shared" ca="1" si="303"/>
        <v>56.067315587999879</v>
      </c>
      <c r="J657" s="359">
        <f t="shared" ca="1" si="304"/>
        <v>184.26379383972827</v>
      </c>
      <c r="K657" s="360">
        <f t="shared" ca="1" si="305"/>
        <v>-6.6674894276430354</v>
      </c>
      <c r="L657" s="357">
        <f t="shared" ca="1" si="290"/>
        <v>184.38438419637822</v>
      </c>
      <c r="M657" s="359">
        <f t="shared" ca="1" si="306"/>
        <v>-1.4815076233680822</v>
      </c>
      <c r="N657" s="357">
        <f t="shared" ca="1" si="307"/>
        <v>-84.884134135448249</v>
      </c>
      <c r="O657" s="343"/>
      <c r="P657" s="363">
        <f t="shared" ca="1" si="308"/>
        <v>23</v>
      </c>
      <c r="Q657" s="357">
        <f t="shared" ca="1" si="309"/>
        <v>0</v>
      </c>
      <c r="R657" s="359">
        <f t="shared" ca="1" si="310"/>
        <v>0</v>
      </c>
      <c r="S657" s="360">
        <f t="shared" ca="1" si="311"/>
        <v>0.42898953648292248</v>
      </c>
      <c r="T657" s="357">
        <f t="shared" ca="1" si="291"/>
        <v>4.2083873528974696</v>
      </c>
      <c r="U657" s="364">
        <f t="shared" ca="1" si="292"/>
        <v>0</v>
      </c>
      <c r="V657" s="359">
        <f t="shared" ca="1" si="293"/>
        <v>1.2258170398351096</v>
      </c>
      <c r="W657" s="357">
        <f t="shared" ca="1" si="294"/>
        <v>3.3967526759651614</v>
      </c>
      <c r="X657" s="343"/>
      <c r="Y657" s="367" t="str">
        <f t="shared" ca="1" si="312"/>
        <v/>
      </c>
      <c r="Z657" s="368" t="str">
        <f t="shared" ca="1" si="313"/>
        <v/>
      </c>
      <c r="AA657" s="369" t="str">
        <f t="shared" ca="1" si="314"/>
        <v/>
      </c>
      <c r="AB657" s="344"/>
      <c r="AC657" s="363" t="e">
        <f t="shared" ca="1" si="315"/>
        <v>#N/A</v>
      </c>
      <c r="AD657" s="376" t="e">
        <f t="shared" ca="1" si="316"/>
        <v>#N/A</v>
      </c>
      <c r="AE657" s="377" t="e">
        <f t="shared" ca="1" si="295"/>
        <v>#N/A</v>
      </c>
      <c r="AF657" s="344"/>
      <c r="AG657" s="359">
        <f t="shared" ca="1" si="317"/>
        <v>1.8529448580879997</v>
      </c>
      <c r="AH657" s="357">
        <f t="shared" ca="1" si="318"/>
        <v>-7.9179747725551213</v>
      </c>
    </row>
    <row r="658" spans="1:34">
      <c r="A658" s="402">
        <f t="shared" ca="1" si="296"/>
        <v>1E-4</v>
      </c>
      <c r="B658" s="357">
        <f t="shared" ca="1" si="297"/>
        <v>16.930499999999903</v>
      </c>
      <c r="C658" s="342"/>
      <c r="D658" s="359">
        <f t="shared" ca="1" si="298"/>
        <v>-0.70605173266669063</v>
      </c>
      <c r="E658" s="360">
        <f t="shared" ca="1" si="299"/>
        <v>-1.9235106503058086</v>
      </c>
      <c r="F658" s="357">
        <f t="shared" ca="1" si="300"/>
        <v>2.0490003101613992</v>
      </c>
      <c r="G658" s="359">
        <f t="shared" ca="1" si="301"/>
        <v>4.999458023409538</v>
      </c>
      <c r="H658" s="360">
        <f t="shared" ca="1" si="302"/>
        <v>-55.844158817786891</v>
      </c>
      <c r="I658" s="357">
        <f t="shared" ca="1" si="303"/>
        <v>56.067500877014659</v>
      </c>
      <c r="J658" s="359">
        <f t="shared" ca="1" si="304"/>
        <v>184.26379383972827</v>
      </c>
      <c r="K658" s="360">
        <f t="shared" ca="1" si="305"/>
        <v>-6.6730738339072611</v>
      </c>
      <c r="L658" s="357">
        <f t="shared" ca="1" si="290"/>
        <v>184.38458621751076</v>
      </c>
      <c r="M658" s="359">
        <f t="shared" ca="1" si="306"/>
        <v>-1.4815091835567</v>
      </c>
      <c r="N658" s="357">
        <f t="shared" ca="1" si="307"/>
        <v>-84.884223527671296</v>
      </c>
      <c r="O658" s="343"/>
      <c r="P658" s="363">
        <f t="shared" ca="1" si="308"/>
        <v>23</v>
      </c>
      <c r="Q658" s="357">
        <f t="shared" ca="1" si="309"/>
        <v>0</v>
      </c>
      <c r="R658" s="359">
        <f t="shared" ca="1" si="310"/>
        <v>0</v>
      </c>
      <c r="S658" s="360">
        <f t="shared" ca="1" si="311"/>
        <v>0.42898953648292248</v>
      </c>
      <c r="T658" s="357">
        <f t="shared" ca="1" si="291"/>
        <v>4.2083873528974696</v>
      </c>
      <c r="U658" s="364">
        <f t="shared" ca="1" si="292"/>
        <v>0</v>
      </c>
      <c r="V658" s="359">
        <f t="shared" ca="1" si="293"/>
        <v>1.2258177243814123</v>
      </c>
      <c r="W658" s="357">
        <f t="shared" ca="1" si="294"/>
        <v>3.3967770238041179</v>
      </c>
      <c r="X658" s="343"/>
      <c r="Y658" s="367" t="str">
        <f t="shared" ca="1" si="312"/>
        <v/>
      </c>
      <c r="Z658" s="368" t="str">
        <f t="shared" ca="1" si="313"/>
        <v/>
      </c>
      <c r="AA658" s="369" t="str">
        <f t="shared" ca="1" si="314"/>
        <v/>
      </c>
      <c r="AB658" s="344"/>
      <c r="AC658" s="363" t="e">
        <f t="shared" ca="1" si="315"/>
        <v>#N/A</v>
      </c>
      <c r="AD658" s="376" t="e">
        <f t="shared" ca="1" si="316"/>
        <v>#N/A</v>
      </c>
      <c r="AE658" s="377" t="e">
        <f t="shared" ca="1" si="295"/>
        <v>#N/A</v>
      </c>
      <c r="AF658" s="344"/>
      <c r="AG658" s="359">
        <f t="shared" ca="1" si="317"/>
        <v>1.8528894653477446</v>
      </c>
      <c r="AH658" s="357">
        <f t="shared" ca="1" si="318"/>
        <v>-7.9180315301242361</v>
      </c>
    </row>
    <row r="659" spans="1:34">
      <c r="A659" s="402">
        <f t="shared" ca="1" si="296"/>
        <v>1E-4</v>
      </c>
      <c r="B659" s="357">
        <f t="shared" ca="1" si="297"/>
        <v>16.930599999999902</v>
      </c>
      <c r="C659" s="342"/>
      <c r="D659" s="359">
        <f t="shared" ca="1" si="298"/>
        <v>-0.70604448912802809</v>
      </c>
      <c r="E659" s="360">
        <f t="shared" ca="1" si="299"/>
        <v>-1.923453018573527</v>
      </c>
      <c r="F659" s="357">
        <f t="shared" ca="1" si="300"/>
        <v>2.048943712083783</v>
      </c>
      <c r="G659" s="359">
        <f t="shared" ca="1" si="301"/>
        <v>4.9993874189606249</v>
      </c>
      <c r="H659" s="360">
        <f t="shared" ca="1" si="302"/>
        <v>-55.844351163088746</v>
      </c>
      <c r="I659" s="357">
        <f t="shared" ca="1" si="303"/>
        <v>56.067686160490283</v>
      </c>
      <c r="J659" s="359">
        <f t="shared" ca="1" si="304"/>
        <v>184.26379383972827</v>
      </c>
      <c r="K659" s="360">
        <f t="shared" ca="1" si="305"/>
        <v>-6.6786582594063049</v>
      </c>
      <c r="L659" s="357">
        <f t="shared" ca="1" si="290"/>
        <v>184.38478840825189</v>
      </c>
      <c r="M659" s="359">
        <f t="shared" ca="1" si="306"/>
        <v>-1.4815107437129722</v>
      </c>
      <c r="N659" s="357">
        <f t="shared" ca="1" si="307"/>
        <v>-84.884312918041061</v>
      </c>
      <c r="O659" s="343"/>
      <c r="P659" s="363">
        <f t="shared" ca="1" si="308"/>
        <v>23</v>
      </c>
      <c r="Q659" s="357">
        <f t="shared" ca="1" si="309"/>
        <v>0</v>
      </c>
      <c r="R659" s="359">
        <f t="shared" ca="1" si="310"/>
        <v>0</v>
      </c>
      <c r="S659" s="360">
        <f t="shared" ca="1" si="311"/>
        <v>0.42898953648292248</v>
      </c>
      <c r="T659" s="357">
        <f t="shared" ca="1" si="291"/>
        <v>4.2083873528974696</v>
      </c>
      <c r="U659" s="364">
        <f t="shared" ca="1" si="292"/>
        <v>0</v>
      </c>
      <c r="V659" s="359">
        <f t="shared" ca="1" si="293"/>
        <v>1.2258184089304556</v>
      </c>
      <c r="W659" s="357">
        <f t="shared" ca="1" si="294"/>
        <v>3.3968013710787694</v>
      </c>
      <c r="X659" s="343"/>
      <c r="Y659" s="367" t="str">
        <f t="shared" ca="1" si="312"/>
        <v/>
      </c>
      <c r="Z659" s="368" t="str">
        <f t="shared" ca="1" si="313"/>
        <v/>
      </c>
      <c r="AA659" s="369" t="str">
        <f t="shared" ca="1" si="314"/>
        <v/>
      </c>
      <c r="AB659" s="344"/>
      <c r="AC659" s="363" t="e">
        <f t="shared" ca="1" si="315"/>
        <v>#N/A</v>
      </c>
      <c r="AD659" s="376" t="e">
        <f t="shared" ca="1" si="316"/>
        <v>#N/A</v>
      </c>
      <c r="AE659" s="377" t="e">
        <f t="shared" ca="1" si="295"/>
        <v>#N/A</v>
      </c>
      <c r="AF659" s="344"/>
      <c r="AG659" s="359">
        <f t="shared" ca="1" si="317"/>
        <v>1.8528340738708469</v>
      </c>
      <c r="AH659" s="357">
        <f t="shared" ca="1" si="318"/>
        <v>-7.9180882863779107</v>
      </c>
    </row>
    <row r="660" spans="1:34">
      <c r="A660" s="402">
        <f t="shared" ca="1" si="296"/>
        <v>1E-4</v>
      </c>
      <c r="B660" s="357">
        <f t="shared" ca="1" si="297"/>
        <v>16.930699999999902</v>
      </c>
      <c r="C660" s="342"/>
      <c r="D660" s="359">
        <f t="shared" ca="1" si="298"/>
        <v>-0.70603724554905622</v>
      </c>
      <c r="E660" s="360">
        <f t="shared" ca="1" si="299"/>
        <v>-1.923395388177676</v>
      </c>
      <c r="F660" s="357">
        <f t="shared" ca="1" si="300"/>
        <v>2.0488871153300887</v>
      </c>
      <c r="G660" s="359">
        <f t="shared" ca="1" si="301"/>
        <v>4.9993168152360701</v>
      </c>
      <c r="H660" s="360">
        <f t="shared" ca="1" si="302"/>
        <v>-55.844543502627566</v>
      </c>
      <c r="I660" s="357">
        <f t="shared" ca="1" si="303"/>
        <v>56.067871438426884</v>
      </c>
      <c r="J660" s="359">
        <f t="shared" ca="1" si="304"/>
        <v>184.26379383972827</v>
      </c>
      <c r="K660" s="360">
        <f t="shared" ca="1" si="305"/>
        <v>-6.6842427041395904</v>
      </c>
      <c r="L660" s="357">
        <f t="shared" ca="1" si="290"/>
        <v>184.38499076860276</v>
      </c>
      <c r="M660" s="359">
        <f t="shared" ca="1" si="306"/>
        <v>-1.4815123038369002</v>
      </c>
      <c r="N660" s="357">
        <f t="shared" ca="1" si="307"/>
        <v>-84.884402306557661</v>
      </c>
      <c r="O660" s="343"/>
      <c r="P660" s="363">
        <f t="shared" ca="1" si="308"/>
        <v>23</v>
      </c>
      <c r="Q660" s="357">
        <f t="shared" ca="1" si="309"/>
        <v>0</v>
      </c>
      <c r="R660" s="359">
        <f t="shared" ca="1" si="310"/>
        <v>0</v>
      </c>
      <c r="S660" s="360">
        <f t="shared" ca="1" si="311"/>
        <v>0.42898953648292248</v>
      </c>
      <c r="T660" s="357">
        <f t="shared" ca="1" si="291"/>
        <v>4.2083873528974696</v>
      </c>
      <c r="U660" s="364">
        <f t="shared" ca="1" si="292"/>
        <v>0</v>
      </c>
      <c r="V660" s="359">
        <f t="shared" ca="1" si="293"/>
        <v>1.2258190934822391</v>
      </c>
      <c r="W660" s="357">
        <f t="shared" ca="1" si="294"/>
        <v>3.3968257177891266</v>
      </c>
      <c r="X660" s="343"/>
      <c r="Y660" s="367" t="str">
        <f t="shared" ca="1" si="312"/>
        <v/>
      </c>
      <c r="Z660" s="368" t="str">
        <f t="shared" ca="1" si="313"/>
        <v/>
      </c>
      <c r="AA660" s="369" t="str">
        <f t="shared" ca="1" si="314"/>
        <v/>
      </c>
      <c r="AB660" s="344"/>
      <c r="AC660" s="363" t="e">
        <f t="shared" ca="1" si="315"/>
        <v>#N/A</v>
      </c>
      <c r="AD660" s="376" t="e">
        <f t="shared" ca="1" si="316"/>
        <v>#N/A</v>
      </c>
      <c r="AE660" s="377" t="e">
        <f t="shared" ca="1" si="295"/>
        <v>#N/A</v>
      </c>
      <c r="AF660" s="344"/>
      <c r="AG660" s="359">
        <f t="shared" ca="1" si="317"/>
        <v>1.8527786836573013</v>
      </c>
      <c r="AH660" s="357">
        <f t="shared" ca="1" si="318"/>
        <v>-7.9181450413161576</v>
      </c>
    </row>
    <row r="661" spans="1:34">
      <c r="A661" s="402">
        <f t="shared" ca="1" si="296"/>
        <v>1E-4</v>
      </c>
      <c r="B661" s="357">
        <f t="shared" ca="1" si="297"/>
        <v>16.930799999999902</v>
      </c>
      <c r="C661" s="342"/>
      <c r="D661" s="359">
        <f t="shared" ca="1" si="298"/>
        <v>-0.70603000192977683</v>
      </c>
      <c r="E661" s="360">
        <f t="shared" ca="1" si="299"/>
        <v>-1.9233377591182315</v>
      </c>
      <c r="F661" s="357">
        <f t="shared" ca="1" si="300"/>
        <v>2.0488305199002919</v>
      </c>
      <c r="G661" s="359">
        <f t="shared" ca="1" si="301"/>
        <v>4.9992462122358772</v>
      </c>
      <c r="H661" s="360">
        <f t="shared" ca="1" si="302"/>
        <v>-55.84473583640348</v>
      </c>
      <c r="I661" s="357">
        <f t="shared" ca="1" si="303"/>
        <v>56.068056710824585</v>
      </c>
      <c r="J661" s="359">
        <f t="shared" ca="1" si="304"/>
        <v>184.26379383972827</v>
      </c>
      <c r="K661" s="360">
        <f t="shared" ca="1" si="305"/>
        <v>-6.6898271681065422</v>
      </c>
      <c r="L661" s="357">
        <f t="shared" ca="1" si="290"/>
        <v>184.38519329856456</v>
      </c>
      <c r="M661" s="359">
        <f t="shared" ca="1" si="306"/>
        <v>-1.4815138639284848</v>
      </c>
      <c r="N661" s="357">
        <f t="shared" ca="1" si="307"/>
        <v>-84.884491693221108</v>
      </c>
      <c r="O661" s="343"/>
      <c r="P661" s="363">
        <f t="shared" ca="1" si="308"/>
        <v>23</v>
      </c>
      <c r="Q661" s="357">
        <f t="shared" ca="1" si="309"/>
        <v>0</v>
      </c>
      <c r="R661" s="359">
        <f t="shared" ca="1" si="310"/>
        <v>0</v>
      </c>
      <c r="S661" s="360">
        <f t="shared" ca="1" si="311"/>
        <v>0.42898953648292248</v>
      </c>
      <c r="T661" s="357">
        <f t="shared" ca="1" si="291"/>
        <v>4.2083873528974696</v>
      </c>
      <c r="U661" s="364">
        <f t="shared" ca="1" si="292"/>
        <v>0</v>
      </c>
      <c r="V661" s="359">
        <f t="shared" ca="1" si="293"/>
        <v>1.2258197780367621</v>
      </c>
      <c r="W661" s="357">
        <f t="shared" ca="1" si="294"/>
        <v>3.396850063935192</v>
      </c>
      <c r="X661" s="343"/>
      <c r="Y661" s="367" t="str">
        <f t="shared" ca="1" si="312"/>
        <v/>
      </c>
      <c r="Z661" s="368" t="str">
        <f t="shared" ca="1" si="313"/>
        <v/>
      </c>
      <c r="AA661" s="369" t="str">
        <f t="shared" ca="1" si="314"/>
        <v/>
      </c>
      <c r="AB661" s="344"/>
      <c r="AC661" s="363" t="e">
        <f t="shared" ca="1" si="315"/>
        <v>#N/A</v>
      </c>
      <c r="AD661" s="376" t="e">
        <f t="shared" ca="1" si="316"/>
        <v>#N/A</v>
      </c>
      <c r="AE661" s="377" t="e">
        <f t="shared" ca="1" si="295"/>
        <v>#N/A</v>
      </c>
      <c r="AF661" s="344"/>
      <c r="AG661" s="359">
        <f t="shared" ca="1" si="317"/>
        <v>1.8527232947070855</v>
      </c>
      <c r="AH661" s="357">
        <f t="shared" ca="1" si="318"/>
        <v>-7.9182017949390007</v>
      </c>
    </row>
    <row r="662" spans="1:34">
      <c r="A662" s="402">
        <f t="shared" ca="1" si="296"/>
        <v>1E-4</v>
      </c>
      <c r="B662" s="357">
        <f t="shared" ca="1" si="297"/>
        <v>16.930899999999902</v>
      </c>
      <c r="C662" s="342"/>
      <c r="D662" s="359">
        <f t="shared" ca="1" si="298"/>
        <v>-0.70602275827019667</v>
      </c>
      <c r="E662" s="360">
        <f t="shared" ca="1" si="299"/>
        <v>-1.9232801313951864</v>
      </c>
      <c r="F662" s="357">
        <f t="shared" ca="1" si="300"/>
        <v>2.0487739257943867</v>
      </c>
      <c r="G662" s="359">
        <f t="shared" ca="1" si="301"/>
        <v>4.9991756099600497</v>
      </c>
      <c r="H662" s="360">
        <f t="shared" ca="1" si="302"/>
        <v>-55.844928164416622</v>
      </c>
      <c r="I662" s="357">
        <f t="shared" ca="1" si="303"/>
        <v>56.06824197768352</v>
      </c>
      <c r="J662" s="359">
        <f t="shared" ca="1" si="304"/>
        <v>184.26379383972827</v>
      </c>
      <c r="K662" s="360">
        <f t="shared" ca="1" si="305"/>
        <v>-6.6954116513065829</v>
      </c>
      <c r="L662" s="357">
        <f t="shared" ca="1" si="290"/>
        <v>184.38539599813845</v>
      </c>
      <c r="M662" s="359">
        <f t="shared" ca="1" si="306"/>
        <v>-1.4815154239877271</v>
      </c>
      <c r="N662" s="357">
        <f t="shared" ca="1" si="307"/>
        <v>-84.884581078031488</v>
      </c>
      <c r="O662" s="343"/>
      <c r="P662" s="363">
        <f t="shared" ca="1" si="308"/>
        <v>23</v>
      </c>
      <c r="Q662" s="357">
        <f t="shared" ca="1" si="309"/>
        <v>0</v>
      </c>
      <c r="R662" s="359">
        <f t="shared" ca="1" si="310"/>
        <v>0</v>
      </c>
      <c r="S662" s="360">
        <f t="shared" ca="1" si="311"/>
        <v>0.42898953648292248</v>
      </c>
      <c r="T662" s="357">
        <f t="shared" ca="1" si="291"/>
        <v>4.2083873528974696</v>
      </c>
      <c r="U662" s="364">
        <f t="shared" ca="1" si="292"/>
        <v>0</v>
      </c>
      <c r="V662" s="359">
        <f t="shared" ca="1" si="293"/>
        <v>1.2258204625940259</v>
      </c>
      <c r="W662" s="357">
        <f t="shared" ca="1" si="294"/>
        <v>3.3968744095169798</v>
      </c>
      <c r="X662" s="343"/>
      <c r="Y662" s="367" t="str">
        <f t="shared" ca="1" si="312"/>
        <v/>
      </c>
      <c r="Z662" s="368" t="str">
        <f t="shared" ca="1" si="313"/>
        <v/>
      </c>
      <c r="AA662" s="369" t="str">
        <f t="shared" ca="1" si="314"/>
        <v/>
      </c>
      <c r="AB662" s="344"/>
      <c r="AC662" s="363" t="e">
        <f t="shared" ca="1" si="315"/>
        <v>#N/A</v>
      </c>
      <c r="AD662" s="376" t="e">
        <f t="shared" ca="1" si="316"/>
        <v>#N/A</v>
      </c>
      <c r="AE662" s="377" t="e">
        <f t="shared" ca="1" si="295"/>
        <v>#N/A</v>
      </c>
      <c r="AF662" s="344"/>
      <c r="AG662" s="359">
        <f t="shared" ca="1" si="317"/>
        <v>1.8526679070201935</v>
      </c>
      <c r="AH662" s="357">
        <f t="shared" ca="1" si="318"/>
        <v>-7.9182585472464462</v>
      </c>
    </row>
    <row r="663" spans="1:34">
      <c r="A663" s="402">
        <f t="shared" ca="1" si="296"/>
        <v>1E-4</v>
      </c>
      <c r="B663" s="357">
        <f t="shared" ca="1" si="297"/>
        <v>16.930999999999901</v>
      </c>
      <c r="C663" s="342"/>
      <c r="D663" s="359">
        <f t="shared" ca="1" si="298"/>
        <v>-0.70601551457032186</v>
      </c>
      <c r="E663" s="360">
        <f t="shared" ca="1" si="299"/>
        <v>-1.923222505008507</v>
      </c>
      <c r="F663" s="357">
        <f t="shared" ca="1" si="300"/>
        <v>2.0487173330123394</v>
      </c>
      <c r="G663" s="359">
        <f t="shared" ca="1" si="301"/>
        <v>4.9991050084085931</v>
      </c>
      <c r="H663" s="360">
        <f t="shared" ca="1" si="302"/>
        <v>-55.84512048666712</v>
      </c>
      <c r="I663" s="357">
        <f t="shared" ca="1" si="303"/>
        <v>56.068427239003803</v>
      </c>
      <c r="J663" s="359">
        <f t="shared" ca="1" si="304"/>
        <v>184.26379383972827</v>
      </c>
      <c r="K663" s="360">
        <f t="shared" ca="1" si="305"/>
        <v>-6.7009961537391369</v>
      </c>
      <c r="L663" s="357">
        <f t="shared" ca="1" si="290"/>
        <v>184.38559886732563</v>
      </c>
      <c r="M663" s="359">
        <f t="shared" ca="1" si="306"/>
        <v>-1.4815169840146274</v>
      </c>
      <c r="N663" s="357">
        <f t="shared" ca="1" si="307"/>
        <v>-84.884670460988801</v>
      </c>
      <c r="O663" s="343"/>
      <c r="P663" s="363">
        <f t="shared" ca="1" si="308"/>
        <v>23</v>
      </c>
      <c r="Q663" s="357">
        <f t="shared" ca="1" si="309"/>
        <v>0</v>
      </c>
      <c r="R663" s="359">
        <f t="shared" ca="1" si="310"/>
        <v>0</v>
      </c>
      <c r="S663" s="360">
        <f t="shared" ca="1" si="311"/>
        <v>0.42898953648292248</v>
      </c>
      <c r="T663" s="357">
        <f t="shared" ca="1" si="291"/>
        <v>4.2083873528974696</v>
      </c>
      <c r="U663" s="364">
        <f t="shared" ca="1" si="292"/>
        <v>0</v>
      </c>
      <c r="V663" s="359">
        <f t="shared" ca="1" si="293"/>
        <v>1.2258211471540295</v>
      </c>
      <c r="W663" s="357">
        <f t="shared" ca="1" si="294"/>
        <v>3.3968987545344933</v>
      </c>
      <c r="X663" s="343"/>
      <c r="Y663" s="367" t="str">
        <f t="shared" ca="1" si="312"/>
        <v/>
      </c>
      <c r="Z663" s="368" t="str">
        <f t="shared" ca="1" si="313"/>
        <v/>
      </c>
      <c r="AA663" s="369" t="str">
        <f t="shared" ca="1" si="314"/>
        <v/>
      </c>
      <c r="AB663" s="344"/>
      <c r="AC663" s="363" t="e">
        <f t="shared" ca="1" si="315"/>
        <v>#N/A</v>
      </c>
      <c r="AD663" s="376" t="e">
        <f t="shared" ca="1" si="316"/>
        <v>#N/A</v>
      </c>
      <c r="AE663" s="377" t="e">
        <f t="shared" ca="1" si="295"/>
        <v>#N/A</v>
      </c>
      <c r="AF663" s="344"/>
      <c r="AG663" s="359">
        <f t="shared" ca="1" si="317"/>
        <v>1.852612520596594</v>
      </c>
      <c r="AH663" s="357">
        <f t="shared" ca="1" si="318"/>
        <v>-7.918315298238527</v>
      </c>
    </row>
    <row r="664" spans="1:34">
      <c r="A664" s="402">
        <f t="shared" ca="1" si="296"/>
        <v>1E-4</v>
      </c>
      <c r="B664" s="357">
        <f t="shared" ca="1" si="297"/>
        <v>16.931099999999901</v>
      </c>
      <c r="C664" s="342"/>
      <c r="D664" s="359">
        <f t="shared" ca="1" si="298"/>
        <v>-0.70600827083016127</v>
      </c>
      <c r="E664" s="360">
        <f t="shared" ca="1" si="299"/>
        <v>-1.9231648799581862</v>
      </c>
      <c r="F664" s="357">
        <f t="shared" ca="1" si="300"/>
        <v>2.0486607415541451</v>
      </c>
      <c r="G664" s="359">
        <f t="shared" ca="1" si="301"/>
        <v>4.9990344075815099</v>
      </c>
      <c r="H664" s="360">
        <f t="shared" ca="1" si="302"/>
        <v>-55.845312803155117</v>
      </c>
      <c r="I664" s="357">
        <f t="shared" ca="1" si="303"/>
        <v>56.068612494785569</v>
      </c>
      <c r="J664" s="359">
        <f t="shared" ca="1" si="304"/>
        <v>184.26379383972827</v>
      </c>
      <c r="K664" s="360">
        <f t="shared" ca="1" si="305"/>
        <v>-6.7065806754036279</v>
      </c>
      <c r="L664" s="357">
        <f t="shared" ca="1" si="290"/>
        <v>184.3858019061272</v>
      </c>
      <c r="M664" s="359">
        <f t="shared" ca="1" si="306"/>
        <v>-1.4815185440091874</v>
      </c>
      <c r="N664" s="357">
        <f t="shared" ca="1" si="307"/>
        <v>-84.884759842093146</v>
      </c>
      <c r="O664" s="343"/>
      <c r="P664" s="363">
        <f t="shared" ca="1" si="308"/>
        <v>23</v>
      </c>
      <c r="Q664" s="357">
        <f t="shared" ca="1" si="309"/>
        <v>0</v>
      </c>
      <c r="R664" s="359">
        <f t="shared" ca="1" si="310"/>
        <v>0</v>
      </c>
      <c r="S664" s="360">
        <f t="shared" ca="1" si="311"/>
        <v>0.42898953648292248</v>
      </c>
      <c r="T664" s="357">
        <f t="shared" ca="1" si="291"/>
        <v>4.2083873528974696</v>
      </c>
      <c r="U664" s="364">
        <f t="shared" ca="1" si="292"/>
        <v>0</v>
      </c>
      <c r="V664" s="359">
        <f t="shared" ca="1" si="293"/>
        <v>1.2258218317167726</v>
      </c>
      <c r="W664" s="357">
        <f t="shared" ca="1" si="294"/>
        <v>3.3969230989877395</v>
      </c>
      <c r="X664" s="343"/>
      <c r="Y664" s="367" t="str">
        <f t="shared" ca="1" si="312"/>
        <v/>
      </c>
      <c r="Z664" s="368" t="str">
        <f t="shared" ca="1" si="313"/>
        <v/>
      </c>
      <c r="AA664" s="369" t="str">
        <f t="shared" ca="1" si="314"/>
        <v/>
      </c>
      <c r="AB664" s="344"/>
      <c r="AC664" s="363" t="e">
        <f t="shared" ca="1" si="315"/>
        <v>#N/A</v>
      </c>
      <c r="AD664" s="376" t="e">
        <f t="shared" ca="1" si="316"/>
        <v>#N/A</v>
      </c>
      <c r="AE664" s="377" t="e">
        <f t="shared" ca="1" si="295"/>
        <v>#N/A</v>
      </c>
      <c r="AF664" s="344"/>
      <c r="AG664" s="359">
        <f t="shared" ca="1" si="317"/>
        <v>1.8525571354362862</v>
      </c>
      <c r="AH664" s="357">
        <f t="shared" ca="1" si="318"/>
        <v>-7.9183720479152511</v>
      </c>
    </row>
    <row r="665" spans="1:34">
      <c r="A665" s="402">
        <f t="shared" ca="1" si="296"/>
        <v>1E-4</v>
      </c>
      <c r="B665" s="357">
        <f t="shared" ca="1" si="297"/>
        <v>16.931199999999901</v>
      </c>
      <c r="C665" s="342"/>
      <c r="D665" s="359">
        <f t="shared" ca="1" si="298"/>
        <v>-0.70600102704971579</v>
      </c>
      <c r="E665" s="360">
        <f t="shared" ca="1" si="299"/>
        <v>-1.9231072562442062</v>
      </c>
      <c r="F665" s="357">
        <f t="shared" ca="1" si="300"/>
        <v>2.0486041514197839</v>
      </c>
      <c r="G665" s="359">
        <f t="shared" ca="1" si="301"/>
        <v>4.9989638074788045</v>
      </c>
      <c r="H665" s="360">
        <f t="shared" ca="1" si="302"/>
        <v>-55.845505113880741</v>
      </c>
      <c r="I665" s="357">
        <f t="shared" ca="1" si="303"/>
        <v>56.068797745028945</v>
      </c>
      <c r="J665" s="359">
        <f t="shared" ca="1" si="304"/>
        <v>184.26379383972827</v>
      </c>
      <c r="K665" s="360">
        <f t="shared" ca="1" si="305"/>
        <v>-6.7121652162994794</v>
      </c>
      <c r="L665" s="357">
        <f t="shared" ca="1" si="290"/>
        <v>184.38600511454436</v>
      </c>
      <c r="M665" s="359">
        <f t="shared" ca="1" si="306"/>
        <v>-1.4815201039714074</v>
      </c>
      <c r="N665" s="357">
        <f t="shared" ca="1" si="307"/>
        <v>-84.884849221344552</v>
      </c>
      <c r="O665" s="343"/>
      <c r="P665" s="363">
        <f t="shared" ca="1" si="308"/>
        <v>23</v>
      </c>
      <c r="Q665" s="357">
        <f t="shared" ca="1" si="309"/>
        <v>0</v>
      </c>
      <c r="R665" s="359">
        <f t="shared" ca="1" si="310"/>
        <v>0</v>
      </c>
      <c r="S665" s="360">
        <f t="shared" ca="1" si="311"/>
        <v>0.42898953648292248</v>
      </c>
      <c r="T665" s="357">
        <f t="shared" ca="1" si="291"/>
        <v>4.2083873528974696</v>
      </c>
      <c r="U665" s="364">
        <f t="shared" ca="1" si="292"/>
        <v>0</v>
      </c>
      <c r="V665" s="359">
        <f t="shared" ca="1" si="293"/>
        <v>1.2258225162822558</v>
      </c>
      <c r="W665" s="357">
        <f t="shared" ca="1" si="294"/>
        <v>3.3969474428767286</v>
      </c>
      <c r="X665" s="343"/>
      <c r="Y665" s="367" t="str">
        <f t="shared" ca="1" si="312"/>
        <v/>
      </c>
      <c r="Z665" s="368" t="str">
        <f t="shared" ca="1" si="313"/>
        <v/>
      </c>
      <c r="AA665" s="369" t="str">
        <f t="shared" ca="1" si="314"/>
        <v/>
      </c>
      <c r="AB665" s="344"/>
      <c r="AC665" s="363" t="e">
        <f t="shared" ca="1" si="315"/>
        <v>#N/A</v>
      </c>
      <c r="AD665" s="376" t="e">
        <f t="shared" ca="1" si="316"/>
        <v>#N/A</v>
      </c>
      <c r="AE665" s="377" t="e">
        <f t="shared" ca="1" si="295"/>
        <v>#N/A</v>
      </c>
      <c r="AF665" s="344"/>
      <c r="AG665" s="359">
        <f t="shared" ca="1" si="317"/>
        <v>1.8525017515392479</v>
      </c>
      <c r="AH665" s="357">
        <f t="shared" ca="1" si="318"/>
        <v>-7.9184287962766353</v>
      </c>
    </row>
    <row r="666" spans="1:34">
      <c r="A666" s="402">
        <f t="shared" ca="1" si="296"/>
        <v>1E-4</v>
      </c>
      <c r="B666" s="357">
        <f t="shared" ca="1" si="297"/>
        <v>16.931299999999901</v>
      </c>
      <c r="C666" s="342"/>
      <c r="D666" s="359">
        <f t="shared" ca="1" si="298"/>
        <v>-0.70599378322899564</v>
      </c>
      <c r="E666" s="360">
        <f t="shared" ca="1" si="299"/>
        <v>-1.9230496338665457</v>
      </c>
      <c r="F666" s="357">
        <f t="shared" ca="1" si="300"/>
        <v>2.0485475626092371</v>
      </c>
      <c r="G666" s="359">
        <f t="shared" ca="1" si="301"/>
        <v>4.9988932081004815</v>
      </c>
      <c r="H666" s="360">
        <f t="shared" ca="1" si="302"/>
        <v>-55.845697418844125</v>
      </c>
      <c r="I666" s="357">
        <f t="shared" ca="1" si="303"/>
        <v>56.068982989734053</v>
      </c>
      <c r="J666" s="359">
        <f t="shared" ca="1" si="304"/>
        <v>184.26379383972827</v>
      </c>
      <c r="K666" s="360">
        <f t="shared" ca="1" si="305"/>
        <v>-6.7177497764261158</v>
      </c>
      <c r="L666" s="357">
        <f t="shared" ca="1" si="290"/>
        <v>184.38620849257831</v>
      </c>
      <c r="M666" s="359">
        <f t="shared" ca="1" si="306"/>
        <v>-1.4815216639012889</v>
      </c>
      <c r="N666" s="357">
        <f t="shared" ca="1" si="307"/>
        <v>-84.884938598743105</v>
      </c>
      <c r="O666" s="343"/>
      <c r="P666" s="363">
        <f t="shared" ca="1" si="308"/>
        <v>23</v>
      </c>
      <c r="Q666" s="357">
        <f t="shared" ca="1" si="309"/>
        <v>0</v>
      </c>
      <c r="R666" s="359">
        <f t="shared" ca="1" si="310"/>
        <v>0</v>
      </c>
      <c r="S666" s="360">
        <f t="shared" ca="1" si="311"/>
        <v>0.42898953648292248</v>
      </c>
      <c r="T666" s="357">
        <f t="shared" ca="1" si="291"/>
        <v>4.2083873528974696</v>
      </c>
      <c r="U666" s="364">
        <f t="shared" ca="1" si="292"/>
        <v>0</v>
      </c>
      <c r="V666" s="359">
        <f t="shared" ca="1" si="293"/>
        <v>1.225823200850479</v>
      </c>
      <c r="W666" s="357">
        <f t="shared" ca="1" si="294"/>
        <v>3.3969717862014681</v>
      </c>
      <c r="X666" s="343"/>
      <c r="Y666" s="367" t="str">
        <f t="shared" ca="1" si="312"/>
        <v/>
      </c>
      <c r="Z666" s="368" t="str">
        <f t="shared" ca="1" si="313"/>
        <v/>
      </c>
      <c r="AA666" s="369" t="str">
        <f t="shared" ca="1" si="314"/>
        <v/>
      </c>
      <c r="AB666" s="344"/>
      <c r="AC666" s="363" t="e">
        <f t="shared" ca="1" si="315"/>
        <v>#N/A</v>
      </c>
      <c r="AD666" s="376" t="e">
        <f t="shared" ca="1" si="316"/>
        <v>#N/A</v>
      </c>
      <c r="AE666" s="377" t="e">
        <f t="shared" ca="1" si="295"/>
        <v>#N/A</v>
      </c>
      <c r="AF666" s="344"/>
      <c r="AG666" s="359">
        <f t="shared" ca="1" si="317"/>
        <v>1.852446368905464</v>
      </c>
      <c r="AH666" s="357">
        <f t="shared" ca="1" si="318"/>
        <v>-7.9184855433227019</v>
      </c>
    </row>
    <row r="667" spans="1:34">
      <c r="A667" s="402">
        <f t="shared" ca="1" si="296"/>
        <v>1E-4</v>
      </c>
      <c r="B667" s="357">
        <f t="shared" ca="1" si="297"/>
        <v>16.931399999999901</v>
      </c>
      <c r="C667" s="342"/>
      <c r="D667" s="359">
        <f t="shared" ca="1" si="298"/>
        <v>-0.70598653936800382</v>
      </c>
      <c r="E667" s="360">
        <f t="shared" ca="1" si="299"/>
        <v>-1.9229920128251834</v>
      </c>
      <c r="F667" s="357">
        <f t="shared" ca="1" si="300"/>
        <v>2.0484909751224829</v>
      </c>
      <c r="G667" s="359">
        <f t="shared" ca="1" si="301"/>
        <v>4.9988226094465444</v>
      </c>
      <c r="H667" s="360">
        <f t="shared" ca="1" si="302"/>
        <v>-55.845889718045406</v>
      </c>
      <c r="I667" s="357">
        <f t="shared" ca="1" si="303"/>
        <v>56.06916822890102</v>
      </c>
      <c r="J667" s="359">
        <f t="shared" ca="1" si="304"/>
        <v>184.26379383972827</v>
      </c>
      <c r="K667" s="360">
        <f t="shared" ca="1" si="305"/>
        <v>-6.7233343557829599</v>
      </c>
      <c r="L667" s="357">
        <f t="shared" ca="1" si="290"/>
        <v>184.38641204023017</v>
      </c>
      <c r="M667" s="359">
        <f t="shared" ca="1" si="306"/>
        <v>-1.4815232237988323</v>
      </c>
      <c r="N667" s="357">
        <f t="shared" ca="1" si="307"/>
        <v>-84.885027974288818</v>
      </c>
      <c r="O667" s="343"/>
      <c r="P667" s="363">
        <f t="shared" ca="1" si="308"/>
        <v>23</v>
      </c>
      <c r="Q667" s="357">
        <f t="shared" ca="1" si="309"/>
        <v>0</v>
      </c>
      <c r="R667" s="359">
        <f t="shared" ca="1" si="310"/>
        <v>0</v>
      </c>
      <c r="S667" s="360">
        <f t="shared" ca="1" si="311"/>
        <v>0.42898953648292248</v>
      </c>
      <c r="T667" s="357">
        <f t="shared" ca="1" si="291"/>
        <v>4.2083873528974696</v>
      </c>
      <c r="U667" s="364">
        <f t="shared" ca="1" si="292"/>
        <v>0</v>
      </c>
      <c r="V667" s="359">
        <f t="shared" ca="1" si="293"/>
        <v>1.2258238854214414</v>
      </c>
      <c r="W667" s="357">
        <f t="shared" ca="1" si="294"/>
        <v>3.396996128961963</v>
      </c>
      <c r="X667" s="343"/>
      <c r="Y667" s="367" t="str">
        <f t="shared" ca="1" si="312"/>
        <v/>
      </c>
      <c r="Z667" s="368" t="str">
        <f t="shared" ca="1" si="313"/>
        <v/>
      </c>
      <c r="AA667" s="369" t="str">
        <f t="shared" ca="1" si="314"/>
        <v/>
      </c>
      <c r="AB667" s="344"/>
      <c r="AC667" s="363" t="e">
        <f t="shared" ca="1" si="315"/>
        <v>#N/A</v>
      </c>
      <c r="AD667" s="376" t="e">
        <f t="shared" ca="1" si="316"/>
        <v>#N/A</v>
      </c>
      <c r="AE667" s="377" t="e">
        <f t="shared" ca="1" si="295"/>
        <v>#N/A</v>
      </c>
      <c r="AF667" s="344"/>
      <c r="AG667" s="359">
        <f t="shared" ca="1" si="317"/>
        <v>1.8523909875349185</v>
      </c>
      <c r="AH667" s="357">
        <f t="shared" ca="1" si="318"/>
        <v>-7.9185422890534705</v>
      </c>
    </row>
    <row r="668" spans="1:34">
      <c r="A668" s="402">
        <f t="shared" ca="1" si="296"/>
        <v>1E-4</v>
      </c>
      <c r="B668" s="357">
        <f t="shared" ca="1" si="297"/>
        <v>16.9314999999999</v>
      </c>
      <c r="C668" s="342"/>
      <c r="D668" s="359">
        <f t="shared" ca="1" si="298"/>
        <v>-0.7059792954667492</v>
      </c>
      <c r="E668" s="360">
        <f t="shared" ca="1" si="299"/>
        <v>-1.9229343931201086</v>
      </c>
      <c r="F668" s="357">
        <f t="shared" ca="1" si="300"/>
        <v>2.0484343889595116</v>
      </c>
      <c r="G668" s="359">
        <f t="shared" ca="1" si="301"/>
        <v>4.9987520115169977</v>
      </c>
      <c r="H668" s="360">
        <f t="shared" ca="1" si="302"/>
        <v>-55.846082011484718</v>
      </c>
      <c r="I668" s="357">
        <f t="shared" ca="1" si="303"/>
        <v>56.069353462529975</v>
      </c>
      <c r="J668" s="359">
        <f t="shared" ca="1" si="304"/>
        <v>184.26379383972827</v>
      </c>
      <c r="K668" s="360">
        <f t="shared" ca="1" si="305"/>
        <v>-6.7289189543694361</v>
      </c>
      <c r="L668" s="357">
        <f t="shared" ca="1" si="290"/>
        <v>184.38661575750112</v>
      </c>
      <c r="M668" s="359">
        <f t="shared" ca="1" si="306"/>
        <v>-1.4815247836640388</v>
      </c>
      <c r="N668" s="357">
        <f t="shared" ca="1" si="307"/>
        <v>-84.885117347981762</v>
      </c>
      <c r="O668" s="343"/>
      <c r="P668" s="363">
        <f t="shared" ca="1" si="308"/>
        <v>23</v>
      </c>
      <c r="Q668" s="357">
        <f t="shared" ca="1" si="309"/>
        <v>0</v>
      </c>
      <c r="R668" s="359">
        <f t="shared" ca="1" si="310"/>
        <v>0</v>
      </c>
      <c r="S668" s="360">
        <f t="shared" ca="1" si="311"/>
        <v>0.42898953648292248</v>
      </c>
      <c r="T668" s="357">
        <f t="shared" ca="1" si="291"/>
        <v>4.2083873528974696</v>
      </c>
      <c r="U668" s="364">
        <f t="shared" ca="1" si="292"/>
        <v>0</v>
      </c>
      <c r="V668" s="359">
        <f t="shared" ca="1" si="293"/>
        <v>1.2258245699951438</v>
      </c>
      <c r="W668" s="357">
        <f t="shared" ca="1" si="294"/>
        <v>3.3970204711582235</v>
      </c>
      <c r="X668" s="343"/>
      <c r="Y668" s="367" t="str">
        <f t="shared" ca="1" si="312"/>
        <v/>
      </c>
      <c r="Z668" s="368" t="str">
        <f t="shared" ca="1" si="313"/>
        <v/>
      </c>
      <c r="AA668" s="369" t="str">
        <f t="shared" ca="1" si="314"/>
        <v/>
      </c>
      <c r="AB668" s="344"/>
      <c r="AC668" s="363" t="e">
        <f t="shared" ca="1" si="315"/>
        <v>#N/A</v>
      </c>
      <c r="AD668" s="376" t="e">
        <f t="shared" ca="1" si="316"/>
        <v>#N/A</v>
      </c>
      <c r="AE668" s="377" t="e">
        <f t="shared" ca="1" si="295"/>
        <v>#N/A</v>
      </c>
      <c r="AF668" s="344"/>
      <c r="AG668" s="359">
        <f t="shared" ca="1" si="317"/>
        <v>1.8523356074276034</v>
      </c>
      <c r="AH668" s="357">
        <f t="shared" ca="1" si="318"/>
        <v>-7.9185990334689507</v>
      </c>
    </row>
    <row r="669" spans="1:34">
      <c r="A669" s="402">
        <f t="shared" ca="1" si="296"/>
        <v>1E-4</v>
      </c>
      <c r="B669" s="357">
        <f t="shared" ca="1" si="297"/>
        <v>16.9315999999999</v>
      </c>
      <c r="C669" s="342"/>
      <c r="D669" s="359">
        <f t="shared" ca="1" si="298"/>
        <v>-0.70597205152523546</v>
      </c>
      <c r="E669" s="360">
        <f t="shared" ca="1" si="299"/>
        <v>-1.9228767747512991</v>
      </c>
      <c r="F669" s="357">
        <f t="shared" ca="1" si="300"/>
        <v>2.0483778041203018</v>
      </c>
      <c r="G669" s="359">
        <f t="shared" ca="1" si="301"/>
        <v>4.9986814143118448</v>
      </c>
      <c r="H669" s="360">
        <f t="shared" ca="1" si="302"/>
        <v>-55.846274299162197</v>
      </c>
      <c r="I669" s="357">
        <f t="shared" ca="1" si="303"/>
        <v>56.069538690621052</v>
      </c>
      <c r="J669" s="359">
        <f t="shared" ca="1" si="304"/>
        <v>184.26379383972827</v>
      </c>
      <c r="K669" s="360">
        <f t="shared" ca="1" si="305"/>
        <v>-6.7345035721849689</v>
      </c>
      <c r="L669" s="357">
        <f t="shared" ca="1" si="290"/>
        <v>184.38681964439229</v>
      </c>
      <c r="M669" s="359">
        <f t="shared" ca="1" si="306"/>
        <v>-1.4815263434969095</v>
      </c>
      <c r="N669" s="357">
        <f t="shared" ca="1" si="307"/>
        <v>-84.885206719821994</v>
      </c>
      <c r="O669" s="343"/>
      <c r="P669" s="363">
        <f t="shared" ca="1" si="308"/>
        <v>23</v>
      </c>
      <c r="Q669" s="357">
        <f t="shared" ca="1" si="309"/>
        <v>0</v>
      </c>
      <c r="R669" s="359">
        <f t="shared" ca="1" si="310"/>
        <v>0</v>
      </c>
      <c r="S669" s="360">
        <f t="shared" ca="1" si="311"/>
        <v>0.42898953648292248</v>
      </c>
      <c r="T669" s="357">
        <f t="shared" ca="1" si="291"/>
        <v>4.2083873528974696</v>
      </c>
      <c r="U669" s="364">
        <f t="shared" ca="1" si="292"/>
        <v>0</v>
      </c>
      <c r="V669" s="359">
        <f t="shared" ca="1" si="293"/>
        <v>1.2258252545715858</v>
      </c>
      <c r="W669" s="357">
        <f t="shared" ca="1" si="294"/>
        <v>3.3970448127902584</v>
      </c>
      <c r="X669" s="343"/>
      <c r="Y669" s="367" t="str">
        <f t="shared" ca="1" si="312"/>
        <v/>
      </c>
      <c r="Z669" s="368" t="str">
        <f t="shared" ca="1" si="313"/>
        <v/>
      </c>
      <c r="AA669" s="369" t="str">
        <f t="shared" ca="1" si="314"/>
        <v/>
      </c>
      <c r="AB669" s="344"/>
      <c r="AC669" s="363" t="e">
        <f t="shared" ca="1" si="315"/>
        <v>#N/A</v>
      </c>
      <c r="AD669" s="376" t="e">
        <f t="shared" ca="1" si="316"/>
        <v>#N/A</v>
      </c>
      <c r="AE669" s="377" t="e">
        <f t="shared" ca="1" si="295"/>
        <v>#N/A</v>
      </c>
      <c r="AF669" s="344"/>
      <c r="AG669" s="359">
        <f t="shared" ca="1" si="317"/>
        <v>1.8522802285834912</v>
      </c>
      <c r="AH669" s="357">
        <f t="shared" ca="1" si="318"/>
        <v>-7.9186557765691665</v>
      </c>
    </row>
    <row r="670" spans="1:34">
      <c r="A670" s="402">
        <f t="shared" ca="1" si="296"/>
        <v>1E-4</v>
      </c>
      <c r="B670" s="357">
        <f t="shared" ca="1" si="297"/>
        <v>16.9316999999999</v>
      </c>
      <c r="C670" s="342"/>
      <c r="D670" s="359">
        <f t="shared" ca="1" si="298"/>
        <v>-0.70596480754346924</v>
      </c>
      <c r="E670" s="360">
        <f t="shared" ca="1" si="299"/>
        <v>-1.922819157718731</v>
      </c>
      <c r="F670" s="357">
        <f t="shared" ca="1" si="300"/>
        <v>2.0483212206048296</v>
      </c>
      <c r="G670" s="359">
        <f t="shared" ca="1" si="301"/>
        <v>4.9986108178310902</v>
      </c>
      <c r="H670" s="360">
        <f t="shared" ca="1" si="302"/>
        <v>-55.846466581077969</v>
      </c>
      <c r="I670" s="357">
        <f t="shared" ca="1" si="303"/>
        <v>56.069723913174357</v>
      </c>
      <c r="J670" s="359">
        <f t="shared" ca="1" si="304"/>
        <v>184.26379383972827</v>
      </c>
      <c r="K670" s="360">
        <f t="shared" ca="1" si="305"/>
        <v>-6.7400882092289809</v>
      </c>
      <c r="L670" s="357">
        <f t="shared" ca="1" si="290"/>
        <v>184.3870237009049</v>
      </c>
      <c r="M670" s="359">
        <f t="shared" ca="1" si="306"/>
        <v>-1.4815279032974449</v>
      </c>
      <c r="N670" s="357">
        <f t="shared" ca="1" si="307"/>
        <v>-84.885296089809557</v>
      </c>
      <c r="O670" s="343"/>
      <c r="P670" s="363">
        <f t="shared" ca="1" si="308"/>
        <v>23</v>
      </c>
      <c r="Q670" s="357">
        <f t="shared" ca="1" si="309"/>
        <v>0</v>
      </c>
      <c r="R670" s="359">
        <f t="shared" ca="1" si="310"/>
        <v>0</v>
      </c>
      <c r="S670" s="360">
        <f t="shared" ca="1" si="311"/>
        <v>0.42898953648292248</v>
      </c>
      <c r="T670" s="357">
        <f t="shared" ca="1" si="291"/>
        <v>4.2083873528974696</v>
      </c>
      <c r="U670" s="364">
        <f t="shared" ca="1" si="292"/>
        <v>0</v>
      </c>
      <c r="V670" s="359">
        <f t="shared" ca="1" si="293"/>
        <v>1.2258259391507673</v>
      </c>
      <c r="W670" s="357">
        <f t="shared" ca="1" si="294"/>
        <v>3.3970691538580713</v>
      </c>
      <c r="X670" s="343"/>
      <c r="Y670" s="367" t="str">
        <f t="shared" ca="1" si="312"/>
        <v/>
      </c>
      <c r="Z670" s="368" t="str">
        <f t="shared" ca="1" si="313"/>
        <v/>
      </c>
      <c r="AA670" s="369" t="str">
        <f t="shared" ca="1" si="314"/>
        <v/>
      </c>
      <c r="AB670" s="344"/>
      <c r="AC670" s="363" t="e">
        <f t="shared" ca="1" si="315"/>
        <v>#N/A</v>
      </c>
      <c r="AD670" s="376" t="e">
        <f t="shared" ca="1" si="316"/>
        <v>#N/A</v>
      </c>
      <c r="AE670" s="377" t="e">
        <f t="shared" ca="1" si="295"/>
        <v>#N/A</v>
      </c>
      <c r="AF670" s="344"/>
      <c r="AG670" s="359">
        <f t="shared" ca="1" si="317"/>
        <v>1.8522248510025703</v>
      </c>
      <c r="AH670" s="357">
        <f t="shared" ca="1" si="318"/>
        <v>-7.9187125183541403</v>
      </c>
    </row>
    <row r="671" spans="1:34">
      <c r="A671" s="402">
        <f t="shared" ca="1" si="296"/>
        <v>1E-4</v>
      </c>
      <c r="B671" s="357">
        <f t="shared" ca="1" si="297"/>
        <v>16.9317999999999</v>
      </c>
      <c r="C671" s="342"/>
      <c r="D671" s="359">
        <f t="shared" ca="1" si="298"/>
        <v>-0.70595756352145733</v>
      </c>
      <c r="E671" s="360">
        <f t="shared" ca="1" si="299"/>
        <v>-1.9227615420223962</v>
      </c>
      <c r="F671" s="357">
        <f t="shared" ca="1" si="300"/>
        <v>2.0482646384130874</v>
      </c>
      <c r="G671" s="359">
        <f t="shared" ca="1" si="301"/>
        <v>4.9985402220747384</v>
      </c>
      <c r="H671" s="360">
        <f t="shared" ca="1" si="302"/>
        <v>-55.846658857232171</v>
      </c>
      <c r="I671" s="357">
        <f t="shared" ca="1" si="303"/>
        <v>56.069909130190027</v>
      </c>
      <c r="J671" s="359">
        <f t="shared" ca="1" si="304"/>
        <v>184.26379383972827</v>
      </c>
      <c r="K671" s="360">
        <f t="shared" ca="1" si="305"/>
        <v>-6.7456728655008966</v>
      </c>
      <c r="L671" s="357">
        <f t="shared" ca="1" si="290"/>
        <v>184.3872279270401</v>
      </c>
      <c r="M671" s="359">
        <f t="shared" ca="1" si="306"/>
        <v>-1.4815294630656464</v>
      </c>
      <c r="N671" s="357">
        <f t="shared" ca="1" si="307"/>
        <v>-84.885385457944508</v>
      </c>
      <c r="O671" s="343"/>
      <c r="P671" s="363">
        <f t="shared" ca="1" si="308"/>
        <v>23</v>
      </c>
      <c r="Q671" s="357">
        <f t="shared" ca="1" si="309"/>
        <v>0</v>
      </c>
      <c r="R671" s="359">
        <f t="shared" ca="1" si="310"/>
        <v>0</v>
      </c>
      <c r="S671" s="360">
        <f t="shared" ca="1" si="311"/>
        <v>0.42898953648292248</v>
      </c>
      <c r="T671" s="357">
        <f t="shared" ca="1" si="291"/>
        <v>4.2083873528974696</v>
      </c>
      <c r="U671" s="364">
        <f t="shared" ca="1" si="292"/>
        <v>0</v>
      </c>
      <c r="V671" s="359">
        <f t="shared" ca="1" si="293"/>
        <v>1.2258266237326882</v>
      </c>
      <c r="W671" s="357">
        <f t="shared" ca="1" si="294"/>
        <v>3.3970934943616724</v>
      </c>
      <c r="X671" s="343"/>
      <c r="Y671" s="367" t="str">
        <f t="shared" ca="1" si="312"/>
        <v/>
      </c>
      <c r="Z671" s="368" t="str">
        <f t="shared" ca="1" si="313"/>
        <v/>
      </c>
      <c r="AA671" s="369" t="str">
        <f t="shared" ca="1" si="314"/>
        <v/>
      </c>
      <c r="AB671" s="344"/>
      <c r="AC671" s="363" t="e">
        <f t="shared" ca="1" si="315"/>
        <v>#N/A</v>
      </c>
      <c r="AD671" s="376" t="e">
        <f t="shared" ca="1" si="316"/>
        <v>#N/A</v>
      </c>
      <c r="AE671" s="377" t="e">
        <f t="shared" ca="1" si="295"/>
        <v>#N/A</v>
      </c>
      <c r="AF671" s="344"/>
      <c r="AG671" s="359">
        <f t="shared" ca="1" si="317"/>
        <v>1.8521694746848301</v>
      </c>
      <c r="AH671" s="357">
        <f t="shared" ca="1" si="318"/>
        <v>-7.9187692588238789</v>
      </c>
    </row>
    <row r="672" spans="1:34">
      <c r="A672" s="402">
        <f t="shared" ca="1" si="296"/>
        <v>1E-4</v>
      </c>
      <c r="B672" s="357">
        <f t="shared" ca="1" si="297"/>
        <v>16.931899999999899</v>
      </c>
      <c r="C672" s="342"/>
      <c r="D672" s="359">
        <f t="shared" ca="1" si="298"/>
        <v>-0.70595031945920328</v>
      </c>
      <c r="E672" s="360">
        <f t="shared" ca="1" si="299"/>
        <v>-1.9227039276622735</v>
      </c>
      <c r="F672" s="357">
        <f t="shared" ca="1" si="300"/>
        <v>2.0482080575450543</v>
      </c>
      <c r="G672" s="359">
        <f t="shared" ca="1" si="301"/>
        <v>4.9984696270427929</v>
      </c>
      <c r="H672" s="360">
        <f t="shared" ca="1" si="302"/>
        <v>-55.846851127624937</v>
      </c>
      <c r="I672" s="357">
        <f t="shared" ca="1" si="303"/>
        <v>56.070094341668202</v>
      </c>
      <c r="J672" s="359">
        <f t="shared" ca="1" si="304"/>
        <v>184.26379383972827</v>
      </c>
      <c r="K672" s="360">
        <f t="shared" ca="1" si="305"/>
        <v>-6.7512575410001396</v>
      </c>
      <c r="L672" s="357">
        <f t="shared" ca="1" si="290"/>
        <v>184.38743232279904</v>
      </c>
      <c r="M672" s="359">
        <f t="shared" ca="1" si="306"/>
        <v>-1.4815310228015144</v>
      </c>
      <c r="N672" s="357">
        <f t="shared" ca="1" si="307"/>
        <v>-84.885474824226904</v>
      </c>
      <c r="O672" s="343"/>
      <c r="P672" s="363">
        <f t="shared" ca="1" si="308"/>
        <v>23</v>
      </c>
      <c r="Q672" s="357">
        <f t="shared" ca="1" si="309"/>
        <v>0</v>
      </c>
      <c r="R672" s="359">
        <f t="shared" ca="1" si="310"/>
        <v>0</v>
      </c>
      <c r="S672" s="360">
        <f t="shared" ca="1" si="311"/>
        <v>0.42898953648292248</v>
      </c>
      <c r="T672" s="357">
        <f t="shared" ca="1" si="291"/>
        <v>4.2083873528974696</v>
      </c>
      <c r="U672" s="364">
        <f t="shared" ca="1" si="292"/>
        <v>0</v>
      </c>
      <c r="V672" s="359">
        <f t="shared" ca="1" si="293"/>
        <v>1.2258273083173483</v>
      </c>
      <c r="W672" s="357">
        <f t="shared" ca="1" si="294"/>
        <v>3.3971178343010693</v>
      </c>
      <c r="X672" s="343"/>
      <c r="Y672" s="367" t="str">
        <f t="shared" ca="1" si="312"/>
        <v/>
      </c>
      <c r="Z672" s="368" t="str">
        <f t="shared" ca="1" si="313"/>
        <v/>
      </c>
      <c r="AA672" s="369" t="str">
        <f t="shared" ca="1" si="314"/>
        <v/>
      </c>
      <c r="AB672" s="344"/>
      <c r="AC672" s="363" t="e">
        <f t="shared" ca="1" si="315"/>
        <v>#N/A</v>
      </c>
      <c r="AD672" s="376" t="e">
        <f t="shared" ca="1" si="316"/>
        <v>#N/A</v>
      </c>
      <c r="AE672" s="377" t="e">
        <f t="shared" ca="1" si="295"/>
        <v>#N/A</v>
      </c>
      <c r="AF672" s="344"/>
      <c r="AG672" s="359">
        <f t="shared" ca="1" si="317"/>
        <v>1.8521140996302528</v>
      </c>
      <c r="AH672" s="357">
        <f t="shared" ca="1" si="318"/>
        <v>-7.9188259979784057</v>
      </c>
    </row>
    <row r="673" spans="1:34">
      <c r="A673" s="402">
        <f t="shared" ca="1" si="296"/>
        <v>1E-4</v>
      </c>
      <c r="B673" s="357">
        <f t="shared" ca="1" si="297"/>
        <v>16.931999999999899</v>
      </c>
      <c r="C673" s="342"/>
      <c r="D673" s="359">
        <f t="shared" ca="1" si="298"/>
        <v>-0.70594307535671696</v>
      </c>
      <c r="E673" s="360">
        <f t="shared" ca="1" si="299"/>
        <v>-1.9226463146383406</v>
      </c>
      <c r="F673" s="357">
        <f t="shared" ca="1" si="300"/>
        <v>2.04815147800071</v>
      </c>
      <c r="G673" s="359">
        <f t="shared" ca="1" si="301"/>
        <v>4.9983990327352572</v>
      </c>
      <c r="H673" s="360">
        <f t="shared" ca="1" si="302"/>
        <v>-55.847043392256403</v>
      </c>
      <c r="I673" s="357">
        <f t="shared" ca="1" si="303"/>
        <v>56.070279547608983</v>
      </c>
      <c r="J673" s="359">
        <f t="shared" ca="1" si="304"/>
        <v>184.26379383972827</v>
      </c>
      <c r="K673" s="360">
        <f t="shared" ca="1" si="305"/>
        <v>-6.7568422357261335</v>
      </c>
      <c r="L673" s="357">
        <f t="shared" ca="1" si="290"/>
        <v>184.38763688818287</v>
      </c>
      <c r="M673" s="359">
        <f t="shared" ca="1" si="306"/>
        <v>-1.48153258250505</v>
      </c>
      <c r="N673" s="357">
        <f t="shared" ca="1" si="307"/>
        <v>-84.885564188656787</v>
      </c>
      <c r="O673" s="343"/>
      <c r="P673" s="363">
        <f t="shared" ca="1" si="308"/>
        <v>23</v>
      </c>
      <c r="Q673" s="357">
        <f t="shared" ca="1" si="309"/>
        <v>0</v>
      </c>
      <c r="R673" s="359">
        <f t="shared" ca="1" si="310"/>
        <v>0</v>
      </c>
      <c r="S673" s="360">
        <f t="shared" ca="1" si="311"/>
        <v>0.42898953648292248</v>
      </c>
      <c r="T673" s="357">
        <f t="shared" ca="1" si="291"/>
        <v>4.2083873528974696</v>
      </c>
      <c r="U673" s="364">
        <f t="shared" ca="1" si="292"/>
        <v>0</v>
      </c>
      <c r="V673" s="359">
        <f t="shared" ca="1" si="293"/>
        <v>1.225827992904748</v>
      </c>
      <c r="W673" s="357">
        <f t="shared" ca="1" si="294"/>
        <v>3.3971421736762681</v>
      </c>
      <c r="X673" s="343"/>
      <c r="Y673" s="367" t="str">
        <f t="shared" ca="1" si="312"/>
        <v/>
      </c>
      <c r="Z673" s="368" t="str">
        <f t="shared" ca="1" si="313"/>
        <v/>
      </c>
      <c r="AA673" s="369" t="str">
        <f t="shared" ca="1" si="314"/>
        <v/>
      </c>
      <c r="AB673" s="344"/>
      <c r="AC673" s="363" t="e">
        <f t="shared" ca="1" si="315"/>
        <v>#N/A</v>
      </c>
      <c r="AD673" s="376" t="e">
        <f t="shared" ca="1" si="316"/>
        <v>#N/A</v>
      </c>
      <c r="AE673" s="377" t="e">
        <f t="shared" ca="1" si="295"/>
        <v>#N/A</v>
      </c>
      <c r="AF673" s="344"/>
      <c r="AG673" s="359">
        <f t="shared" ca="1" si="317"/>
        <v>1.8520587258388188</v>
      </c>
      <c r="AH673" s="357">
        <f t="shared" ca="1" si="318"/>
        <v>-7.91888273581774</v>
      </c>
    </row>
    <row r="674" spans="1:34">
      <c r="A674" s="402">
        <f t="shared" ca="1" si="296"/>
        <v>1E-4</v>
      </c>
      <c r="B674" s="357">
        <f t="shared" ca="1" si="297"/>
        <v>16.932099999999899</v>
      </c>
      <c r="C674" s="342"/>
      <c r="D674" s="359">
        <f t="shared" ca="1" si="298"/>
        <v>-0.70593583121400239</v>
      </c>
      <c r="E674" s="360">
        <f t="shared" ca="1" si="299"/>
        <v>-1.9225887029505859</v>
      </c>
      <c r="F674" s="357">
        <f t="shared" ca="1" si="300"/>
        <v>2.0480948997800419</v>
      </c>
      <c r="G674" s="359">
        <f t="shared" ca="1" si="301"/>
        <v>4.9983284391521359</v>
      </c>
      <c r="H674" s="360">
        <f t="shared" ca="1" si="302"/>
        <v>-55.847235651126695</v>
      </c>
      <c r="I674" s="357">
        <f t="shared" ca="1" si="303"/>
        <v>56.070464748012505</v>
      </c>
      <c r="J674" s="359">
        <f t="shared" ca="1" si="304"/>
        <v>184.26379383972827</v>
      </c>
      <c r="K674" s="360">
        <f t="shared" ca="1" si="305"/>
        <v>-6.7624269496783027</v>
      </c>
      <c r="L674" s="357">
        <f t="shared" ca="1" si="290"/>
        <v>184.38784162319274</v>
      </c>
      <c r="M674" s="359">
        <f t="shared" ca="1" si="306"/>
        <v>-1.4815341421762547</v>
      </c>
      <c r="N674" s="357">
        <f t="shared" ca="1" si="307"/>
        <v>-84.885653551234242</v>
      </c>
      <c r="O674" s="343"/>
      <c r="P674" s="363">
        <f t="shared" ca="1" si="308"/>
        <v>23</v>
      </c>
      <c r="Q674" s="357">
        <f t="shared" ca="1" si="309"/>
        <v>0</v>
      </c>
      <c r="R674" s="359">
        <f t="shared" ca="1" si="310"/>
        <v>0</v>
      </c>
      <c r="S674" s="360">
        <f t="shared" ca="1" si="311"/>
        <v>0.42898953648292248</v>
      </c>
      <c r="T674" s="357">
        <f t="shared" ca="1" si="291"/>
        <v>4.2083873528974696</v>
      </c>
      <c r="U674" s="364">
        <f t="shared" ca="1" si="292"/>
        <v>0</v>
      </c>
      <c r="V674" s="359">
        <f t="shared" ca="1" si="293"/>
        <v>1.2258286774948868</v>
      </c>
      <c r="W674" s="357">
        <f t="shared" ca="1" si="294"/>
        <v>3.3971665124872761</v>
      </c>
      <c r="X674" s="343"/>
      <c r="Y674" s="367" t="str">
        <f t="shared" ca="1" si="312"/>
        <v/>
      </c>
      <c r="Z674" s="368" t="str">
        <f t="shared" ca="1" si="313"/>
        <v/>
      </c>
      <c r="AA674" s="369" t="str">
        <f t="shared" ca="1" si="314"/>
        <v/>
      </c>
      <c r="AB674" s="344"/>
      <c r="AC674" s="363" t="e">
        <f t="shared" ca="1" si="315"/>
        <v>#N/A</v>
      </c>
      <c r="AD674" s="376" t="e">
        <f t="shared" ca="1" si="316"/>
        <v>#N/A</v>
      </c>
      <c r="AE674" s="377" t="e">
        <f t="shared" ca="1" si="295"/>
        <v>#N/A</v>
      </c>
      <c r="AF674" s="344"/>
      <c r="AG674" s="359">
        <f t="shared" ca="1" si="317"/>
        <v>1.8520033533105211</v>
      </c>
      <c r="AH674" s="357">
        <f t="shared" ca="1" si="318"/>
        <v>-7.9189394723418944</v>
      </c>
    </row>
    <row r="675" spans="1:34">
      <c r="A675" s="402">
        <f t="shared" ca="1" si="296"/>
        <v>1E-4</v>
      </c>
      <c r="B675" s="357">
        <f t="shared" ca="1" si="297"/>
        <v>16.932199999999899</v>
      </c>
      <c r="C675" s="342"/>
      <c r="D675" s="359">
        <f t="shared" ca="1" si="298"/>
        <v>-0.70592858703106232</v>
      </c>
      <c r="E675" s="360">
        <f t="shared" ca="1" si="299"/>
        <v>-1.9225310925989918</v>
      </c>
      <c r="F675" s="357">
        <f t="shared" ca="1" si="300"/>
        <v>2.0480383228830328</v>
      </c>
      <c r="G675" s="359">
        <f t="shared" ca="1" si="301"/>
        <v>4.9982578462934324</v>
      </c>
      <c r="H675" s="360">
        <f t="shared" ca="1" si="302"/>
        <v>-55.847427904235957</v>
      </c>
      <c r="I675" s="357">
        <f t="shared" ca="1" si="303"/>
        <v>56.070649942878916</v>
      </c>
      <c r="J675" s="359">
        <f t="shared" ca="1" si="304"/>
        <v>184.26379383972827</v>
      </c>
      <c r="K675" s="360">
        <f t="shared" ca="1" si="305"/>
        <v>-6.7680116828560708</v>
      </c>
      <c r="L675" s="357">
        <f t="shared" ca="1" si="290"/>
        <v>184.38804652782989</v>
      </c>
      <c r="M675" s="359">
        <f t="shared" ca="1" si="306"/>
        <v>-1.4815357018151285</v>
      </c>
      <c r="N675" s="357">
        <f t="shared" ca="1" si="307"/>
        <v>-84.885742911959284</v>
      </c>
      <c r="O675" s="343"/>
      <c r="P675" s="363">
        <f t="shared" ca="1" si="308"/>
        <v>23</v>
      </c>
      <c r="Q675" s="357">
        <f t="shared" ca="1" si="309"/>
        <v>0</v>
      </c>
      <c r="R675" s="359">
        <f t="shared" ca="1" si="310"/>
        <v>0</v>
      </c>
      <c r="S675" s="360">
        <f t="shared" ca="1" si="311"/>
        <v>0.42898953648292248</v>
      </c>
      <c r="T675" s="357">
        <f t="shared" ca="1" si="291"/>
        <v>4.2083873528974696</v>
      </c>
      <c r="U675" s="364">
        <f t="shared" ca="1" si="292"/>
        <v>0</v>
      </c>
      <c r="V675" s="359">
        <f t="shared" ca="1" si="293"/>
        <v>1.2258293620877649</v>
      </c>
      <c r="W675" s="357">
        <f t="shared" ca="1" si="294"/>
        <v>3.3971908507341069</v>
      </c>
      <c r="X675" s="343"/>
      <c r="Y675" s="367" t="str">
        <f t="shared" ca="1" si="312"/>
        <v/>
      </c>
      <c r="Z675" s="368" t="str">
        <f t="shared" ca="1" si="313"/>
        <v/>
      </c>
      <c r="AA675" s="369" t="str">
        <f t="shared" ca="1" si="314"/>
        <v/>
      </c>
      <c r="AB675" s="344"/>
      <c r="AC675" s="363" t="e">
        <f t="shared" ca="1" si="315"/>
        <v>#N/A</v>
      </c>
      <c r="AD675" s="376" t="e">
        <f t="shared" ca="1" si="316"/>
        <v>#N/A</v>
      </c>
      <c r="AE675" s="377" t="e">
        <f t="shared" ca="1" si="295"/>
        <v>#N/A</v>
      </c>
      <c r="AF675" s="344"/>
      <c r="AG675" s="359">
        <f t="shared" ca="1" si="317"/>
        <v>1.8519479820453393</v>
      </c>
      <c r="AH675" s="357">
        <f t="shared" ca="1" si="318"/>
        <v>-7.9189962075508875</v>
      </c>
    </row>
    <row r="676" spans="1:34">
      <c r="A676" s="402">
        <f t="shared" ca="1" si="296"/>
        <v>1E-4</v>
      </c>
      <c r="B676" s="357">
        <f t="shared" ca="1" si="297"/>
        <v>16.932299999999898</v>
      </c>
      <c r="C676" s="342"/>
      <c r="D676" s="359">
        <f t="shared" ca="1" si="298"/>
        <v>-0.70592134280790964</v>
      </c>
      <c r="E676" s="360">
        <f t="shared" ca="1" si="299"/>
        <v>-1.9224734835835253</v>
      </c>
      <c r="F676" s="357">
        <f t="shared" ca="1" si="300"/>
        <v>2.0479817473096524</v>
      </c>
      <c r="G676" s="359">
        <f t="shared" ca="1" si="301"/>
        <v>4.9981872541591512</v>
      </c>
      <c r="H676" s="360">
        <f t="shared" ca="1" si="302"/>
        <v>-55.847620151584316</v>
      </c>
      <c r="I676" s="357">
        <f t="shared" ca="1" si="303"/>
        <v>56.070835132208309</v>
      </c>
      <c r="J676" s="359">
        <f t="shared" ca="1" si="304"/>
        <v>184.26379383972827</v>
      </c>
      <c r="K676" s="360">
        <f t="shared" ca="1" si="305"/>
        <v>-6.7735964352588622</v>
      </c>
      <c r="L676" s="357">
        <f t="shared" ca="1" si="290"/>
        <v>184.38825160209541</v>
      </c>
      <c r="M676" s="359">
        <f t="shared" ca="1" si="306"/>
        <v>-1.4815372614216731</v>
      </c>
      <c r="N676" s="357">
        <f t="shared" ca="1" si="307"/>
        <v>-84.885832270831983</v>
      </c>
      <c r="O676" s="343"/>
      <c r="P676" s="363">
        <f t="shared" ca="1" si="308"/>
        <v>23</v>
      </c>
      <c r="Q676" s="357">
        <f t="shared" ca="1" si="309"/>
        <v>0</v>
      </c>
      <c r="R676" s="359">
        <f t="shared" ca="1" si="310"/>
        <v>0</v>
      </c>
      <c r="S676" s="360">
        <f t="shared" ca="1" si="311"/>
        <v>0.42898953648292248</v>
      </c>
      <c r="T676" s="357">
        <f t="shared" ca="1" si="291"/>
        <v>4.2083873528974696</v>
      </c>
      <c r="U676" s="364">
        <f t="shared" ca="1" si="292"/>
        <v>0</v>
      </c>
      <c r="V676" s="359">
        <f t="shared" ca="1" si="293"/>
        <v>1.225830046683382</v>
      </c>
      <c r="W676" s="357">
        <f t="shared" ca="1" si="294"/>
        <v>3.3972151884167596</v>
      </c>
      <c r="X676" s="343"/>
      <c r="Y676" s="367" t="str">
        <f t="shared" ca="1" si="312"/>
        <v/>
      </c>
      <c r="Z676" s="368" t="str">
        <f t="shared" ca="1" si="313"/>
        <v/>
      </c>
      <c r="AA676" s="369" t="str">
        <f t="shared" ca="1" si="314"/>
        <v/>
      </c>
      <c r="AB676" s="344"/>
      <c r="AC676" s="363" t="e">
        <f t="shared" ca="1" si="315"/>
        <v>#N/A</v>
      </c>
      <c r="AD676" s="376" t="e">
        <f t="shared" ca="1" si="316"/>
        <v>#N/A</v>
      </c>
      <c r="AE676" s="377" t="e">
        <f t="shared" ca="1" si="295"/>
        <v>#N/A</v>
      </c>
      <c r="AF676" s="344"/>
      <c r="AG676" s="359">
        <f t="shared" ca="1" si="317"/>
        <v>1.8518926120432484</v>
      </c>
      <c r="AH676" s="357">
        <f t="shared" ca="1" si="318"/>
        <v>-7.9190529414447495</v>
      </c>
    </row>
    <row r="677" spans="1:34">
      <c r="A677" s="402">
        <f t="shared" ca="1" si="296"/>
        <v>1E-4</v>
      </c>
      <c r="B677" s="357">
        <f t="shared" ca="1" si="297"/>
        <v>16.932399999999898</v>
      </c>
      <c r="C677" s="342"/>
      <c r="D677" s="359">
        <f t="shared" ca="1" si="298"/>
        <v>-0.70591409854454368</v>
      </c>
      <c r="E677" s="360">
        <f t="shared" ca="1" si="299"/>
        <v>-1.9224158759041874</v>
      </c>
      <c r="F677" s="357">
        <f t="shared" ca="1" si="300"/>
        <v>2.0479251730598995</v>
      </c>
      <c r="G677" s="359">
        <f t="shared" ca="1" si="301"/>
        <v>4.9981166627492968</v>
      </c>
      <c r="H677" s="360">
        <f t="shared" ca="1" si="302"/>
        <v>-55.847812393171907</v>
      </c>
      <c r="I677" s="357">
        <f t="shared" ca="1" si="303"/>
        <v>56.071020316000826</v>
      </c>
      <c r="J677" s="359">
        <f t="shared" ca="1" si="304"/>
        <v>184.26379383972827</v>
      </c>
      <c r="K677" s="360">
        <f t="shared" ca="1" si="305"/>
        <v>-6.7791812068860997</v>
      </c>
      <c r="L677" s="357">
        <f t="shared" ca="1" si="290"/>
        <v>184.38845684599045</v>
      </c>
      <c r="M677" s="359">
        <f t="shared" ca="1" si="306"/>
        <v>-1.4815388209958888</v>
      </c>
      <c r="N677" s="357">
        <f t="shared" ca="1" si="307"/>
        <v>-84.885921627852383</v>
      </c>
      <c r="O677" s="343"/>
      <c r="P677" s="363">
        <f t="shared" ca="1" si="308"/>
        <v>23</v>
      </c>
      <c r="Q677" s="357">
        <f t="shared" ca="1" si="309"/>
        <v>0</v>
      </c>
      <c r="R677" s="359">
        <f t="shared" ca="1" si="310"/>
        <v>0</v>
      </c>
      <c r="S677" s="360">
        <f t="shared" ca="1" si="311"/>
        <v>0.42898953648292248</v>
      </c>
      <c r="T677" s="357">
        <f t="shared" ca="1" si="291"/>
        <v>4.2083873528974696</v>
      </c>
      <c r="U677" s="364">
        <f t="shared" ca="1" si="292"/>
        <v>0</v>
      </c>
      <c r="V677" s="359">
        <f t="shared" ca="1" si="293"/>
        <v>1.2258307312817385</v>
      </c>
      <c r="W677" s="357">
        <f t="shared" ca="1" si="294"/>
        <v>3.3972395255352472</v>
      </c>
      <c r="X677" s="343"/>
      <c r="Y677" s="367" t="str">
        <f t="shared" ca="1" si="312"/>
        <v/>
      </c>
      <c r="Z677" s="368" t="str">
        <f t="shared" ca="1" si="313"/>
        <v/>
      </c>
      <c r="AA677" s="369" t="str">
        <f t="shared" ca="1" si="314"/>
        <v/>
      </c>
      <c r="AB677" s="344"/>
      <c r="AC677" s="363" t="e">
        <f t="shared" ca="1" si="315"/>
        <v>#N/A</v>
      </c>
      <c r="AD677" s="376" t="e">
        <f t="shared" ca="1" si="316"/>
        <v>#N/A</v>
      </c>
      <c r="AE677" s="377" t="e">
        <f t="shared" ca="1" si="295"/>
        <v>#N/A</v>
      </c>
      <c r="AF677" s="344"/>
      <c r="AG677" s="359">
        <f t="shared" ca="1" si="317"/>
        <v>1.8518372433042511</v>
      </c>
      <c r="AH677" s="357">
        <f t="shared" ca="1" si="318"/>
        <v>-7.9191096740234794</v>
      </c>
    </row>
    <row r="678" spans="1:34">
      <c r="A678" s="402">
        <f t="shared" ca="1" si="296"/>
        <v>1E-4</v>
      </c>
      <c r="B678" s="357">
        <f t="shared" ca="1" si="297"/>
        <v>16.932499999999898</v>
      </c>
      <c r="C678" s="342"/>
      <c r="D678" s="359">
        <f t="shared" ca="1" si="298"/>
        <v>-0.70590685424097521</v>
      </c>
      <c r="E678" s="360">
        <f t="shared" ca="1" si="299"/>
        <v>-1.9223582695609513</v>
      </c>
      <c r="F678" s="357">
        <f t="shared" ca="1" si="300"/>
        <v>2.04786860013375</v>
      </c>
      <c r="G678" s="359">
        <f t="shared" ca="1" si="301"/>
        <v>4.9980460720638726</v>
      </c>
      <c r="H678" s="360">
        <f t="shared" ca="1" si="302"/>
        <v>-55.848004628998865</v>
      </c>
      <c r="I678" s="357">
        <f t="shared" ca="1" si="303"/>
        <v>56.071205494256596</v>
      </c>
      <c r="J678" s="359">
        <f t="shared" ca="1" si="304"/>
        <v>184.26379383972827</v>
      </c>
      <c r="K678" s="360">
        <f t="shared" ca="1" si="305"/>
        <v>-6.7847659977372086</v>
      </c>
      <c r="L678" s="357">
        <f t="shared" ca="1" si="290"/>
        <v>184.3886622595162</v>
      </c>
      <c r="M678" s="359">
        <f t="shared" ca="1" si="306"/>
        <v>-1.4815403805377771</v>
      </c>
      <c r="N678" s="357">
        <f t="shared" ca="1" si="307"/>
        <v>-84.886010983020554</v>
      </c>
      <c r="O678" s="343"/>
      <c r="P678" s="363">
        <f t="shared" ca="1" si="308"/>
        <v>23</v>
      </c>
      <c r="Q678" s="357">
        <f t="shared" ca="1" si="309"/>
        <v>0</v>
      </c>
      <c r="R678" s="359">
        <f t="shared" ca="1" si="310"/>
        <v>0</v>
      </c>
      <c r="S678" s="360">
        <f t="shared" ca="1" si="311"/>
        <v>0.42898953648292248</v>
      </c>
      <c r="T678" s="357">
        <f t="shared" ca="1" si="291"/>
        <v>4.2083873528974696</v>
      </c>
      <c r="U678" s="364">
        <f t="shared" ca="1" si="292"/>
        <v>0</v>
      </c>
      <c r="V678" s="359">
        <f t="shared" ca="1" si="293"/>
        <v>1.2258314158828336</v>
      </c>
      <c r="W678" s="357">
        <f t="shared" ca="1" si="294"/>
        <v>3.397263862089575</v>
      </c>
      <c r="X678" s="343"/>
      <c r="Y678" s="367" t="str">
        <f t="shared" ca="1" si="312"/>
        <v/>
      </c>
      <c r="Z678" s="368" t="str">
        <f t="shared" ca="1" si="313"/>
        <v/>
      </c>
      <c r="AA678" s="369" t="str">
        <f t="shared" ca="1" si="314"/>
        <v/>
      </c>
      <c r="AB678" s="344"/>
      <c r="AC678" s="363" t="e">
        <f t="shared" ca="1" si="315"/>
        <v>#N/A</v>
      </c>
      <c r="AD678" s="376" t="e">
        <f t="shared" ca="1" si="316"/>
        <v>#N/A</v>
      </c>
      <c r="AE678" s="377" t="e">
        <f t="shared" ca="1" si="295"/>
        <v>#N/A</v>
      </c>
      <c r="AF678" s="344"/>
      <c r="AG678" s="359">
        <f t="shared" ca="1" si="317"/>
        <v>1.85178187582832</v>
      </c>
      <c r="AH678" s="357">
        <f t="shared" ca="1" si="318"/>
        <v>-7.9191664052871067</v>
      </c>
    </row>
    <row r="679" spans="1:34">
      <c r="A679" s="402">
        <f t="shared" ca="1" si="296"/>
        <v>1E-4</v>
      </c>
      <c r="B679" s="357">
        <f t="shared" ca="1" si="297"/>
        <v>16.932599999999898</v>
      </c>
      <c r="C679" s="342"/>
      <c r="D679" s="359">
        <f t="shared" ca="1" si="298"/>
        <v>-0.70589960989720646</v>
      </c>
      <c r="E679" s="360">
        <f t="shared" ca="1" si="299"/>
        <v>-1.9223006645538003</v>
      </c>
      <c r="F679" s="357">
        <f t="shared" ca="1" si="300"/>
        <v>2.0478120285311858</v>
      </c>
      <c r="G679" s="359">
        <f t="shared" ca="1" si="301"/>
        <v>4.9979754821028832</v>
      </c>
      <c r="H679" s="360">
        <f t="shared" ca="1" si="302"/>
        <v>-55.848196859065318</v>
      </c>
      <c r="I679" s="357">
        <f t="shared" ca="1" si="303"/>
        <v>56.071390666975745</v>
      </c>
      <c r="J679" s="359">
        <f t="shared" ca="1" si="304"/>
        <v>184.26379383972827</v>
      </c>
      <c r="K679" s="360">
        <f t="shared" ca="1" si="305"/>
        <v>-6.7903508078116115</v>
      </c>
      <c r="L679" s="357">
        <f t="shared" ca="1" si="290"/>
        <v>184.38886784267382</v>
      </c>
      <c r="M679" s="359">
        <f t="shared" ca="1" si="306"/>
        <v>-1.4815419400473386</v>
      </c>
      <c r="N679" s="357">
        <f t="shared" ca="1" si="307"/>
        <v>-84.88610033633654</v>
      </c>
      <c r="O679" s="343"/>
      <c r="P679" s="363">
        <f t="shared" ca="1" si="308"/>
        <v>23</v>
      </c>
      <c r="Q679" s="357">
        <f t="shared" ca="1" si="309"/>
        <v>0</v>
      </c>
      <c r="R679" s="359">
        <f t="shared" ca="1" si="310"/>
        <v>0</v>
      </c>
      <c r="S679" s="360">
        <f t="shared" ca="1" si="311"/>
        <v>0.42898953648292248</v>
      </c>
      <c r="T679" s="357">
        <f t="shared" ca="1" si="291"/>
        <v>4.2083873528974696</v>
      </c>
      <c r="U679" s="364">
        <f t="shared" ca="1" si="292"/>
        <v>0</v>
      </c>
      <c r="V679" s="359">
        <f t="shared" ca="1" si="293"/>
        <v>1.2258321004866677</v>
      </c>
      <c r="W679" s="357">
        <f t="shared" ca="1" si="294"/>
        <v>3.3972881980797522</v>
      </c>
      <c r="X679" s="343"/>
      <c r="Y679" s="367" t="str">
        <f t="shared" ca="1" si="312"/>
        <v/>
      </c>
      <c r="Z679" s="368" t="str">
        <f t="shared" ca="1" si="313"/>
        <v/>
      </c>
      <c r="AA679" s="369" t="str">
        <f t="shared" ca="1" si="314"/>
        <v/>
      </c>
      <c r="AB679" s="344"/>
      <c r="AC679" s="363" t="e">
        <f t="shared" ca="1" si="315"/>
        <v>#N/A</v>
      </c>
      <c r="AD679" s="376" t="e">
        <f t="shared" ca="1" si="316"/>
        <v>#N/A</v>
      </c>
      <c r="AE679" s="377" t="e">
        <f t="shared" ca="1" si="295"/>
        <v>#N/A</v>
      </c>
      <c r="AF679" s="344"/>
      <c r="AG679" s="359">
        <f t="shared" ca="1" si="317"/>
        <v>1.8517265096154425</v>
      </c>
      <c r="AH679" s="357">
        <f t="shared" ca="1" si="318"/>
        <v>-7.9192231352356437</v>
      </c>
    </row>
    <row r="680" spans="1:34">
      <c r="A680" s="402">
        <f t="shared" ca="1" si="296"/>
        <v>1E-4</v>
      </c>
      <c r="B680" s="357">
        <f t="shared" ca="1" si="297"/>
        <v>16.932699999999897</v>
      </c>
      <c r="C680" s="342"/>
      <c r="D680" s="359">
        <f t="shared" ca="1" si="298"/>
        <v>-0.70589236551324597</v>
      </c>
      <c r="E680" s="360">
        <f t="shared" ca="1" si="299"/>
        <v>-1.9222430608827139</v>
      </c>
      <c r="F680" s="357">
        <f t="shared" ca="1" si="300"/>
        <v>2.0477554582521886</v>
      </c>
      <c r="G680" s="359">
        <f t="shared" ca="1" si="301"/>
        <v>4.9979048928663321</v>
      </c>
      <c r="H680" s="360">
        <f t="shared" ca="1" si="302"/>
        <v>-55.848389083371409</v>
      </c>
      <c r="I680" s="357">
        <f t="shared" ca="1" si="303"/>
        <v>56.071575834158395</v>
      </c>
      <c r="J680" s="359">
        <f t="shared" ca="1" si="304"/>
        <v>184.26379383972827</v>
      </c>
      <c r="K680" s="360">
        <f t="shared" ca="1" si="305"/>
        <v>-6.7959356371087329</v>
      </c>
      <c r="L680" s="357">
        <f t="shared" ca="1" si="290"/>
        <v>184.38907359546445</v>
      </c>
      <c r="M680" s="359">
        <f t="shared" ca="1" si="306"/>
        <v>-1.4815434995245742</v>
      </c>
      <c r="N680" s="357">
        <f t="shared" ca="1" si="307"/>
        <v>-84.886189687800382</v>
      </c>
      <c r="O680" s="343"/>
      <c r="P680" s="363">
        <f t="shared" ca="1" si="308"/>
        <v>23</v>
      </c>
      <c r="Q680" s="357">
        <f t="shared" ca="1" si="309"/>
        <v>0</v>
      </c>
      <c r="R680" s="359">
        <f t="shared" ca="1" si="310"/>
        <v>0</v>
      </c>
      <c r="S680" s="360">
        <f t="shared" ca="1" si="311"/>
        <v>0.42898953648292248</v>
      </c>
      <c r="T680" s="357">
        <f t="shared" ca="1" si="291"/>
        <v>4.2083873528974696</v>
      </c>
      <c r="U680" s="364">
        <f t="shared" ca="1" si="292"/>
        <v>0</v>
      </c>
      <c r="V680" s="359">
        <f t="shared" ca="1" si="293"/>
        <v>1.2258327850932407</v>
      </c>
      <c r="W680" s="357">
        <f t="shared" ca="1" si="294"/>
        <v>3.3973125335057857</v>
      </c>
      <c r="X680" s="343"/>
      <c r="Y680" s="367" t="str">
        <f t="shared" ca="1" si="312"/>
        <v/>
      </c>
      <c r="Z680" s="368" t="str">
        <f t="shared" ca="1" si="313"/>
        <v/>
      </c>
      <c r="AA680" s="369" t="str">
        <f t="shared" ca="1" si="314"/>
        <v/>
      </c>
      <c r="AB680" s="344"/>
      <c r="AC680" s="363" t="e">
        <f t="shared" ca="1" si="315"/>
        <v>#N/A</v>
      </c>
      <c r="AD680" s="376" t="e">
        <f t="shared" ca="1" si="316"/>
        <v>#N/A</v>
      </c>
      <c r="AE680" s="377" t="e">
        <f t="shared" ca="1" si="295"/>
        <v>#N/A</v>
      </c>
      <c r="AF680" s="344"/>
      <c r="AG680" s="359">
        <f t="shared" ca="1" si="317"/>
        <v>1.8516711446656036</v>
      </c>
      <c r="AH680" s="357">
        <f t="shared" ca="1" si="318"/>
        <v>-7.9192798638691126</v>
      </c>
    </row>
    <row r="681" spans="1:34">
      <c r="A681" s="402">
        <f t="shared" ca="1" si="296"/>
        <v>1E-4</v>
      </c>
      <c r="B681" s="357">
        <f t="shared" ca="1" si="297"/>
        <v>16.932799999999897</v>
      </c>
      <c r="C681" s="342"/>
      <c r="D681" s="359">
        <f t="shared" ca="1" si="298"/>
        <v>-0.70588512108909984</v>
      </c>
      <c r="E681" s="360">
        <f t="shared" ca="1" si="299"/>
        <v>-1.9221854585476761</v>
      </c>
      <c r="F681" s="357">
        <f t="shared" ca="1" si="300"/>
        <v>2.0476988892967425</v>
      </c>
      <c r="G681" s="359">
        <f t="shared" ca="1" si="301"/>
        <v>4.9978343043542228</v>
      </c>
      <c r="H681" s="360">
        <f t="shared" ca="1" si="302"/>
        <v>-55.848581301917264</v>
      </c>
      <c r="I681" s="357">
        <f t="shared" ca="1" si="303"/>
        <v>56.071760995804681</v>
      </c>
      <c r="J681" s="359">
        <f t="shared" ca="1" si="304"/>
        <v>184.26379383972827</v>
      </c>
      <c r="K681" s="360">
        <f t="shared" ca="1" si="305"/>
        <v>-6.8015204856279974</v>
      </c>
      <c r="L681" s="357">
        <f t="shared" ca="1" si="290"/>
        <v>184.38927951788929</v>
      </c>
      <c r="M681" s="359">
        <f t="shared" ca="1" si="306"/>
        <v>-1.481545058969485</v>
      </c>
      <c r="N681" s="357">
        <f t="shared" ca="1" si="307"/>
        <v>-84.886279037412152</v>
      </c>
      <c r="O681" s="343"/>
      <c r="P681" s="363">
        <f t="shared" ca="1" si="308"/>
        <v>23</v>
      </c>
      <c r="Q681" s="357">
        <f t="shared" ca="1" si="309"/>
        <v>0</v>
      </c>
      <c r="R681" s="359">
        <f t="shared" ca="1" si="310"/>
        <v>0</v>
      </c>
      <c r="S681" s="360">
        <f t="shared" ca="1" si="311"/>
        <v>0.42898953648292248</v>
      </c>
      <c r="T681" s="357">
        <f t="shared" ca="1" si="291"/>
        <v>4.2083873528974696</v>
      </c>
      <c r="U681" s="364">
        <f t="shared" ca="1" si="292"/>
        <v>0</v>
      </c>
      <c r="V681" s="359">
        <f t="shared" ca="1" si="293"/>
        <v>1.2258334697025524</v>
      </c>
      <c r="W681" s="357">
        <f t="shared" ca="1" si="294"/>
        <v>3.3973368683676841</v>
      </c>
      <c r="X681" s="343"/>
      <c r="Y681" s="367" t="str">
        <f t="shared" ca="1" si="312"/>
        <v/>
      </c>
      <c r="Z681" s="368" t="str">
        <f t="shared" ca="1" si="313"/>
        <v/>
      </c>
      <c r="AA681" s="369" t="str">
        <f t="shared" ca="1" si="314"/>
        <v/>
      </c>
      <c r="AB681" s="344"/>
      <c r="AC681" s="363" t="e">
        <f t="shared" ca="1" si="315"/>
        <v>#N/A</v>
      </c>
      <c r="AD681" s="376" t="e">
        <f t="shared" ca="1" si="316"/>
        <v>#N/A</v>
      </c>
      <c r="AE681" s="377" t="e">
        <f t="shared" ca="1" si="295"/>
        <v>#N/A</v>
      </c>
      <c r="AF681" s="344"/>
      <c r="AG681" s="359">
        <f t="shared" ca="1" si="317"/>
        <v>1.8516157809787872</v>
      </c>
      <c r="AH681" s="357">
        <f t="shared" ca="1" si="318"/>
        <v>-7.9193365911875295</v>
      </c>
    </row>
    <row r="682" spans="1:34">
      <c r="A682" s="402">
        <f t="shared" ca="1" si="296"/>
        <v>1E-4</v>
      </c>
      <c r="B682" s="357">
        <f t="shared" ca="1" si="297"/>
        <v>16.932899999999897</v>
      </c>
      <c r="C682" s="342"/>
      <c r="D682" s="359">
        <f t="shared" ca="1" si="298"/>
        <v>-0.70587787662477264</v>
      </c>
      <c r="E682" s="360">
        <f t="shared" ca="1" si="299"/>
        <v>-1.9221278575486656</v>
      </c>
      <c r="F682" s="357">
        <f t="shared" ca="1" si="300"/>
        <v>2.0476423216648265</v>
      </c>
      <c r="G682" s="359">
        <f t="shared" ca="1" si="301"/>
        <v>4.9977637165665607</v>
      </c>
      <c r="H682" s="360">
        <f t="shared" ca="1" si="302"/>
        <v>-55.848773514703019</v>
      </c>
      <c r="I682" s="357">
        <f t="shared" ca="1" si="303"/>
        <v>56.071946151914709</v>
      </c>
      <c r="J682" s="359">
        <f t="shared" ca="1" si="304"/>
        <v>184.26379383972827</v>
      </c>
      <c r="K682" s="360">
        <f t="shared" ca="1" si="305"/>
        <v>-6.8071053533688284</v>
      </c>
      <c r="L682" s="357">
        <f t="shared" ca="1" si="290"/>
        <v>184.38948560994942</v>
      </c>
      <c r="M682" s="359">
        <f t="shared" ca="1" si="306"/>
        <v>-1.4815466183820718</v>
      </c>
      <c r="N682" s="357">
        <f t="shared" ca="1" si="307"/>
        <v>-84.886368385171906</v>
      </c>
      <c r="O682" s="343"/>
      <c r="P682" s="363">
        <f t="shared" ca="1" si="308"/>
        <v>23</v>
      </c>
      <c r="Q682" s="357">
        <f t="shared" ca="1" si="309"/>
        <v>0</v>
      </c>
      <c r="R682" s="359">
        <f t="shared" ca="1" si="310"/>
        <v>0</v>
      </c>
      <c r="S682" s="360">
        <f t="shared" ca="1" si="311"/>
        <v>0.42898953648292248</v>
      </c>
      <c r="T682" s="357">
        <f t="shared" ca="1" si="291"/>
        <v>4.2083873528974696</v>
      </c>
      <c r="U682" s="364">
        <f t="shared" ca="1" si="292"/>
        <v>0</v>
      </c>
      <c r="V682" s="359">
        <f t="shared" ca="1" si="293"/>
        <v>1.2258341543146027</v>
      </c>
      <c r="W682" s="357">
        <f t="shared" ca="1" si="294"/>
        <v>3.3973612026654516</v>
      </c>
      <c r="X682" s="343"/>
      <c r="Y682" s="367" t="str">
        <f t="shared" ca="1" si="312"/>
        <v/>
      </c>
      <c r="Z682" s="368" t="str">
        <f t="shared" ca="1" si="313"/>
        <v/>
      </c>
      <c r="AA682" s="369" t="str">
        <f t="shared" ca="1" si="314"/>
        <v/>
      </c>
      <c r="AB682" s="344"/>
      <c r="AC682" s="363" t="e">
        <f t="shared" ca="1" si="315"/>
        <v>#N/A</v>
      </c>
      <c r="AD682" s="376" t="e">
        <f t="shared" ca="1" si="316"/>
        <v>#N/A</v>
      </c>
      <c r="AE682" s="377" t="e">
        <f t="shared" ca="1" si="295"/>
        <v>#N/A</v>
      </c>
      <c r="AF682" s="344"/>
      <c r="AG682" s="359">
        <f t="shared" ca="1" si="317"/>
        <v>1.8515604185549757</v>
      </c>
      <c r="AH682" s="357">
        <f t="shared" ca="1" si="318"/>
        <v>-7.9193933171909139</v>
      </c>
    </row>
    <row r="683" spans="1:34">
      <c r="A683" s="402">
        <f t="shared" ca="1" si="296"/>
        <v>1E-4</v>
      </c>
      <c r="B683" s="357">
        <f t="shared" ca="1" si="297"/>
        <v>16.932999999999897</v>
      </c>
      <c r="C683" s="342"/>
      <c r="D683" s="359">
        <f t="shared" ca="1" si="298"/>
        <v>-0.70587063212027013</v>
      </c>
      <c r="E683" s="360">
        <f t="shared" ca="1" si="299"/>
        <v>-1.9220702578856734</v>
      </c>
      <c r="F683" s="357">
        <f t="shared" ca="1" si="300"/>
        <v>2.0475857553564314</v>
      </c>
      <c r="G683" s="359">
        <f t="shared" ca="1" si="301"/>
        <v>4.9976931295033484</v>
      </c>
      <c r="H683" s="360">
        <f t="shared" ca="1" si="302"/>
        <v>-55.84896572172881</v>
      </c>
      <c r="I683" s="357">
        <f t="shared" ca="1" si="303"/>
        <v>56.072131302488629</v>
      </c>
      <c r="J683" s="359">
        <f t="shared" ca="1" si="304"/>
        <v>184.26379383972827</v>
      </c>
      <c r="K683" s="360">
        <f t="shared" ca="1" si="305"/>
        <v>-6.8126902403306504</v>
      </c>
      <c r="L683" s="357">
        <f t="shared" ca="1" si="290"/>
        <v>184.38969187164605</v>
      </c>
      <c r="M683" s="359">
        <f t="shared" ca="1" si="306"/>
        <v>-1.4815481777623356</v>
      </c>
      <c r="N683" s="357">
        <f t="shared" ca="1" si="307"/>
        <v>-84.886457731079673</v>
      </c>
      <c r="O683" s="343"/>
      <c r="P683" s="363">
        <f t="shared" ca="1" si="308"/>
        <v>23</v>
      </c>
      <c r="Q683" s="357">
        <f t="shared" ca="1" si="309"/>
        <v>0</v>
      </c>
      <c r="R683" s="359">
        <f t="shared" ca="1" si="310"/>
        <v>0</v>
      </c>
      <c r="S683" s="360">
        <f t="shared" ca="1" si="311"/>
        <v>0.42898953648292248</v>
      </c>
      <c r="T683" s="357">
        <f t="shared" ca="1" si="291"/>
        <v>4.2083873528974696</v>
      </c>
      <c r="U683" s="364">
        <f t="shared" ca="1" si="292"/>
        <v>0</v>
      </c>
      <c r="V683" s="359">
        <f t="shared" ca="1" si="293"/>
        <v>1.2258348389293918</v>
      </c>
      <c r="W683" s="357">
        <f t="shared" ca="1" si="294"/>
        <v>3.3973855363991001</v>
      </c>
      <c r="X683" s="343"/>
      <c r="Y683" s="367" t="str">
        <f t="shared" ca="1" si="312"/>
        <v/>
      </c>
      <c r="Z683" s="368" t="str">
        <f t="shared" ca="1" si="313"/>
        <v/>
      </c>
      <c r="AA683" s="369" t="str">
        <f t="shared" ca="1" si="314"/>
        <v/>
      </c>
      <c r="AB683" s="344"/>
      <c r="AC683" s="363" t="e">
        <f t="shared" ca="1" si="315"/>
        <v>#N/A</v>
      </c>
      <c r="AD683" s="376" t="e">
        <f t="shared" ca="1" si="316"/>
        <v>#N/A</v>
      </c>
      <c r="AE683" s="377" t="e">
        <f t="shared" ca="1" si="295"/>
        <v>#N/A</v>
      </c>
      <c r="AF683" s="344"/>
      <c r="AG683" s="359">
        <f t="shared" ca="1" si="317"/>
        <v>1.8515050573941627</v>
      </c>
      <c r="AH683" s="357">
        <f t="shared" ca="1" si="318"/>
        <v>-7.9194500418792755</v>
      </c>
    </row>
    <row r="684" spans="1:34">
      <c r="A684" s="402">
        <f t="shared" ca="1" si="296"/>
        <v>1E-4</v>
      </c>
      <c r="B684" s="357">
        <f t="shared" ca="1" si="297"/>
        <v>16.933099999999897</v>
      </c>
      <c r="C684" s="342"/>
      <c r="D684" s="359">
        <f t="shared" ca="1" si="298"/>
        <v>-0.70586338757559941</v>
      </c>
      <c r="E684" s="360">
        <f t="shared" ca="1" si="299"/>
        <v>-1.9220126595586713</v>
      </c>
      <c r="F684" s="357">
        <f t="shared" ca="1" si="300"/>
        <v>2.0475291903715314</v>
      </c>
      <c r="G684" s="359">
        <f t="shared" ca="1" si="301"/>
        <v>4.9976225431645913</v>
      </c>
      <c r="H684" s="360">
        <f t="shared" ca="1" si="302"/>
        <v>-55.849157922994763</v>
      </c>
      <c r="I684" s="357">
        <f t="shared" ca="1" si="303"/>
        <v>56.072316447526539</v>
      </c>
      <c r="J684" s="359">
        <f t="shared" ca="1" si="304"/>
        <v>184.26379383972827</v>
      </c>
      <c r="K684" s="360">
        <f t="shared" ca="1" si="305"/>
        <v>-6.818275146512887</v>
      </c>
      <c r="L684" s="357">
        <f t="shared" ca="1" si="290"/>
        <v>184.38989830298036</v>
      </c>
      <c r="M684" s="359">
        <f t="shared" ca="1" si="306"/>
        <v>-1.4815497371102773</v>
      </c>
      <c r="N684" s="357">
        <f t="shared" ca="1" si="307"/>
        <v>-84.886547075135525</v>
      </c>
      <c r="O684" s="343"/>
      <c r="P684" s="363">
        <f t="shared" ca="1" si="308"/>
        <v>23</v>
      </c>
      <c r="Q684" s="357">
        <f t="shared" ca="1" si="309"/>
        <v>0</v>
      </c>
      <c r="R684" s="359">
        <f t="shared" ca="1" si="310"/>
        <v>0</v>
      </c>
      <c r="S684" s="360">
        <f t="shared" ca="1" si="311"/>
        <v>0.42898953648292248</v>
      </c>
      <c r="T684" s="357">
        <f t="shared" ca="1" si="291"/>
        <v>4.2083873528974696</v>
      </c>
      <c r="U684" s="364">
        <f t="shared" ca="1" si="292"/>
        <v>0</v>
      </c>
      <c r="V684" s="359">
        <f t="shared" ca="1" si="293"/>
        <v>1.2258355235469198</v>
      </c>
      <c r="W684" s="357">
        <f t="shared" ca="1" si="294"/>
        <v>3.3974098695686341</v>
      </c>
      <c r="X684" s="343"/>
      <c r="Y684" s="367" t="str">
        <f t="shared" ca="1" si="312"/>
        <v/>
      </c>
      <c r="Z684" s="368" t="str">
        <f t="shared" ca="1" si="313"/>
        <v/>
      </c>
      <c r="AA684" s="369" t="str">
        <f t="shared" ca="1" si="314"/>
        <v/>
      </c>
      <c r="AB684" s="344"/>
      <c r="AC684" s="363" t="e">
        <f t="shared" ca="1" si="315"/>
        <v>#N/A</v>
      </c>
      <c r="AD684" s="376" t="e">
        <f t="shared" ca="1" si="316"/>
        <v>#N/A</v>
      </c>
      <c r="AE684" s="377" t="e">
        <f t="shared" ca="1" si="295"/>
        <v>#N/A</v>
      </c>
      <c r="AF684" s="344"/>
      <c r="AG684" s="359">
        <f t="shared" ca="1" si="317"/>
        <v>1.8514496974963182</v>
      </c>
      <c r="AH684" s="357">
        <f t="shared" ca="1" si="318"/>
        <v>-7.9195067652526427</v>
      </c>
    </row>
    <row r="685" spans="1:34">
      <c r="A685" s="402">
        <f t="shared" ca="1" si="296"/>
        <v>1E-4</v>
      </c>
      <c r="B685" s="357">
        <f t="shared" ca="1" si="297"/>
        <v>16.933199999999896</v>
      </c>
      <c r="C685" s="342"/>
      <c r="D685" s="359">
        <f t="shared" ca="1" si="298"/>
        <v>-0.70585614299076616</v>
      </c>
      <c r="E685" s="360">
        <f t="shared" ca="1" si="299"/>
        <v>-1.9219550625676485</v>
      </c>
      <c r="F685" s="357">
        <f t="shared" ca="1" si="300"/>
        <v>2.047472626710114</v>
      </c>
      <c r="G685" s="359">
        <f t="shared" ca="1" si="301"/>
        <v>4.997551957550292</v>
      </c>
      <c r="H685" s="360">
        <f t="shared" ca="1" si="302"/>
        <v>-55.849350118501022</v>
      </c>
      <c r="I685" s="357">
        <f t="shared" ca="1" si="303"/>
        <v>56.072501587028604</v>
      </c>
      <c r="J685" s="359">
        <f t="shared" ca="1" si="304"/>
        <v>184.26379383972827</v>
      </c>
      <c r="K685" s="360">
        <f t="shared" ca="1" si="305"/>
        <v>-6.8238600719149618</v>
      </c>
      <c r="L685" s="357">
        <f t="shared" ca="1" si="290"/>
        <v>184.39010490395344</v>
      </c>
      <c r="M685" s="359">
        <f t="shared" ca="1" si="306"/>
        <v>-1.4815512964258979</v>
      </c>
      <c r="N685" s="357">
        <f t="shared" ca="1" si="307"/>
        <v>-84.886636417339517</v>
      </c>
      <c r="O685" s="343"/>
      <c r="P685" s="363">
        <f t="shared" ca="1" si="308"/>
        <v>23</v>
      </c>
      <c r="Q685" s="357">
        <f t="shared" ca="1" si="309"/>
        <v>0</v>
      </c>
      <c r="R685" s="359">
        <f t="shared" ca="1" si="310"/>
        <v>0</v>
      </c>
      <c r="S685" s="360">
        <f t="shared" ca="1" si="311"/>
        <v>0.42898953648292248</v>
      </c>
      <c r="T685" s="357">
        <f t="shared" ca="1" si="291"/>
        <v>4.2083873528974696</v>
      </c>
      <c r="U685" s="364">
        <f t="shared" ca="1" si="292"/>
        <v>0</v>
      </c>
      <c r="V685" s="359">
        <f t="shared" ca="1" si="293"/>
        <v>1.2258362081671861</v>
      </c>
      <c r="W685" s="357">
        <f t="shared" ca="1" si="294"/>
        <v>3.3974342021740647</v>
      </c>
      <c r="X685" s="343"/>
      <c r="Y685" s="367" t="str">
        <f t="shared" ca="1" si="312"/>
        <v/>
      </c>
      <c r="Z685" s="368" t="str">
        <f t="shared" ca="1" si="313"/>
        <v/>
      </c>
      <c r="AA685" s="369" t="str">
        <f t="shared" ca="1" si="314"/>
        <v/>
      </c>
      <c r="AB685" s="344"/>
      <c r="AC685" s="363" t="e">
        <f t="shared" ca="1" si="315"/>
        <v>#N/A</v>
      </c>
      <c r="AD685" s="376" t="e">
        <f t="shared" ca="1" si="316"/>
        <v>#N/A</v>
      </c>
      <c r="AE685" s="377" t="e">
        <f t="shared" ca="1" si="295"/>
        <v>#N/A</v>
      </c>
      <c r="AF685" s="344"/>
      <c r="AG685" s="359">
        <f t="shared" ca="1" si="317"/>
        <v>1.8513943388614411</v>
      </c>
      <c r="AH685" s="357">
        <f t="shared" ca="1" si="318"/>
        <v>-7.9195634873110254</v>
      </c>
    </row>
    <row r="686" spans="1:34">
      <c r="A686" s="402">
        <f t="shared" ca="1" si="296"/>
        <v>1E-4</v>
      </c>
      <c r="B686" s="357">
        <f t="shared" ca="1" si="297"/>
        <v>16.933299999999896</v>
      </c>
      <c r="C686" s="342"/>
      <c r="D686" s="359">
        <f t="shared" ca="1" si="298"/>
        <v>-0.70584889836577569</v>
      </c>
      <c r="E686" s="360">
        <f t="shared" ca="1" si="299"/>
        <v>-1.9218974669125766</v>
      </c>
      <c r="F686" s="357">
        <f t="shared" ca="1" si="300"/>
        <v>2.0474160643721535</v>
      </c>
      <c r="G686" s="359">
        <f t="shared" ca="1" si="301"/>
        <v>4.9974813726604559</v>
      </c>
      <c r="H686" s="360">
        <f t="shared" ca="1" si="302"/>
        <v>-55.849542308247713</v>
      </c>
      <c r="I686" s="357">
        <f t="shared" ca="1" si="303"/>
        <v>56.072686720994916</v>
      </c>
      <c r="J686" s="359">
        <f t="shared" ca="1" si="304"/>
        <v>184.26379383972827</v>
      </c>
      <c r="K686" s="360">
        <f t="shared" ca="1" si="305"/>
        <v>-6.8294450165362992</v>
      </c>
      <c r="L686" s="357">
        <f t="shared" ca="1" si="290"/>
        <v>184.3903116745665</v>
      </c>
      <c r="M686" s="359">
        <f t="shared" ca="1" si="306"/>
        <v>-1.4815528557091981</v>
      </c>
      <c r="N686" s="357">
        <f t="shared" ca="1" si="307"/>
        <v>-84.886725757691693</v>
      </c>
      <c r="O686" s="343"/>
      <c r="P686" s="363">
        <f t="shared" ca="1" si="308"/>
        <v>23</v>
      </c>
      <c r="Q686" s="357">
        <f t="shared" ca="1" si="309"/>
        <v>0</v>
      </c>
      <c r="R686" s="359">
        <f t="shared" ca="1" si="310"/>
        <v>0</v>
      </c>
      <c r="S686" s="360">
        <f t="shared" ca="1" si="311"/>
        <v>0.42898953648292248</v>
      </c>
      <c r="T686" s="357">
        <f t="shared" ca="1" si="291"/>
        <v>4.2083873528974696</v>
      </c>
      <c r="U686" s="364">
        <f t="shared" ca="1" si="292"/>
        <v>0</v>
      </c>
      <c r="V686" s="359">
        <f t="shared" ca="1" si="293"/>
        <v>1.2258368927901908</v>
      </c>
      <c r="W686" s="357">
        <f t="shared" ca="1" si="294"/>
        <v>3.3974585342153958</v>
      </c>
      <c r="X686" s="343"/>
      <c r="Y686" s="367" t="str">
        <f t="shared" ca="1" si="312"/>
        <v/>
      </c>
      <c r="Z686" s="368" t="str">
        <f t="shared" ca="1" si="313"/>
        <v/>
      </c>
      <c r="AA686" s="369" t="str">
        <f t="shared" ca="1" si="314"/>
        <v/>
      </c>
      <c r="AB686" s="344"/>
      <c r="AC686" s="363" t="e">
        <f t="shared" ca="1" si="315"/>
        <v>#N/A</v>
      </c>
      <c r="AD686" s="376" t="e">
        <f t="shared" ca="1" si="316"/>
        <v>#N/A</v>
      </c>
      <c r="AE686" s="377" t="e">
        <f t="shared" ca="1" si="295"/>
        <v>#N/A</v>
      </c>
      <c r="AF686" s="344"/>
      <c r="AG686" s="359">
        <f t="shared" ca="1" si="317"/>
        <v>1.8513389814895014</v>
      </c>
      <c r="AH686" s="357">
        <f t="shared" ca="1" si="318"/>
        <v>-7.9196202080544502</v>
      </c>
    </row>
    <row r="687" spans="1:34">
      <c r="A687" s="402">
        <f t="shared" ca="1" si="296"/>
        <v>1E-4</v>
      </c>
      <c r="B687" s="357">
        <f t="shared" ca="1" si="297"/>
        <v>16.933399999999896</v>
      </c>
      <c r="C687" s="342"/>
      <c r="D687" s="359">
        <f t="shared" ca="1" si="298"/>
        <v>-0.70584165370063512</v>
      </c>
      <c r="E687" s="360">
        <f t="shared" ca="1" si="299"/>
        <v>-1.9218398725934493</v>
      </c>
      <c r="F687" s="357">
        <f t="shared" ca="1" si="300"/>
        <v>2.0473595033576428</v>
      </c>
      <c r="G687" s="359">
        <f t="shared" ca="1" si="301"/>
        <v>4.9974107884950856</v>
      </c>
      <c r="H687" s="360">
        <f t="shared" ca="1" si="302"/>
        <v>-55.849734492234973</v>
      </c>
      <c r="I687" s="357">
        <f t="shared" ca="1" si="303"/>
        <v>56.072871849425617</v>
      </c>
      <c r="J687" s="359">
        <f t="shared" ca="1" si="304"/>
        <v>184.26379383972827</v>
      </c>
      <c r="K687" s="360">
        <f t="shared" ca="1" si="305"/>
        <v>-6.8350299803763237</v>
      </c>
      <c r="L687" s="357">
        <f t="shared" ca="1" si="290"/>
        <v>184.39051861482068</v>
      </c>
      <c r="M687" s="359">
        <f t="shared" ca="1" si="306"/>
        <v>-1.4815544149601791</v>
      </c>
      <c r="N687" s="357">
        <f t="shared" ca="1" si="307"/>
        <v>-84.886815096192095</v>
      </c>
      <c r="O687" s="343"/>
      <c r="P687" s="363">
        <f t="shared" ca="1" si="308"/>
        <v>23</v>
      </c>
      <c r="Q687" s="357">
        <f t="shared" ca="1" si="309"/>
        <v>0</v>
      </c>
      <c r="R687" s="359">
        <f t="shared" ca="1" si="310"/>
        <v>0</v>
      </c>
      <c r="S687" s="360">
        <f t="shared" ca="1" si="311"/>
        <v>0.42898953648292248</v>
      </c>
      <c r="T687" s="357">
        <f t="shared" ca="1" si="291"/>
        <v>4.2083873528974696</v>
      </c>
      <c r="U687" s="364">
        <f t="shared" ca="1" si="292"/>
        <v>0</v>
      </c>
      <c r="V687" s="359">
        <f t="shared" ca="1" si="293"/>
        <v>1.2258375774159334</v>
      </c>
      <c r="W687" s="357">
        <f t="shared" ca="1" si="294"/>
        <v>3.397482865692635</v>
      </c>
      <c r="X687" s="343"/>
      <c r="Y687" s="367" t="str">
        <f t="shared" ca="1" si="312"/>
        <v/>
      </c>
      <c r="Z687" s="368" t="str">
        <f t="shared" ca="1" si="313"/>
        <v/>
      </c>
      <c r="AA687" s="369" t="str">
        <f t="shared" ca="1" si="314"/>
        <v/>
      </c>
      <c r="AB687" s="344"/>
      <c r="AC687" s="363" t="e">
        <f t="shared" ca="1" si="315"/>
        <v>#N/A</v>
      </c>
      <c r="AD687" s="376" t="e">
        <f t="shared" ca="1" si="316"/>
        <v>#N/A</v>
      </c>
      <c r="AE687" s="377" t="e">
        <f t="shared" ca="1" si="295"/>
        <v>#N/A</v>
      </c>
      <c r="AF687" s="344"/>
      <c r="AG687" s="359">
        <f t="shared" ca="1" si="317"/>
        <v>1.8512836253804981</v>
      </c>
      <c r="AH687" s="357">
        <f t="shared" ca="1" si="318"/>
        <v>-7.9196769274829251</v>
      </c>
    </row>
    <row r="688" spans="1:34">
      <c r="A688" s="402">
        <f t="shared" ca="1" si="296"/>
        <v>1E-4</v>
      </c>
      <c r="B688" s="357">
        <f t="shared" ca="1" si="297"/>
        <v>16.933499999999896</v>
      </c>
      <c r="C688" s="342"/>
      <c r="D688" s="359">
        <f t="shared" ca="1" si="298"/>
        <v>-0.70583440899534899</v>
      </c>
      <c r="E688" s="360">
        <f t="shared" ca="1" si="299"/>
        <v>-1.9217822796102473</v>
      </c>
      <c r="F688" s="357">
        <f t="shared" ca="1" si="300"/>
        <v>2.0473029436665628</v>
      </c>
      <c r="G688" s="359">
        <f t="shared" ca="1" si="301"/>
        <v>4.9973402050541864</v>
      </c>
      <c r="H688" s="360">
        <f t="shared" ca="1" si="302"/>
        <v>-55.849926670462935</v>
      </c>
      <c r="I688" s="357">
        <f t="shared" ca="1" si="303"/>
        <v>56.073056972320835</v>
      </c>
      <c r="J688" s="359">
        <f t="shared" ca="1" si="304"/>
        <v>184.26379383972827</v>
      </c>
      <c r="K688" s="360">
        <f t="shared" ca="1" si="305"/>
        <v>-6.8406149634344589</v>
      </c>
      <c r="L688" s="357">
        <f t="shared" ca="1" si="290"/>
        <v>184.3907257247171</v>
      </c>
      <c r="M688" s="359">
        <f t="shared" ca="1" si="306"/>
        <v>-1.4815559741788416</v>
      </c>
      <c r="N688" s="357">
        <f t="shared" ca="1" si="307"/>
        <v>-84.886904432840794</v>
      </c>
      <c r="O688" s="343"/>
      <c r="P688" s="363">
        <f t="shared" ca="1" si="308"/>
        <v>23</v>
      </c>
      <c r="Q688" s="357">
        <f t="shared" ca="1" si="309"/>
        <v>0</v>
      </c>
      <c r="R688" s="359">
        <f t="shared" ca="1" si="310"/>
        <v>0</v>
      </c>
      <c r="S688" s="360">
        <f t="shared" ca="1" si="311"/>
        <v>0.42898953648292248</v>
      </c>
      <c r="T688" s="357">
        <f t="shared" ca="1" si="291"/>
        <v>4.2083873528974696</v>
      </c>
      <c r="U688" s="364">
        <f t="shared" ca="1" si="292"/>
        <v>0</v>
      </c>
      <c r="V688" s="359">
        <f t="shared" ca="1" si="293"/>
        <v>1.225838262044415</v>
      </c>
      <c r="W688" s="357">
        <f t="shared" ca="1" si="294"/>
        <v>3.3975071966057939</v>
      </c>
      <c r="X688" s="343"/>
      <c r="Y688" s="367" t="str">
        <f t="shared" ca="1" si="312"/>
        <v/>
      </c>
      <c r="Z688" s="368" t="str">
        <f t="shared" ca="1" si="313"/>
        <v/>
      </c>
      <c r="AA688" s="369" t="str">
        <f t="shared" ca="1" si="314"/>
        <v/>
      </c>
      <c r="AB688" s="344"/>
      <c r="AC688" s="363" t="e">
        <f t="shared" ca="1" si="315"/>
        <v>#N/A</v>
      </c>
      <c r="AD688" s="376" t="e">
        <f t="shared" ca="1" si="316"/>
        <v>#N/A</v>
      </c>
      <c r="AE688" s="377" t="e">
        <f t="shared" ca="1" si="295"/>
        <v>#N/A</v>
      </c>
      <c r="AF688" s="344"/>
      <c r="AG688" s="359">
        <f t="shared" ca="1" si="317"/>
        <v>1.8512282705344125</v>
      </c>
      <c r="AH688" s="357">
        <f t="shared" ca="1" si="318"/>
        <v>-7.9197336455964686</v>
      </c>
    </row>
    <row r="689" spans="1:34">
      <c r="A689" s="402">
        <f t="shared" ca="1" si="296"/>
        <v>1E-4</v>
      </c>
      <c r="B689" s="357">
        <f t="shared" ca="1" si="297"/>
        <v>16.933599999999895</v>
      </c>
      <c r="C689" s="342"/>
      <c r="D689" s="359">
        <f t="shared" ca="1" si="298"/>
        <v>-0.7058271642499262</v>
      </c>
      <c r="E689" s="360">
        <f t="shared" ca="1" si="299"/>
        <v>-1.9217246879629437</v>
      </c>
      <c r="F689" s="357">
        <f t="shared" ca="1" si="300"/>
        <v>2.0472463852988887</v>
      </c>
      <c r="G689" s="359">
        <f t="shared" ca="1" si="301"/>
        <v>4.9972696223377611</v>
      </c>
      <c r="H689" s="360">
        <f t="shared" ca="1" si="302"/>
        <v>-55.850118842931728</v>
      </c>
      <c r="I689" s="357">
        <f t="shared" ca="1" si="303"/>
        <v>56.073242089680683</v>
      </c>
      <c r="J689" s="359">
        <f t="shared" ca="1" si="304"/>
        <v>184.26379383972827</v>
      </c>
      <c r="K689" s="360">
        <f t="shared" ca="1" si="305"/>
        <v>-6.8461999657101282</v>
      </c>
      <c r="L689" s="357">
        <f t="shared" ca="1" si="290"/>
        <v>184.39093300425694</v>
      </c>
      <c r="M689" s="359">
        <f t="shared" ca="1" si="306"/>
        <v>-1.4815575333651867</v>
      </c>
      <c r="N689" s="357">
        <f t="shared" ca="1" si="307"/>
        <v>-84.886993767637847</v>
      </c>
      <c r="O689" s="343"/>
      <c r="P689" s="363">
        <f t="shared" ca="1" si="308"/>
        <v>23</v>
      </c>
      <c r="Q689" s="357">
        <f t="shared" ca="1" si="309"/>
        <v>0</v>
      </c>
      <c r="R689" s="359">
        <f t="shared" ca="1" si="310"/>
        <v>0</v>
      </c>
      <c r="S689" s="360">
        <f t="shared" ca="1" si="311"/>
        <v>0.42898953648292248</v>
      </c>
      <c r="T689" s="357">
        <f t="shared" ca="1" si="291"/>
        <v>4.2083873528974696</v>
      </c>
      <c r="U689" s="364">
        <f t="shared" ca="1" si="292"/>
        <v>0</v>
      </c>
      <c r="V689" s="359">
        <f t="shared" ca="1" si="293"/>
        <v>1.2258389466756345</v>
      </c>
      <c r="W689" s="357">
        <f t="shared" ca="1" si="294"/>
        <v>3.397531526954876</v>
      </c>
      <c r="X689" s="343"/>
      <c r="Y689" s="367" t="str">
        <f t="shared" ca="1" si="312"/>
        <v/>
      </c>
      <c r="Z689" s="368" t="str">
        <f t="shared" ca="1" si="313"/>
        <v/>
      </c>
      <c r="AA689" s="369" t="str">
        <f t="shared" ca="1" si="314"/>
        <v/>
      </c>
      <c r="AB689" s="344"/>
      <c r="AC689" s="363" t="e">
        <f t="shared" ca="1" si="315"/>
        <v>#N/A</v>
      </c>
      <c r="AD689" s="376" t="e">
        <f t="shared" ca="1" si="316"/>
        <v>#N/A</v>
      </c>
      <c r="AE689" s="377" t="e">
        <f t="shared" ca="1" si="295"/>
        <v>#N/A</v>
      </c>
      <c r="AF689" s="344"/>
      <c r="AG689" s="359">
        <f t="shared" ca="1" si="317"/>
        <v>1.8511729169512199</v>
      </c>
      <c r="AH689" s="357">
        <f t="shared" ca="1" si="318"/>
        <v>-7.9197903623951076</v>
      </c>
    </row>
    <row r="690" spans="1:34">
      <c r="A690" s="402">
        <f t="shared" ca="1" si="296"/>
        <v>1E-4</v>
      </c>
      <c r="B690" s="357">
        <f t="shared" ca="1" si="297"/>
        <v>16.933699999999895</v>
      </c>
      <c r="C690" s="342"/>
      <c r="D690" s="359">
        <f t="shared" ca="1" si="298"/>
        <v>-0.70581991946436862</v>
      </c>
      <c r="E690" s="360">
        <f t="shared" ca="1" si="299"/>
        <v>-1.9216670976515289</v>
      </c>
      <c r="F690" s="357">
        <f t="shared" ca="1" si="300"/>
        <v>2.0471898282546097</v>
      </c>
      <c r="G690" s="359">
        <f t="shared" ca="1" si="301"/>
        <v>4.9971990403458149</v>
      </c>
      <c r="H690" s="360">
        <f t="shared" ca="1" si="302"/>
        <v>-55.850311009641494</v>
      </c>
      <c r="I690" s="357">
        <f t="shared" ca="1" si="303"/>
        <v>56.073427201505304</v>
      </c>
      <c r="J690" s="359">
        <f t="shared" ca="1" si="304"/>
        <v>184.26379383972827</v>
      </c>
      <c r="K690" s="360">
        <f t="shared" ca="1" si="305"/>
        <v>-6.8517849872027572</v>
      </c>
      <c r="L690" s="357">
        <f t="shared" ca="1" si="290"/>
        <v>184.39114045344138</v>
      </c>
      <c r="M690" s="359">
        <f t="shared" ca="1" si="306"/>
        <v>-1.4815590925192152</v>
      </c>
      <c r="N690" s="357">
        <f t="shared" ca="1" si="307"/>
        <v>-84.887083100583297</v>
      </c>
      <c r="O690" s="343"/>
      <c r="P690" s="363">
        <f t="shared" ca="1" si="308"/>
        <v>23</v>
      </c>
      <c r="Q690" s="357">
        <f t="shared" ca="1" si="309"/>
        <v>0</v>
      </c>
      <c r="R690" s="359">
        <f t="shared" ca="1" si="310"/>
        <v>0</v>
      </c>
      <c r="S690" s="360">
        <f t="shared" ca="1" si="311"/>
        <v>0.42898953648292248</v>
      </c>
      <c r="T690" s="357">
        <f t="shared" ca="1" si="291"/>
        <v>4.2083873528974696</v>
      </c>
      <c r="U690" s="364">
        <f t="shared" ca="1" si="292"/>
        <v>0</v>
      </c>
      <c r="V690" s="359">
        <f t="shared" ca="1" si="293"/>
        <v>1.2258396313095927</v>
      </c>
      <c r="W690" s="357">
        <f t="shared" ca="1" si="294"/>
        <v>3.3975558567398925</v>
      </c>
      <c r="X690" s="343"/>
      <c r="Y690" s="367" t="str">
        <f t="shared" ca="1" si="312"/>
        <v/>
      </c>
      <c r="Z690" s="368" t="str">
        <f t="shared" ca="1" si="313"/>
        <v/>
      </c>
      <c r="AA690" s="369" t="str">
        <f t="shared" ca="1" si="314"/>
        <v/>
      </c>
      <c r="AB690" s="344"/>
      <c r="AC690" s="363" t="e">
        <f t="shared" ca="1" si="315"/>
        <v>#N/A</v>
      </c>
      <c r="AD690" s="376" t="e">
        <f t="shared" ca="1" si="316"/>
        <v>#N/A</v>
      </c>
      <c r="AE690" s="377" t="e">
        <f t="shared" ca="1" si="295"/>
        <v>#N/A</v>
      </c>
      <c r="AF690" s="344"/>
      <c r="AG690" s="359">
        <f t="shared" ca="1" si="317"/>
        <v>1.8511175646309139</v>
      </c>
      <c r="AH690" s="357">
        <f t="shared" ca="1" si="318"/>
        <v>-7.9198470778788499</v>
      </c>
    </row>
    <row r="691" spans="1:34">
      <c r="A691" s="402">
        <f t="shared" ca="1" si="296"/>
        <v>1E-4</v>
      </c>
      <c r="B691" s="357">
        <f t="shared" ca="1" si="297"/>
        <v>16.933799999999895</v>
      </c>
      <c r="C691" s="342"/>
      <c r="D691" s="359">
        <f t="shared" ca="1" si="298"/>
        <v>-0.70581267463868513</v>
      </c>
      <c r="E691" s="360">
        <f t="shared" ca="1" si="299"/>
        <v>-1.921609508675977</v>
      </c>
      <c r="F691" s="357">
        <f t="shared" ca="1" si="300"/>
        <v>2.0471332725337019</v>
      </c>
      <c r="G691" s="359">
        <f t="shared" ca="1" si="301"/>
        <v>4.9971284590783513</v>
      </c>
      <c r="H691" s="360">
        <f t="shared" ca="1" si="302"/>
        <v>-55.850503170592361</v>
      </c>
      <c r="I691" s="357">
        <f t="shared" ca="1" si="303"/>
        <v>56.073612307794818</v>
      </c>
      <c r="J691" s="359">
        <f t="shared" ca="1" si="304"/>
        <v>184.26379383972827</v>
      </c>
      <c r="K691" s="360">
        <f t="shared" ca="1" si="305"/>
        <v>-6.8573700279117693</v>
      </c>
      <c r="L691" s="357">
        <f t="shared" ca="1" si="290"/>
        <v>184.39134807227151</v>
      </c>
      <c r="M691" s="359">
        <f t="shared" ca="1" si="306"/>
        <v>-1.4815606516409281</v>
      </c>
      <c r="N691" s="357">
        <f t="shared" ca="1" si="307"/>
        <v>-84.887172431677186</v>
      </c>
      <c r="O691" s="343"/>
      <c r="P691" s="363">
        <f t="shared" ca="1" si="308"/>
        <v>23</v>
      </c>
      <c r="Q691" s="357">
        <f t="shared" ca="1" si="309"/>
        <v>0</v>
      </c>
      <c r="R691" s="359">
        <f t="shared" ca="1" si="310"/>
        <v>0</v>
      </c>
      <c r="S691" s="360">
        <f t="shared" ca="1" si="311"/>
        <v>0.42898953648292248</v>
      </c>
      <c r="T691" s="357">
        <f t="shared" ca="1" si="291"/>
        <v>4.2083873528974696</v>
      </c>
      <c r="U691" s="364">
        <f t="shared" ca="1" si="292"/>
        <v>0</v>
      </c>
      <c r="V691" s="359">
        <f t="shared" ca="1" si="293"/>
        <v>1.2258403159462885</v>
      </c>
      <c r="W691" s="357">
        <f t="shared" ca="1" si="294"/>
        <v>3.3975801859608485</v>
      </c>
      <c r="X691" s="343"/>
      <c r="Y691" s="367" t="str">
        <f t="shared" ca="1" si="312"/>
        <v/>
      </c>
      <c r="Z691" s="368" t="str">
        <f t="shared" ca="1" si="313"/>
        <v/>
      </c>
      <c r="AA691" s="369" t="str">
        <f t="shared" ca="1" si="314"/>
        <v/>
      </c>
      <c r="AB691" s="344"/>
      <c r="AC691" s="363" t="e">
        <f t="shared" ca="1" si="315"/>
        <v>#N/A</v>
      </c>
      <c r="AD691" s="376" t="e">
        <f t="shared" ca="1" si="316"/>
        <v>#N/A</v>
      </c>
      <c r="AE691" s="377" t="e">
        <f t="shared" ca="1" si="295"/>
        <v>#N/A</v>
      </c>
      <c r="AF691" s="344"/>
      <c r="AG691" s="359">
        <f t="shared" ca="1" si="317"/>
        <v>1.8510622135734716</v>
      </c>
      <c r="AH691" s="357">
        <f t="shared" ca="1" si="318"/>
        <v>-7.9199037920477222</v>
      </c>
    </row>
    <row r="692" spans="1:34">
      <c r="A692" s="402">
        <f t="shared" ca="1" si="296"/>
        <v>1E-4</v>
      </c>
      <c r="B692" s="357">
        <f t="shared" ca="1" si="297"/>
        <v>16.933899999999895</v>
      </c>
      <c r="C692" s="342"/>
      <c r="D692" s="359">
        <f t="shared" ca="1" si="298"/>
        <v>-0.70580542977288152</v>
      </c>
      <c r="E692" s="360">
        <f t="shared" ca="1" si="299"/>
        <v>-1.9215519210362757</v>
      </c>
      <c r="F692" s="357">
        <f t="shared" ca="1" si="300"/>
        <v>2.0470767181361529</v>
      </c>
      <c r="G692" s="359">
        <f t="shared" ca="1" si="301"/>
        <v>4.9970578785353741</v>
      </c>
      <c r="H692" s="360">
        <f t="shared" ca="1" si="302"/>
        <v>-55.850695325784464</v>
      </c>
      <c r="I692" s="357">
        <f t="shared" ca="1" si="303"/>
        <v>56.073797408549346</v>
      </c>
      <c r="J692" s="359">
        <f t="shared" ca="1" si="304"/>
        <v>184.26379383972827</v>
      </c>
      <c r="K692" s="360">
        <f t="shared" ca="1" si="305"/>
        <v>-6.8629550878365881</v>
      </c>
      <c r="L692" s="357">
        <f t="shared" ca="1" si="290"/>
        <v>184.39155586074853</v>
      </c>
      <c r="M692" s="359">
        <f t="shared" ca="1" si="306"/>
        <v>-1.4815622107303263</v>
      </c>
      <c r="N692" s="357">
        <f t="shared" ca="1" si="307"/>
        <v>-84.887261760919586</v>
      </c>
      <c r="O692" s="343"/>
      <c r="P692" s="363">
        <f t="shared" ca="1" si="308"/>
        <v>23</v>
      </c>
      <c r="Q692" s="357">
        <f t="shared" ca="1" si="309"/>
        <v>0</v>
      </c>
      <c r="R692" s="359">
        <f t="shared" ca="1" si="310"/>
        <v>0</v>
      </c>
      <c r="S692" s="360">
        <f t="shared" ca="1" si="311"/>
        <v>0.42898953648292248</v>
      </c>
      <c r="T692" s="357">
        <f t="shared" ca="1" si="291"/>
        <v>4.2083873528974696</v>
      </c>
      <c r="U692" s="364">
        <f t="shared" ca="1" si="292"/>
        <v>0</v>
      </c>
      <c r="V692" s="359">
        <f t="shared" ca="1" si="293"/>
        <v>1.2258410005857223</v>
      </c>
      <c r="W692" s="357">
        <f t="shared" ca="1" si="294"/>
        <v>3.3976045146177514</v>
      </c>
      <c r="X692" s="343"/>
      <c r="Y692" s="367" t="str">
        <f t="shared" ca="1" si="312"/>
        <v/>
      </c>
      <c r="Z692" s="368" t="str">
        <f t="shared" ca="1" si="313"/>
        <v/>
      </c>
      <c r="AA692" s="369" t="str">
        <f t="shared" ca="1" si="314"/>
        <v/>
      </c>
      <c r="AB692" s="344"/>
      <c r="AC692" s="363" t="e">
        <f t="shared" ca="1" si="315"/>
        <v>#N/A</v>
      </c>
      <c r="AD692" s="376" t="e">
        <f t="shared" ca="1" si="316"/>
        <v>#N/A</v>
      </c>
      <c r="AE692" s="377" t="e">
        <f t="shared" ca="1" si="295"/>
        <v>#N/A</v>
      </c>
      <c r="AF692" s="344"/>
      <c r="AG692" s="359">
        <f t="shared" ca="1" si="317"/>
        <v>1.851006863778883</v>
      </c>
      <c r="AH692" s="357">
        <f t="shared" ca="1" si="318"/>
        <v>-7.9199605049017361</v>
      </c>
    </row>
    <row r="693" spans="1:34">
      <c r="A693" s="402">
        <f t="shared" ca="1" si="296"/>
        <v>1E-4</v>
      </c>
      <c r="B693" s="357">
        <f t="shared" ca="1" si="297"/>
        <v>16.933999999999894</v>
      </c>
      <c r="C693" s="342"/>
      <c r="D693" s="359">
        <f t="shared" ca="1" si="298"/>
        <v>-0.705798184866962</v>
      </c>
      <c r="E693" s="360">
        <f t="shared" ca="1" si="299"/>
        <v>-1.9214943347324089</v>
      </c>
      <c r="F693" s="357">
        <f t="shared" ca="1" si="300"/>
        <v>2.0470201650619471</v>
      </c>
      <c r="G693" s="359">
        <f t="shared" ca="1" si="301"/>
        <v>4.9969872987168875</v>
      </c>
      <c r="H693" s="360">
        <f t="shared" ca="1" si="302"/>
        <v>-55.850887475217938</v>
      </c>
      <c r="I693" s="357">
        <f t="shared" ca="1" si="303"/>
        <v>56.073982503769017</v>
      </c>
      <c r="J693" s="359">
        <f t="shared" ca="1" si="304"/>
        <v>184.26379383972827</v>
      </c>
      <c r="K693" s="360">
        <f t="shared" ca="1" si="305"/>
        <v>-6.8685401669766382</v>
      </c>
      <c r="L693" s="357">
        <f t="shared" ca="1" si="290"/>
        <v>184.39176381887359</v>
      </c>
      <c r="M693" s="359">
        <f t="shared" ca="1" si="306"/>
        <v>-1.4815637697874109</v>
      </c>
      <c r="N693" s="357">
        <f t="shared" ca="1" si="307"/>
        <v>-84.887351088310552</v>
      </c>
      <c r="O693" s="343"/>
      <c r="P693" s="363">
        <f t="shared" ca="1" si="308"/>
        <v>23</v>
      </c>
      <c r="Q693" s="357">
        <f t="shared" ca="1" si="309"/>
        <v>0</v>
      </c>
      <c r="R693" s="359">
        <f t="shared" ca="1" si="310"/>
        <v>0</v>
      </c>
      <c r="S693" s="360">
        <f t="shared" ca="1" si="311"/>
        <v>0.42898953648292248</v>
      </c>
      <c r="T693" s="357">
        <f t="shared" ca="1" si="291"/>
        <v>4.2083873528974696</v>
      </c>
      <c r="U693" s="364">
        <f t="shared" ca="1" si="292"/>
        <v>0</v>
      </c>
      <c r="V693" s="359">
        <f t="shared" ca="1" si="293"/>
        <v>1.2258416852278944</v>
      </c>
      <c r="W693" s="357">
        <f t="shared" ca="1" si="294"/>
        <v>3.3976288427106098</v>
      </c>
      <c r="X693" s="343"/>
      <c r="Y693" s="367" t="str">
        <f t="shared" ca="1" si="312"/>
        <v/>
      </c>
      <c r="Z693" s="368" t="str">
        <f t="shared" ca="1" si="313"/>
        <v/>
      </c>
      <c r="AA693" s="369" t="str">
        <f t="shared" ca="1" si="314"/>
        <v/>
      </c>
      <c r="AB693" s="344"/>
      <c r="AC693" s="363" t="e">
        <f t="shared" ca="1" si="315"/>
        <v>#N/A</v>
      </c>
      <c r="AD693" s="376" t="e">
        <f t="shared" ca="1" si="316"/>
        <v>#N/A</v>
      </c>
      <c r="AE693" s="377" t="e">
        <f t="shared" ca="1" si="295"/>
        <v>#N/A</v>
      </c>
      <c r="AF693" s="344"/>
      <c r="AG693" s="359">
        <f t="shared" ca="1" si="317"/>
        <v>1.8509515152471332</v>
      </c>
      <c r="AH693" s="357">
        <f t="shared" ca="1" si="318"/>
        <v>-7.9200172164409084</v>
      </c>
    </row>
    <row r="694" spans="1:34">
      <c r="A694" s="402">
        <f t="shared" ca="1" si="296"/>
        <v>1E-4</v>
      </c>
      <c r="B694" s="357">
        <f t="shared" ca="1" si="297"/>
        <v>16.934099999999894</v>
      </c>
      <c r="C694" s="342"/>
      <c r="D694" s="359">
        <f t="shared" ca="1" si="298"/>
        <v>-0.70579093992093334</v>
      </c>
      <c r="E694" s="360">
        <f t="shared" ca="1" si="299"/>
        <v>-1.9214367497643527</v>
      </c>
      <c r="F694" s="357">
        <f t="shared" ca="1" si="300"/>
        <v>2.0469636133110609</v>
      </c>
      <c r="G694" s="359">
        <f t="shared" ca="1" si="301"/>
        <v>4.9969167196228952</v>
      </c>
      <c r="H694" s="360">
        <f t="shared" ca="1" si="302"/>
        <v>-55.851079618892918</v>
      </c>
      <c r="I694" s="357">
        <f t="shared" ca="1" si="303"/>
        <v>56.074167593453964</v>
      </c>
      <c r="J694" s="359">
        <f t="shared" ca="1" si="304"/>
        <v>184.26379383972827</v>
      </c>
      <c r="K694" s="360">
        <f t="shared" ca="1" si="305"/>
        <v>-6.8741252653313438</v>
      </c>
      <c r="L694" s="357">
        <f t="shared" ca="1" si="290"/>
        <v>184.3919719466478</v>
      </c>
      <c r="M694" s="359">
        <f t="shared" ca="1" si="306"/>
        <v>-1.4815653288121826</v>
      </c>
      <c r="N694" s="357">
        <f t="shared" ca="1" si="307"/>
        <v>-84.887440413850129</v>
      </c>
      <c r="O694" s="343"/>
      <c r="P694" s="363">
        <f t="shared" ca="1" si="308"/>
        <v>23</v>
      </c>
      <c r="Q694" s="357">
        <f t="shared" ca="1" si="309"/>
        <v>0</v>
      </c>
      <c r="R694" s="359">
        <f t="shared" ca="1" si="310"/>
        <v>0</v>
      </c>
      <c r="S694" s="360">
        <f t="shared" ca="1" si="311"/>
        <v>0.42898953648292248</v>
      </c>
      <c r="T694" s="357">
        <f t="shared" ca="1" si="291"/>
        <v>4.2083873528974696</v>
      </c>
      <c r="U694" s="364">
        <f t="shared" ca="1" si="292"/>
        <v>0</v>
      </c>
      <c r="V694" s="359">
        <f t="shared" ca="1" si="293"/>
        <v>1.2258423698728045</v>
      </c>
      <c r="W694" s="357">
        <f t="shared" ca="1" si="294"/>
        <v>3.3976531702394333</v>
      </c>
      <c r="X694" s="343"/>
      <c r="Y694" s="367" t="str">
        <f t="shared" ca="1" si="312"/>
        <v/>
      </c>
      <c r="Z694" s="368" t="str">
        <f t="shared" ca="1" si="313"/>
        <v/>
      </c>
      <c r="AA694" s="369" t="str">
        <f t="shared" ca="1" si="314"/>
        <v/>
      </c>
      <c r="AB694" s="344"/>
      <c r="AC694" s="363" t="e">
        <f t="shared" ca="1" si="315"/>
        <v>#N/A</v>
      </c>
      <c r="AD694" s="376" t="e">
        <f t="shared" ca="1" si="316"/>
        <v>#N/A</v>
      </c>
      <c r="AE694" s="377" t="e">
        <f t="shared" ca="1" si="295"/>
        <v>#N/A</v>
      </c>
      <c r="AF694" s="344"/>
      <c r="AG694" s="359">
        <f t="shared" ca="1" si="317"/>
        <v>1.8508961679782043</v>
      </c>
      <c r="AH694" s="357">
        <f t="shared" ca="1" si="318"/>
        <v>-7.9200739266652604</v>
      </c>
    </row>
    <row r="695" spans="1:34">
      <c r="A695" s="402">
        <f t="shared" ca="1" si="296"/>
        <v>1E-4</v>
      </c>
      <c r="B695" s="357">
        <f t="shared" ca="1" si="297"/>
        <v>16.934199999999894</v>
      </c>
      <c r="C695" s="342"/>
      <c r="D695" s="359">
        <f t="shared" ca="1" si="298"/>
        <v>-0.70578369493480209</v>
      </c>
      <c r="E695" s="360">
        <f t="shared" ca="1" si="299"/>
        <v>-1.9213791661320885</v>
      </c>
      <c r="F695" s="357">
        <f t="shared" ca="1" si="300"/>
        <v>2.0469070628834767</v>
      </c>
      <c r="G695" s="359">
        <f t="shared" ca="1" si="301"/>
        <v>4.9968461412534015</v>
      </c>
      <c r="H695" s="360">
        <f t="shared" ca="1" si="302"/>
        <v>-55.851271756809531</v>
      </c>
      <c r="I695" s="357">
        <f t="shared" ca="1" si="303"/>
        <v>56.07435267760431</v>
      </c>
      <c r="J695" s="359">
        <f t="shared" ca="1" si="304"/>
        <v>184.26379383972827</v>
      </c>
      <c r="K695" s="360">
        <f t="shared" ca="1" si="305"/>
        <v>-6.8797103829001287</v>
      </c>
      <c r="L695" s="357">
        <f t="shared" ca="1" si="290"/>
        <v>184.39218024407236</v>
      </c>
      <c r="M695" s="359">
        <f t="shared" ca="1" si="306"/>
        <v>-1.4815668878046424</v>
      </c>
      <c r="N695" s="357">
        <f t="shared" ca="1" si="307"/>
        <v>-84.887529737538372</v>
      </c>
      <c r="O695" s="343"/>
      <c r="P695" s="363">
        <f t="shared" ca="1" si="308"/>
        <v>23</v>
      </c>
      <c r="Q695" s="357">
        <f t="shared" ca="1" si="309"/>
        <v>0</v>
      </c>
      <c r="R695" s="359">
        <f t="shared" ca="1" si="310"/>
        <v>0</v>
      </c>
      <c r="S695" s="360">
        <f t="shared" ca="1" si="311"/>
        <v>0.42898953648292248</v>
      </c>
      <c r="T695" s="357">
        <f t="shared" ca="1" si="291"/>
        <v>4.2083873528974696</v>
      </c>
      <c r="U695" s="364">
        <f t="shared" ca="1" si="292"/>
        <v>0</v>
      </c>
      <c r="V695" s="359">
        <f t="shared" ca="1" si="293"/>
        <v>1.2258430545204522</v>
      </c>
      <c r="W695" s="357">
        <f t="shared" ca="1" si="294"/>
        <v>3.397677497204227</v>
      </c>
      <c r="X695" s="343"/>
      <c r="Y695" s="367" t="str">
        <f t="shared" ca="1" si="312"/>
        <v/>
      </c>
      <c r="Z695" s="368" t="str">
        <f t="shared" ca="1" si="313"/>
        <v/>
      </c>
      <c r="AA695" s="369" t="str">
        <f t="shared" ca="1" si="314"/>
        <v/>
      </c>
      <c r="AB695" s="344"/>
      <c r="AC695" s="363" t="e">
        <f t="shared" ca="1" si="315"/>
        <v>#N/A</v>
      </c>
      <c r="AD695" s="376" t="e">
        <f t="shared" ca="1" si="316"/>
        <v>#N/A</v>
      </c>
      <c r="AE695" s="377" t="e">
        <f t="shared" ca="1" si="295"/>
        <v>#N/A</v>
      </c>
      <c r="AF695" s="344"/>
      <c r="AG695" s="359">
        <f t="shared" ca="1" si="317"/>
        <v>1.8508408219720778</v>
      </c>
      <c r="AH695" s="357">
        <f t="shared" ca="1" si="318"/>
        <v>-7.9201306355748127</v>
      </c>
    </row>
    <row r="696" spans="1:34">
      <c r="A696" s="402">
        <f t="shared" ca="1" si="296"/>
        <v>1E-4</v>
      </c>
      <c r="B696" s="357">
        <f t="shared" ca="1" si="297"/>
        <v>16.934299999999894</v>
      </c>
      <c r="C696" s="342"/>
      <c r="D696" s="359">
        <f t="shared" ca="1" si="298"/>
        <v>-0.70577644990857402</v>
      </c>
      <c r="E696" s="360">
        <f t="shared" ca="1" si="299"/>
        <v>-1.9213215838356019</v>
      </c>
      <c r="F696" s="357">
        <f t="shared" ca="1" si="300"/>
        <v>2.0468505137791806</v>
      </c>
      <c r="G696" s="359">
        <f t="shared" ca="1" si="301"/>
        <v>4.996775563608411</v>
      </c>
      <c r="H696" s="360">
        <f t="shared" ca="1" si="302"/>
        <v>-55.851463888967913</v>
      </c>
      <c r="I696" s="357">
        <f t="shared" ca="1" si="303"/>
        <v>56.074537756220167</v>
      </c>
      <c r="J696" s="359">
        <f t="shared" ca="1" si="304"/>
        <v>184.26379383972827</v>
      </c>
      <c r="K696" s="360">
        <f t="shared" ca="1" si="305"/>
        <v>-6.8852955196824173</v>
      </c>
      <c r="L696" s="357">
        <f t="shared" ca="1" si="290"/>
        <v>184.39238871114839</v>
      </c>
      <c r="M696" s="359">
        <f t="shared" ca="1" si="306"/>
        <v>-1.4815684467647912</v>
      </c>
      <c r="N696" s="357">
        <f t="shared" ca="1" si="307"/>
        <v>-84.887619059375325</v>
      </c>
      <c r="O696" s="343"/>
      <c r="P696" s="363">
        <f t="shared" ca="1" si="308"/>
        <v>23</v>
      </c>
      <c r="Q696" s="357">
        <f t="shared" ca="1" si="309"/>
        <v>0</v>
      </c>
      <c r="R696" s="359">
        <f t="shared" ca="1" si="310"/>
        <v>0</v>
      </c>
      <c r="S696" s="360">
        <f t="shared" ca="1" si="311"/>
        <v>0.42898953648292248</v>
      </c>
      <c r="T696" s="357">
        <f t="shared" ca="1" si="291"/>
        <v>4.2083873528974696</v>
      </c>
      <c r="U696" s="364">
        <f t="shared" ca="1" si="292"/>
        <v>0</v>
      </c>
      <c r="V696" s="359">
        <f t="shared" ca="1" si="293"/>
        <v>1.2258437391708377</v>
      </c>
      <c r="W696" s="357">
        <f t="shared" ca="1" si="294"/>
        <v>3.3977018236049967</v>
      </c>
      <c r="X696" s="343"/>
      <c r="Y696" s="367" t="str">
        <f t="shared" ca="1" si="312"/>
        <v/>
      </c>
      <c r="Z696" s="368" t="str">
        <f t="shared" ca="1" si="313"/>
        <v/>
      </c>
      <c r="AA696" s="369" t="str">
        <f t="shared" ca="1" si="314"/>
        <v/>
      </c>
      <c r="AB696" s="344"/>
      <c r="AC696" s="363" t="e">
        <f t="shared" ca="1" si="315"/>
        <v>#N/A</v>
      </c>
      <c r="AD696" s="376" t="e">
        <f t="shared" ca="1" si="316"/>
        <v>#N/A</v>
      </c>
      <c r="AE696" s="377" t="e">
        <f t="shared" ca="1" si="295"/>
        <v>#N/A</v>
      </c>
      <c r="AF696" s="344"/>
      <c r="AG696" s="359">
        <f t="shared" ca="1" si="317"/>
        <v>1.8507854772287411</v>
      </c>
      <c r="AH696" s="357">
        <f t="shared" ca="1" si="318"/>
        <v>-7.9201873431695793</v>
      </c>
    </row>
    <row r="697" spans="1:34">
      <c r="A697" s="402">
        <f t="shared" ca="1" si="296"/>
        <v>1E-4</v>
      </c>
      <c r="B697" s="357">
        <f t="shared" ca="1" si="297"/>
        <v>16.934399999999894</v>
      </c>
      <c r="C697" s="342"/>
      <c r="D697" s="359">
        <f t="shared" ca="1" si="298"/>
        <v>-0.70576920484225514</v>
      </c>
      <c r="E697" s="360">
        <f t="shared" ca="1" si="299"/>
        <v>-1.9212640028748789</v>
      </c>
      <c r="F697" s="357">
        <f t="shared" ca="1" si="300"/>
        <v>2.0467939659981589</v>
      </c>
      <c r="G697" s="359">
        <f t="shared" ca="1" si="301"/>
        <v>4.9967049866879272</v>
      </c>
      <c r="H697" s="360">
        <f t="shared" ca="1" si="302"/>
        <v>-55.851656015368199</v>
      </c>
      <c r="I697" s="357">
        <f t="shared" ca="1" si="303"/>
        <v>56.074722829301678</v>
      </c>
      <c r="J697" s="359">
        <f t="shared" ca="1" si="304"/>
        <v>184.26379383972827</v>
      </c>
      <c r="K697" s="360">
        <f t="shared" ca="1" si="305"/>
        <v>-6.890880675677634</v>
      </c>
      <c r="L697" s="357">
        <f t="shared" ca="1" si="290"/>
        <v>184.39259734787706</v>
      </c>
      <c r="M697" s="359">
        <f t="shared" ca="1" si="306"/>
        <v>-1.4815700056926298</v>
      </c>
      <c r="N697" s="357">
        <f t="shared" ca="1" si="307"/>
        <v>-84.88770837936103</v>
      </c>
      <c r="O697" s="343"/>
      <c r="P697" s="363">
        <f t="shared" ca="1" si="308"/>
        <v>23</v>
      </c>
      <c r="Q697" s="357">
        <f t="shared" ca="1" si="309"/>
        <v>0</v>
      </c>
      <c r="R697" s="359">
        <f t="shared" ca="1" si="310"/>
        <v>0</v>
      </c>
      <c r="S697" s="360">
        <f t="shared" ca="1" si="311"/>
        <v>0.42898953648292248</v>
      </c>
      <c r="T697" s="357">
        <f t="shared" ca="1" si="291"/>
        <v>4.2083873528974696</v>
      </c>
      <c r="U697" s="364">
        <f t="shared" ca="1" si="292"/>
        <v>0</v>
      </c>
      <c r="V697" s="359">
        <f t="shared" ca="1" si="293"/>
        <v>1.225844423823961</v>
      </c>
      <c r="W697" s="357">
        <f t="shared" ca="1" si="294"/>
        <v>3.3977261494417537</v>
      </c>
      <c r="X697" s="343"/>
      <c r="Y697" s="367" t="str">
        <f t="shared" ca="1" si="312"/>
        <v/>
      </c>
      <c r="Z697" s="368" t="str">
        <f t="shared" ca="1" si="313"/>
        <v/>
      </c>
      <c r="AA697" s="369" t="str">
        <f t="shared" ca="1" si="314"/>
        <v/>
      </c>
      <c r="AB697" s="344"/>
      <c r="AC697" s="363" t="e">
        <f t="shared" ca="1" si="315"/>
        <v>#N/A</v>
      </c>
      <c r="AD697" s="376" t="e">
        <f t="shared" ca="1" si="316"/>
        <v>#N/A</v>
      </c>
      <c r="AE697" s="377" t="e">
        <f t="shared" ca="1" si="295"/>
        <v>#N/A</v>
      </c>
      <c r="AF697" s="344"/>
      <c r="AG697" s="359">
        <f t="shared" ca="1" si="317"/>
        <v>1.8507301337481881</v>
      </c>
      <c r="AH697" s="357">
        <f t="shared" ca="1" si="318"/>
        <v>-7.9202440494495718</v>
      </c>
    </row>
    <row r="698" spans="1:34">
      <c r="A698" s="402">
        <f t="shared" ca="1" si="296"/>
        <v>1E-4</v>
      </c>
      <c r="B698" s="357">
        <f t="shared" ca="1" si="297"/>
        <v>16.934499999999893</v>
      </c>
      <c r="C698" s="342"/>
      <c r="D698" s="359">
        <f t="shared" ca="1" si="298"/>
        <v>-0.70576195973585232</v>
      </c>
      <c r="E698" s="360">
        <f t="shared" ca="1" si="299"/>
        <v>-1.9212064232498944</v>
      </c>
      <c r="F698" s="357">
        <f t="shared" ca="1" si="300"/>
        <v>2.0467374195403871</v>
      </c>
      <c r="G698" s="359">
        <f t="shared" ca="1" si="301"/>
        <v>4.9966344104919536</v>
      </c>
      <c r="H698" s="360">
        <f t="shared" ca="1" si="302"/>
        <v>-55.851848136010524</v>
      </c>
      <c r="I698" s="357">
        <f t="shared" ca="1" si="303"/>
        <v>56.074907896848963</v>
      </c>
      <c r="J698" s="359">
        <f t="shared" ca="1" si="304"/>
        <v>184.26379383972827</v>
      </c>
      <c r="K698" s="360">
        <f t="shared" ca="1" si="305"/>
        <v>-6.8964658508852033</v>
      </c>
      <c r="L698" s="357">
        <f t="shared" ca="1" si="290"/>
        <v>184.39280615425946</v>
      </c>
      <c r="M698" s="359">
        <f t="shared" ca="1" si="306"/>
        <v>-1.4815715645881593</v>
      </c>
      <c r="N698" s="357">
        <f t="shared" ca="1" si="307"/>
        <v>-84.887797697495586</v>
      </c>
      <c r="O698" s="343"/>
      <c r="P698" s="363">
        <f t="shared" ca="1" si="308"/>
        <v>23</v>
      </c>
      <c r="Q698" s="357">
        <f t="shared" ca="1" si="309"/>
        <v>0</v>
      </c>
      <c r="R698" s="359">
        <f t="shared" ca="1" si="310"/>
        <v>0</v>
      </c>
      <c r="S698" s="360">
        <f t="shared" ca="1" si="311"/>
        <v>0.42898953648292248</v>
      </c>
      <c r="T698" s="357">
        <f t="shared" ca="1" si="291"/>
        <v>4.2083873528974696</v>
      </c>
      <c r="U698" s="364">
        <f t="shared" ca="1" si="292"/>
        <v>0</v>
      </c>
      <c r="V698" s="359">
        <f t="shared" ca="1" si="293"/>
        <v>1.2258451084798221</v>
      </c>
      <c r="W698" s="357">
        <f t="shared" ca="1" si="294"/>
        <v>3.3977504747145044</v>
      </c>
      <c r="X698" s="343"/>
      <c r="Y698" s="367" t="str">
        <f t="shared" ca="1" si="312"/>
        <v/>
      </c>
      <c r="Z698" s="368" t="str">
        <f t="shared" ca="1" si="313"/>
        <v/>
      </c>
      <c r="AA698" s="369" t="str">
        <f t="shared" ca="1" si="314"/>
        <v/>
      </c>
      <c r="AB698" s="344"/>
      <c r="AC698" s="363" t="e">
        <f t="shared" ca="1" si="315"/>
        <v>#N/A</v>
      </c>
      <c r="AD698" s="376" t="e">
        <f t="shared" ca="1" si="316"/>
        <v>#N/A</v>
      </c>
      <c r="AE698" s="377" t="e">
        <f t="shared" ca="1" si="295"/>
        <v>#N/A</v>
      </c>
      <c r="AF698" s="344"/>
      <c r="AG698" s="359">
        <f t="shared" ca="1" si="317"/>
        <v>1.8506747915303885</v>
      </c>
      <c r="AH698" s="357">
        <f t="shared" ca="1" si="318"/>
        <v>-7.920300754414817</v>
      </c>
    </row>
    <row r="699" spans="1:34">
      <c r="A699" s="402">
        <f t="shared" ca="1" si="296"/>
        <v>1E-4</v>
      </c>
      <c r="B699" s="357">
        <f t="shared" ca="1" si="297"/>
        <v>16.934599999999893</v>
      </c>
      <c r="C699" s="342"/>
      <c r="D699" s="359">
        <f t="shared" ca="1" si="298"/>
        <v>-0.70575471458936978</v>
      </c>
      <c r="E699" s="360">
        <f t="shared" ca="1" si="299"/>
        <v>-1.9211488449606318</v>
      </c>
      <c r="F699" s="357">
        <f t="shared" ca="1" si="300"/>
        <v>2.0466808744058493</v>
      </c>
      <c r="G699" s="359">
        <f t="shared" ca="1" si="301"/>
        <v>4.9965638350204946</v>
      </c>
      <c r="H699" s="360">
        <f t="shared" ca="1" si="302"/>
        <v>-55.852040250895023</v>
      </c>
      <c r="I699" s="357">
        <f t="shared" ca="1" si="303"/>
        <v>56.075092958862157</v>
      </c>
      <c r="J699" s="359">
        <f t="shared" ca="1" si="304"/>
        <v>184.26379383972827</v>
      </c>
      <c r="K699" s="360">
        <f t="shared" ca="1" si="305"/>
        <v>-6.9020510453045487</v>
      </c>
      <c r="L699" s="357">
        <f t="shared" ca="1" si="290"/>
        <v>184.39301513029682</v>
      </c>
      <c r="M699" s="359">
        <f t="shared" ca="1" si="306"/>
        <v>-1.4815731234513807</v>
      </c>
      <c r="N699" s="357">
        <f t="shared" ca="1" si="307"/>
        <v>-84.887887013779007</v>
      </c>
      <c r="O699" s="343"/>
      <c r="P699" s="363">
        <f t="shared" ca="1" si="308"/>
        <v>23</v>
      </c>
      <c r="Q699" s="357">
        <f t="shared" ca="1" si="309"/>
        <v>0</v>
      </c>
      <c r="R699" s="359">
        <f t="shared" ca="1" si="310"/>
        <v>0</v>
      </c>
      <c r="S699" s="360">
        <f t="shared" ca="1" si="311"/>
        <v>0.42898953648292248</v>
      </c>
      <c r="T699" s="357">
        <f t="shared" ca="1" si="291"/>
        <v>4.2083873528974696</v>
      </c>
      <c r="U699" s="364">
        <f t="shared" ca="1" si="292"/>
        <v>0</v>
      </c>
      <c r="V699" s="359">
        <f t="shared" ca="1" si="293"/>
        <v>1.2258457931384206</v>
      </c>
      <c r="W699" s="357">
        <f t="shared" ca="1" si="294"/>
        <v>3.3977747994232561</v>
      </c>
      <c r="X699" s="343"/>
      <c r="Y699" s="367" t="str">
        <f t="shared" ca="1" si="312"/>
        <v/>
      </c>
      <c r="Z699" s="368" t="str">
        <f t="shared" ca="1" si="313"/>
        <v/>
      </c>
      <c r="AA699" s="369" t="str">
        <f t="shared" ca="1" si="314"/>
        <v/>
      </c>
      <c r="AB699" s="344"/>
      <c r="AC699" s="363" t="e">
        <f t="shared" ca="1" si="315"/>
        <v>#N/A</v>
      </c>
      <c r="AD699" s="376" t="e">
        <f t="shared" ca="1" si="316"/>
        <v>#N/A</v>
      </c>
      <c r="AE699" s="377" t="e">
        <f t="shared" ca="1" si="295"/>
        <v>#N/A</v>
      </c>
      <c r="AF699" s="344"/>
      <c r="AG699" s="359">
        <f t="shared" ca="1" si="317"/>
        <v>1.8506194505753335</v>
      </c>
      <c r="AH699" s="357">
        <f t="shared" ca="1" si="318"/>
        <v>-7.9203574580653306</v>
      </c>
    </row>
    <row r="700" spans="1:34">
      <c r="A700" s="402">
        <f t="shared" ca="1" si="296"/>
        <v>1E-4</v>
      </c>
      <c r="B700" s="357">
        <f t="shared" ca="1" si="297"/>
        <v>16.934699999999893</v>
      </c>
      <c r="C700" s="342"/>
      <c r="D700" s="359">
        <f t="shared" ca="1" si="298"/>
        <v>-0.70574746940281397</v>
      </c>
      <c r="E700" s="360">
        <f t="shared" ca="1" si="299"/>
        <v>-1.921091268007074</v>
      </c>
      <c r="F700" s="357">
        <f t="shared" ca="1" si="300"/>
        <v>2.0466243305945286</v>
      </c>
      <c r="G700" s="359">
        <f t="shared" ca="1" si="301"/>
        <v>4.9964932602735539</v>
      </c>
      <c r="H700" s="360">
        <f t="shared" ca="1" si="302"/>
        <v>-55.852232360021823</v>
      </c>
      <c r="I700" s="357">
        <f t="shared" ca="1" si="303"/>
        <v>56.075278015341375</v>
      </c>
      <c r="J700" s="359">
        <f t="shared" ca="1" si="304"/>
        <v>184.26379383972827</v>
      </c>
      <c r="K700" s="360">
        <f t="shared" ca="1" si="305"/>
        <v>-6.9076362589350948</v>
      </c>
      <c r="L700" s="357">
        <f t="shared" ca="1" si="290"/>
        <v>184.39322427599026</v>
      </c>
      <c r="M700" s="359">
        <f t="shared" ca="1" si="306"/>
        <v>-1.4815746822822948</v>
      </c>
      <c r="N700" s="357">
        <f t="shared" ca="1" si="307"/>
        <v>-84.887976328211366</v>
      </c>
      <c r="O700" s="343"/>
      <c r="P700" s="363">
        <f t="shared" ca="1" si="308"/>
        <v>23</v>
      </c>
      <c r="Q700" s="357">
        <f t="shared" ca="1" si="309"/>
        <v>0</v>
      </c>
      <c r="R700" s="359">
        <f t="shared" ca="1" si="310"/>
        <v>0</v>
      </c>
      <c r="S700" s="360">
        <f t="shared" ca="1" si="311"/>
        <v>0.42898953648292248</v>
      </c>
      <c r="T700" s="357">
        <f t="shared" ca="1" si="291"/>
        <v>4.2083873528974696</v>
      </c>
      <c r="U700" s="364">
        <f t="shared" ca="1" si="292"/>
        <v>0</v>
      </c>
      <c r="V700" s="359">
        <f t="shared" ca="1" si="293"/>
        <v>1.2258464777997571</v>
      </c>
      <c r="W700" s="357">
        <f t="shared" ca="1" si="294"/>
        <v>3.3977991235680185</v>
      </c>
      <c r="X700" s="343"/>
      <c r="Y700" s="367" t="str">
        <f t="shared" ca="1" si="312"/>
        <v/>
      </c>
      <c r="Z700" s="368" t="str">
        <f t="shared" ca="1" si="313"/>
        <v/>
      </c>
      <c r="AA700" s="369" t="str">
        <f t="shared" ca="1" si="314"/>
        <v/>
      </c>
      <c r="AB700" s="344"/>
      <c r="AC700" s="363" t="e">
        <f t="shared" ca="1" si="315"/>
        <v>#N/A</v>
      </c>
      <c r="AD700" s="376" t="e">
        <f t="shared" ca="1" si="316"/>
        <v>#N/A</v>
      </c>
      <c r="AE700" s="377" t="e">
        <f t="shared" ca="1" si="295"/>
        <v>#N/A</v>
      </c>
      <c r="AF700" s="344"/>
      <c r="AG700" s="359">
        <f t="shared" ca="1" si="317"/>
        <v>1.8505641108830071</v>
      </c>
      <c r="AH700" s="357">
        <f t="shared" ca="1" si="318"/>
        <v>-7.9204141604011289</v>
      </c>
    </row>
    <row r="701" spans="1:34">
      <c r="A701" s="402">
        <f t="shared" ca="1" si="296"/>
        <v>1E-4</v>
      </c>
      <c r="B701" s="357">
        <f t="shared" ca="1" si="297"/>
        <v>16.934799999999893</v>
      </c>
      <c r="C701" s="342"/>
      <c r="D701" s="359">
        <f t="shared" ca="1" si="298"/>
        <v>-0.70574022417619153</v>
      </c>
      <c r="E701" s="360">
        <f t="shared" ca="1" si="299"/>
        <v>-1.9210336923891971</v>
      </c>
      <c r="F701" s="357">
        <f t="shared" ca="1" si="300"/>
        <v>2.0465677881064024</v>
      </c>
      <c r="G701" s="359">
        <f t="shared" ca="1" si="301"/>
        <v>4.9964226862511358</v>
      </c>
      <c r="H701" s="360">
        <f t="shared" ca="1" si="302"/>
        <v>-55.85242446339106</v>
      </c>
      <c r="I701" s="357">
        <f t="shared" ca="1" si="303"/>
        <v>56.075463066286751</v>
      </c>
      <c r="J701" s="359">
        <f t="shared" ca="1" si="304"/>
        <v>184.26379383972827</v>
      </c>
      <c r="K701" s="360">
        <f t="shared" ca="1" si="305"/>
        <v>-6.9132214917762651</v>
      </c>
      <c r="L701" s="357">
        <f t="shared" ca="1" si="290"/>
        <v>184.39343359134088</v>
      </c>
      <c r="M701" s="359">
        <f t="shared" ca="1" si="306"/>
        <v>-1.4815762410809026</v>
      </c>
      <c r="N701" s="357">
        <f t="shared" ca="1" si="307"/>
        <v>-84.888065640792689</v>
      </c>
      <c r="O701" s="343"/>
      <c r="P701" s="363">
        <f t="shared" ca="1" si="308"/>
        <v>23</v>
      </c>
      <c r="Q701" s="357">
        <f t="shared" ca="1" si="309"/>
        <v>0</v>
      </c>
      <c r="R701" s="359">
        <f t="shared" ca="1" si="310"/>
        <v>0</v>
      </c>
      <c r="S701" s="360">
        <f t="shared" ca="1" si="311"/>
        <v>0.42898953648292248</v>
      </c>
      <c r="T701" s="357">
        <f t="shared" ca="1" si="291"/>
        <v>4.2083873528974696</v>
      </c>
      <c r="U701" s="364">
        <f t="shared" ca="1" si="292"/>
        <v>0</v>
      </c>
      <c r="V701" s="359">
        <f t="shared" ca="1" si="293"/>
        <v>1.2258471624638303</v>
      </c>
      <c r="W701" s="357">
        <f t="shared" ca="1" si="294"/>
        <v>3.3978234471487951</v>
      </c>
      <c r="X701" s="343"/>
      <c r="Y701" s="367" t="str">
        <f t="shared" ca="1" si="312"/>
        <v/>
      </c>
      <c r="Z701" s="368" t="str">
        <f t="shared" ca="1" si="313"/>
        <v/>
      </c>
      <c r="AA701" s="369" t="str">
        <f t="shared" ca="1" si="314"/>
        <v/>
      </c>
      <c r="AB701" s="344"/>
      <c r="AC701" s="363" t="e">
        <f t="shared" ca="1" si="315"/>
        <v>#N/A</v>
      </c>
      <c r="AD701" s="376" t="e">
        <f t="shared" ca="1" si="316"/>
        <v>#N/A</v>
      </c>
      <c r="AE701" s="377" t="e">
        <f t="shared" ca="1" si="295"/>
        <v>#N/A</v>
      </c>
      <c r="AF701" s="344"/>
      <c r="AG701" s="359">
        <f t="shared" ca="1" si="317"/>
        <v>1.8505087724533871</v>
      </c>
      <c r="AH701" s="357">
        <f t="shared" ca="1" si="318"/>
        <v>-7.9204708614222357</v>
      </c>
    </row>
    <row r="702" spans="1:34">
      <c r="A702" s="402">
        <f t="shared" ca="1" si="296"/>
        <v>1E-4</v>
      </c>
      <c r="B702" s="357">
        <f t="shared" ca="1" si="297"/>
        <v>16.934899999999892</v>
      </c>
      <c r="C702" s="342"/>
      <c r="D702" s="359">
        <f t="shared" ca="1" si="298"/>
        <v>-0.7057329789095077</v>
      </c>
      <c r="E702" s="360">
        <f t="shared" ca="1" si="299"/>
        <v>-1.9209761181069949</v>
      </c>
      <c r="F702" s="357">
        <f t="shared" ca="1" si="300"/>
        <v>2.0465112469414644</v>
      </c>
      <c r="G702" s="359">
        <f t="shared" ca="1" si="301"/>
        <v>4.9963521129532449</v>
      </c>
      <c r="H702" s="360">
        <f t="shared" ca="1" si="302"/>
        <v>-55.852616561002868</v>
      </c>
      <c r="I702" s="357">
        <f t="shared" ca="1" si="303"/>
        <v>56.075648111698399</v>
      </c>
      <c r="J702" s="359">
        <f t="shared" ca="1" si="304"/>
        <v>184.26379383972827</v>
      </c>
      <c r="K702" s="360">
        <f t="shared" ca="1" si="305"/>
        <v>-6.918806743827485</v>
      </c>
      <c r="L702" s="357">
        <f t="shared" ca="1" si="290"/>
        <v>184.39364307634989</v>
      </c>
      <c r="M702" s="359">
        <f t="shared" ca="1" si="306"/>
        <v>-1.4815777998472051</v>
      </c>
      <c r="N702" s="357">
        <f t="shared" ca="1" si="307"/>
        <v>-84.888154951523077</v>
      </c>
      <c r="O702" s="343"/>
      <c r="P702" s="363">
        <f t="shared" ca="1" si="308"/>
        <v>23</v>
      </c>
      <c r="Q702" s="357">
        <f t="shared" ca="1" si="309"/>
        <v>0</v>
      </c>
      <c r="R702" s="359">
        <f t="shared" ca="1" si="310"/>
        <v>0</v>
      </c>
      <c r="S702" s="360">
        <f t="shared" ca="1" si="311"/>
        <v>0.42898953648292248</v>
      </c>
      <c r="T702" s="357">
        <f t="shared" ca="1" si="291"/>
        <v>4.2083873528974696</v>
      </c>
      <c r="U702" s="364">
        <f t="shared" ca="1" si="292"/>
        <v>0</v>
      </c>
      <c r="V702" s="359">
        <f t="shared" ca="1" si="293"/>
        <v>1.2258478471306411</v>
      </c>
      <c r="W702" s="357">
        <f t="shared" ca="1" si="294"/>
        <v>3.3978477701655954</v>
      </c>
      <c r="X702" s="343"/>
      <c r="Y702" s="367" t="str">
        <f t="shared" ca="1" si="312"/>
        <v/>
      </c>
      <c r="Z702" s="368" t="str">
        <f t="shared" ca="1" si="313"/>
        <v/>
      </c>
      <c r="AA702" s="369" t="str">
        <f t="shared" ca="1" si="314"/>
        <v/>
      </c>
      <c r="AB702" s="344"/>
      <c r="AC702" s="363" t="e">
        <f t="shared" ca="1" si="315"/>
        <v>#N/A</v>
      </c>
      <c r="AD702" s="376" t="e">
        <f t="shared" ca="1" si="316"/>
        <v>#N/A</v>
      </c>
      <c r="AE702" s="377" t="e">
        <f t="shared" ca="1" si="295"/>
        <v>#N/A</v>
      </c>
      <c r="AF702" s="344"/>
      <c r="AG702" s="359">
        <f t="shared" ca="1" si="317"/>
        <v>1.8504534352864708</v>
      </c>
      <c r="AH702" s="357">
        <f t="shared" ca="1" si="318"/>
        <v>-7.9205275611286572</v>
      </c>
    </row>
    <row r="703" spans="1:34">
      <c r="A703" s="402">
        <f t="shared" ca="1" si="296"/>
        <v>1E-4</v>
      </c>
      <c r="B703" s="357">
        <f t="shared" ca="1" si="297"/>
        <v>16.934999999999892</v>
      </c>
      <c r="C703" s="342"/>
      <c r="D703" s="359">
        <f t="shared" ca="1" si="298"/>
        <v>-0.70572573360276747</v>
      </c>
      <c r="E703" s="360">
        <f t="shared" ca="1" si="299"/>
        <v>-1.9209185451604442</v>
      </c>
      <c r="F703" s="357">
        <f t="shared" ca="1" si="300"/>
        <v>2.046454707099691</v>
      </c>
      <c r="G703" s="359">
        <f t="shared" ca="1" si="301"/>
        <v>4.9962815403798846</v>
      </c>
      <c r="H703" s="360">
        <f t="shared" ca="1" si="302"/>
        <v>-55.852808652857384</v>
      </c>
      <c r="I703" s="357">
        <f t="shared" ca="1" si="303"/>
        <v>56.075833151576461</v>
      </c>
      <c r="J703" s="359">
        <f t="shared" ca="1" si="304"/>
        <v>184.26379383972827</v>
      </c>
      <c r="K703" s="360">
        <f t="shared" ca="1" si="305"/>
        <v>-6.9243920150881779</v>
      </c>
      <c r="L703" s="357">
        <f t="shared" ca="1" si="290"/>
        <v>184.3938527310184</v>
      </c>
      <c r="M703" s="359">
        <f t="shared" ca="1" si="306"/>
        <v>-1.4815793585812027</v>
      </c>
      <c r="N703" s="357">
        <f t="shared" ca="1" si="307"/>
        <v>-84.888244260402516</v>
      </c>
      <c r="O703" s="343"/>
      <c r="P703" s="363">
        <f t="shared" ca="1" si="308"/>
        <v>23</v>
      </c>
      <c r="Q703" s="357">
        <f t="shared" ca="1" si="309"/>
        <v>0</v>
      </c>
      <c r="R703" s="359">
        <f t="shared" ca="1" si="310"/>
        <v>0</v>
      </c>
      <c r="S703" s="360">
        <f t="shared" ca="1" si="311"/>
        <v>0.42898953648292248</v>
      </c>
      <c r="T703" s="357">
        <f t="shared" ca="1" si="291"/>
        <v>4.2083873528974696</v>
      </c>
      <c r="U703" s="364">
        <f t="shared" ca="1" si="292"/>
        <v>0</v>
      </c>
      <c r="V703" s="359">
        <f t="shared" ca="1" si="293"/>
        <v>1.2258485318001895</v>
      </c>
      <c r="W703" s="357">
        <f t="shared" ca="1" si="294"/>
        <v>3.3978720926184294</v>
      </c>
      <c r="X703" s="343"/>
      <c r="Y703" s="367" t="str">
        <f t="shared" ca="1" si="312"/>
        <v/>
      </c>
      <c r="Z703" s="368" t="str">
        <f t="shared" ca="1" si="313"/>
        <v/>
      </c>
      <c r="AA703" s="369" t="str">
        <f t="shared" ca="1" si="314"/>
        <v/>
      </c>
      <c r="AB703" s="344"/>
      <c r="AC703" s="363" t="e">
        <f t="shared" ca="1" si="315"/>
        <v>#N/A</v>
      </c>
      <c r="AD703" s="376" t="e">
        <f t="shared" ca="1" si="316"/>
        <v>#N/A</v>
      </c>
      <c r="AE703" s="377" t="e">
        <f t="shared" ca="1" si="295"/>
        <v>#N/A</v>
      </c>
      <c r="AF703" s="344"/>
      <c r="AG703" s="359">
        <f t="shared" ca="1" si="317"/>
        <v>1.8503980993822404</v>
      </c>
      <c r="AH703" s="357">
        <f t="shared" ca="1" si="318"/>
        <v>-7.9205842595204166</v>
      </c>
    </row>
    <row r="704" spans="1:34">
      <c r="A704" s="402">
        <f t="shared" ca="1" si="296"/>
        <v>1E-4</v>
      </c>
      <c r="B704" s="357">
        <f t="shared" ca="1" si="297"/>
        <v>16.935099999999892</v>
      </c>
      <c r="C704" s="342"/>
      <c r="D704" s="359">
        <f t="shared" ca="1" si="298"/>
        <v>-0.70571848825598127</v>
      </c>
      <c r="E704" s="360">
        <f t="shared" ca="1" si="299"/>
        <v>-1.9208609735495195</v>
      </c>
      <c r="F704" s="357">
        <f t="shared" ca="1" si="300"/>
        <v>2.0463981685810597</v>
      </c>
      <c r="G704" s="359">
        <f t="shared" ca="1" si="301"/>
        <v>4.9962109685310594</v>
      </c>
      <c r="H704" s="360">
        <f t="shared" ca="1" si="302"/>
        <v>-55.853000738954741</v>
      </c>
      <c r="I704" s="357">
        <f t="shared" ca="1" si="303"/>
        <v>56.076018185921058</v>
      </c>
      <c r="J704" s="359">
        <f t="shared" ca="1" si="304"/>
        <v>184.26379383972827</v>
      </c>
      <c r="K704" s="360">
        <f t="shared" ca="1" si="305"/>
        <v>-6.9299773055577685</v>
      </c>
      <c r="L704" s="357">
        <f t="shared" ca="1" si="290"/>
        <v>184.39406255534757</v>
      </c>
      <c r="M704" s="359">
        <f t="shared" ca="1" si="306"/>
        <v>-1.4815809172828971</v>
      </c>
      <c r="N704" s="357">
        <f t="shared" ca="1" si="307"/>
        <v>-84.888333567431133</v>
      </c>
      <c r="O704" s="343"/>
      <c r="P704" s="363">
        <f t="shared" ca="1" si="308"/>
        <v>23</v>
      </c>
      <c r="Q704" s="357">
        <f t="shared" ca="1" si="309"/>
        <v>0</v>
      </c>
      <c r="R704" s="359">
        <f t="shared" ca="1" si="310"/>
        <v>0</v>
      </c>
      <c r="S704" s="360">
        <f t="shared" ca="1" si="311"/>
        <v>0.42898953648292248</v>
      </c>
      <c r="T704" s="357">
        <f t="shared" ca="1" si="291"/>
        <v>4.2083873528974696</v>
      </c>
      <c r="U704" s="364">
        <f t="shared" ca="1" si="292"/>
        <v>0</v>
      </c>
      <c r="V704" s="359">
        <f t="shared" ca="1" si="293"/>
        <v>1.225849216472475</v>
      </c>
      <c r="W704" s="357">
        <f t="shared" ca="1" si="294"/>
        <v>3.3978964145073016</v>
      </c>
      <c r="X704" s="343"/>
      <c r="Y704" s="367" t="str">
        <f t="shared" ca="1" si="312"/>
        <v/>
      </c>
      <c r="Z704" s="368" t="str">
        <f t="shared" ca="1" si="313"/>
        <v/>
      </c>
      <c r="AA704" s="369" t="str">
        <f t="shared" ca="1" si="314"/>
        <v/>
      </c>
      <c r="AB704" s="344"/>
      <c r="AC704" s="363" t="e">
        <f t="shared" ca="1" si="315"/>
        <v>#N/A</v>
      </c>
      <c r="AD704" s="376" t="e">
        <f t="shared" ca="1" si="316"/>
        <v>#N/A</v>
      </c>
      <c r="AE704" s="377" t="e">
        <f t="shared" ca="1" si="295"/>
        <v>#N/A</v>
      </c>
      <c r="AF704" s="344"/>
      <c r="AG704" s="359">
        <f t="shared" ca="1" si="317"/>
        <v>1.8503427647406685</v>
      </c>
      <c r="AH704" s="357">
        <f t="shared" ca="1" si="318"/>
        <v>-7.9206409565975378</v>
      </c>
    </row>
    <row r="705" spans="1:34">
      <c r="A705" s="402">
        <f t="shared" ca="1" si="296"/>
        <v>1E-4</v>
      </c>
      <c r="B705" s="357">
        <f t="shared" ca="1" si="297"/>
        <v>16.935199999999892</v>
      </c>
      <c r="C705" s="342"/>
      <c r="D705" s="359">
        <f t="shared" ca="1" si="298"/>
        <v>-0.70571124286914932</v>
      </c>
      <c r="E705" s="360">
        <f t="shared" ca="1" si="299"/>
        <v>-1.9208034032742116</v>
      </c>
      <c r="F705" s="357">
        <f t="shared" ca="1" si="300"/>
        <v>2.0463416313855594</v>
      </c>
      <c r="G705" s="359">
        <f t="shared" ca="1" si="301"/>
        <v>4.9961403974067728</v>
      </c>
      <c r="H705" s="360">
        <f t="shared" ca="1" si="302"/>
        <v>-55.853192819295067</v>
      </c>
      <c r="I705" s="357">
        <f t="shared" ca="1" si="303"/>
        <v>56.07620321473231</v>
      </c>
      <c r="J705" s="359">
        <f t="shared" ca="1" si="304"/>
        <v>184.26379383972827</v>
      </c>
      <c r="K705" s="360">
        <f t="shared" ca="1" si="305"/>
        <v>-6.9355626152356811</v>
      </c>
      <c r="L705" s="357">
        <f t="shared" ca="1" si="290"/>
        <v>184.39427254933852</v>
      </c>
      <c r="M705" s="359">
        <f t="shared" ca="1" si="306"/>
        <v>-1.4815824759522886</v>
      </c>
      <c r="N705" s="357">
        <f t="shared" ca="1" si="307"/>
        <v>-84.888422872608928</v>
      </c>
      <c r="O705" s="343"/>
      <c r="P705" s="363">
        <f t="shared" ca="1" si="308"/>
        <v>23</v>
      </c>
      <c r="Q705" s="357">
        <f t="shared" ca="1" si="309"/>
        <v>0</v>
      </c>
      <c r="R705" s="359">
        <f t="shared" ca="1" si="310"/>
        <v>0</v>
      </c>
      <c r="S705" s="360">
        <f t="shared" ca="1" si="311"/>
        <v>0.42898953648292248</v>
      </c>
      <c r="T705" s="357">
        <f t="shared" ca="1" si="291"/>
        <v>4.2083873528974696</v>
      </c>
      <c r="U705" s="364">
        <f t="shared" ca="1" si="292"/>
        <v>0</v>
      </c>
      <c r="V705" s="359">
        <f t="shared" ca="1" si="293"/>
        <v>1.2258499011474977</v>
      </c>
      <c r="W705" s="357">
        <f t="shared" ca="1" si="294"/>
        <v>3.397920735832221</v>
      </c>
      <c r="X705" s="343"/>
      <c r="Y705" s="367" t="str">
        <f t="shared" ca="1" si="312"/>
        <v/>
      </c>
      <c r="Z705" s="368" t="str">
        <f t="shared" ca="1" si="313"/>
        <v/>
      </c>
      <c r="AA705" s="369" t="str">
        <f t="shared" ca="1" si="314"/>
        <v/>
      </c>
      <c r="AB705" s="344"/>
      <c r="AC705" s="363" t="e">
        <f t="shared" ca="1" si="315"/>
        <v>#N/A</v>
      </c>
      <c r="AD705" s="376" t="e">
        <f t="shared" ca="1" si="316"/>
        <v>#N/A</v>
      </c>
      <c r="AE705" s="377" t="e">
        <f t="shared" ca="1" si="295"/>
        <v>#N/A</v>
      </c>
      <c r="AF705" s="344"/>
      <c r="AG705" s="359">
        <f t="shared" ca="1" si="317"/>
        <v>1.8502874313617506</v>
      </c>
      <c r="AH705" s="357">
        <f t="shared" ca="1" si="318"/>
        <v>-7.9206976523600305</v>
      </c>
    </row>
    <row r="706" spans="1:34">
      <c r="A706" s="402">
        <f t="shared" ca="1" si="296"/>
        <v>1E-4</v>
      </c>
      <c r="B706" s="357">
        <f t="shared" ca="1" si="297"/>
        <v>16.935299999999891</v>
      </c>
      <c r="C706" s="342"/>
      <c r="D706" s="359">
        <f t="shared" ca="1" si="298"/>
        <v>-0.70570399744228174</v>
      </c>
      <c r="E706" s="360">
        <f t="shared" ca="1" si="299"/>
        <v>-1.9207458343344994</v>
      </c>
      <c r="F706" s="357">
        <f t="shared" ca="1" si="300"/>
        <v>2.0462850955131713</v>
      </c>
      <c r="G706" s="359">
        <f t="shared" ca="1" si="301"/>
        <v>4.9960698270070285</v>
      </c>
      <c r="H706" s="360">
        <f t="shared" ca="1" si="302"/>
        <v>-55.853384893878498</v>
      </c>
      <c r="I706" s="357">
        <f t="shared" ca="1" si="303"/>
        <v>56.076388238010345</v>
      </c>
      <c r="J706" s="359">
        <f t="shared" ca="1" si="304"/>
        <v>184.26379383972827</v>
      </c>
      <c r="K706" s="360">
        <f t="shared" ca="1" si="305"/>
        <v>-6.9411479441213402</v>
      </c>
      <c r="L706" s="357">
        <f t="shared" ca="1" si="290"/>
        <v>184.39448271299244</v>
      </c>
      <c r="M706" s="359">
        <f t="shared" ca="1" si="306"/>
        <v>-1.4815840345893785</v>
      </c>
      <c r="N706" s="357">
        <f t="shared" ca="1" si="307"/>
        <v>-84.888512175935958</v>
      </c>
      <c r="O706" s="343"/>
      <c r="P706" s="363">
        <f t="shared" ca="1" si="308"/>
        <v>23</v>
      </c>
      <c r="Q706" s="357">
        <f t="shared" ca="1" si="309"/>
        <v>0</v>
      </c>
      <c r="R706" s="359">
        <f t="shared" ca="1" si="310"/>
        <v>0</v>
      </c>
      <c r="S706" s="360">
        <f t="shared" ca="1" si="311"/>
        <v>0.42898953648292248</v>
      </c>
      <c r="T706" s="357">
        <f t="shared" ca="1" si="291"/>
        <v>4.2083873528974696</v>
      </c>
      <c r="U706" s="364">
        <f t="shared" ca="1" si="292"/>
        <v>0</v>
      </c>
      <c r="V706" s="359">
        <f t="shared" ca="1" si="293"/>
        <v>1.2258505858252577</v>
      </c>
      <c r="W706" s="357">
        <f t="shared" ca="1" si="294"/>
        <v>3.397945056593195</v>
      </c>
      <c r="X706" s="343"/>
      <c r="Y706" s="367" t="str">
        <f t="shared" ca="1" si="312"/>
        <v/>
      </c>
      <c r="Z706" s="368" t="str">
        <f t="shared" ca="1" si="313"/>
        <v/>
      </c>
      <c r="AA706" s="369" t="str">
        <f t="shared" ca="1" si="314"/>
        <v/>
      </c>
      <c r="AB706" s="344"/>
      <c r="AC706" s="363" t="e">
        <f t="shared" ca="1" si="315"/>
        <v>#N/A</v>
      </c>
      <c r="AD706" s="376" t="e">
        <f t="shared" ca="1" si="316"/>
        <v>#N/A</v>
      </c>
      <c r="AE706" s="377" t="e">
        <f t="shared" ca="1" si="295"/>
        <v>#N/A</v>
      </c>
      <c r="AF706" s="344"/>
      <c r="AG706" s="359">
        <f t="shared" ca="1" si="317"/>
        <v>1.8502320992454679</v>
      </c>
      <c r="AH706" s="357">
        <f t="shared" ca="1" si="318"/>
        <v>-7.9207543468079153</v>
      </c>
    </row>
    <row r="707" spans="1:34">
      <c r="A707" s="402">
        <f t="shared" ca="1" si="296"/>
        <v>1E-4</v>
      </c>
      <c r="B707" s="357">
        <f t="shared" ca="1" si="297"/>
        <v>16.935399999999891</v>
      </c>
      <c r="C707" s="342"/>
      <c r="D707" s="359">
        <f t="shared" ca="1" si="298"/>
        <v>-0.70569675197538284</v>
      </c>
      <c r="E707" s="360">
        <f t="shared" ca="1" si="299"/>
        <v>-1.9206882667303642</v>
      </c>
      <c r="F707" s="357">
        <f t="shared" ca="1" si="300"/>
        <v>2.0462285609638764</v>
      </c>
      <c r="G707" s="359">
        <f t="shared" ca="1" si="301"/>
        <v>4.9959992573318308</v>
      </c>
      <c r="H707" s="360">
        <f t="shared" ca="1" si="302"/>
        <v>-55.853576962705169</v>
      </c>
      <c r="I707" s="357">
        <f t="shared" ca="1" si="303"/>
        <v>56.076573255755292</v>
      </c>
      <c r="J707" s="359">
        <f t="shared" ca="1" si="304"/>
        <v>184.26379383972827</v>
      </c>
      <c r="K707" s="360">
        <f t="shared" ca="1" si="305"/>
        <v>-6.9467332922141694</v>
      </c>
      <c r="L707" s="357">
        <f t="shared" ca="1" si="290"/>
        <v>184.39469304631041</v>
      </c>
      <c r="M707" s="359">
        <f t="shared" ca="1" si="306"/>
        <v>-1.4815855931941677</v>
      </c>
      <c r="N707" s="357">
        <f t="shared" ca="1" si="307"/>
        <v>-84.888601477412308</v>
      </c>
      <c r="O707" s="343"/>
      <c r="P707" s="363">
        <f t="shared" ca="1" si="308"/>
        <v>23</v>
      </c>
      <c r="Q707" s="357">
        <f t="shared" ca="1" si="309"/>
        <v>0</v>
      </c>
      <c r="R707" s="359">
        <f t="shared" ca="1" si="310"/>
        <v>0</v>
      </c>
      <c r="S707" s="360">
        <f t="shared" ca="1" si="311"/>
        <v>0.42898953648292248</v>
      </c>
      <c r="T707" s="357">
        <f t="shared" ca="1" si="291"/>
        <v>4.2083873528974696</v>
      </c>
      <c r="U707" s="364">
        <f t="shared" ca="1" si="292"/>
        <v>0</v>
      </c>
      <c r="V707" s="359">
        <f t="shared" ca="1" si="293"/>
        <v>1.2258512705057545</v>
      </c>
      <c r="W707" s="357">
        <f t="shared" ca="1" si="294"/>
        <v>3.3979693767902295</v>
      </c>
      <c r="X707" s="343"/>
      <c r="Y707" s="367" t="str">
        <f t="shared" ca="1" si="312"/>
        <v/>
      </c>
      <c r="Z707" s="368" t="str">
        <f t="shared" ca="1" si="313"/>
        <v/>
      </c>
      <c r="AA707" s="369" t="str">
        <f t="shared" ca="1" si="314"/>
        <v/>
      </c>
      <c r="AB707" s="344"/>
      <c r="AC707" s="363" t="e">
        <f t="shared" ca="1" si="315"/>
        <v>#N/A</v>
      </c>
      <c r="AD707" s="376" t="e">
        <f t="shared" ca="1" si="316"/>
        <v>#N/A</v>
      </c>
      <c r="AE707" s="377" t="e">
        <f t="shared" ca="1" si="295"/>
        <v>#N/A</v>
      </c>
      <c r="AF707" s="344"/>
      <c r="AG707" s="359">
        <f t="shared" ca="1" si="317"/>
        <v>1.8501767683918082</v>
      </c>
      <c r="AH707" s="357">
        <f t="shared" ca="1" si="318"/>
        <v>-7.9208110399412099</v>
      </c>
    </row>
    <row r="708" spans="1:34">
      <c r="A708" s="402">
        <f t="shared" ca="1" si="296"/>
        <v>1E-4</v>
      </c>
      <c r="B708" s="357">
        <f t="shared" ca="1" si="297"/>
        <v>16.935499999999891</v>
      </c>
      <c r="C708" s="342"/>
      <c r="D708" s="359">
        <f t="shared" ca="1" si="298"/>
        <v>-0.70568950646845696</v>
      </c>
      <c r="E708" s="360">
        <f t="shared" ca="1" si="299"/>
        <v>-1.9206307004617926</v>
      </c>
      <c r="F708" s="357">
        <f t="shared" ca="1" si="300"/>
        <v>2.0461720277376609</v>
      </c>
      <c r="G708" s="359">
        <f t="shared" ca="1" si="301"/>
        <v>4.9959286883811842</v>
      </c>
      <c r="H708" s="360">
        <f t="shared" ca="1" si="302"/>
        <v>-55.853769025775215</v>
      </c>
      <c r="I708" s="357">
        <f t="shared" ca="1" si="303"/>
        <v>56.076758267967278</v>
      </c>
      <c r="J708" s="359">
        <f t="shared" ca="1" si="304"/>
        <v>184.26379383972827</v>
      </c>
      <c r="K708" s="360">
        <f t="shared" ca="1" si="305"/>
        <v>-6.9523186595135931</v>
      </c>
      <c r="L708" s="357">
        <f t="shared" ref="L708:L771" ca="1" si="319">SQRT(pos_x^2+pos_z^2)</f>
        <v>184.39490354929362</v>
      </c>
      <c r="M708" s="359">
        <f t="shared" ca="1" si="306"/>
        <v>-1.4815871517666568</v>
      </c>
      <c r="N708" s="357">
        <f t="shared" ca="1" si="307"/>
        <v>-84.888690777038008</v>
      </c>
      <c r="O708" s="343"/>
      <c r="P708" s="363">
        <f t="shared" ca="1" si="308"/>
        <v>23</v>
      </c>
      <c r="Q708" s="357">
        <f t="shared" ca="1" si="309"/>
        <v>0</v>
      </c>
      <c r="R708" s="359">
        <f t="shared" ca="1" si="310"/>
        <v>0</v>
      </c>
      <c r="S708" s="360">
        <f t="shared" ca="1" si="311"/>
        <v>0.42898953648292248</v>
      </c>
      <c r="T708" s="357">
        <f t="shared" ref="T708:T771" ca="1" si="320">m*g</f>
        <v>4.2083873528974696</v>
      </c>
      <c r="U708" s="364">
        <f t="shared" ref="U708:U771" ca="1" si="321">IF(pos_xz&lt;L_rampe,Poids*COS(Beta),0)</f>
        <v>0</v>
      </c>
      <c r="V708" s="359">
        <f t="shared" ref="V708:V771" ca="1" si="322">Rho_moyen*(20000-Alt_rampe-pos_z)/(20000+Alt_rampe+pos_z)</f>
        <v>1.2258519551889886</v>
      </c>
      <c r="W708" s="357">
        <f t="shared" ref="W708:W771" ca="1" si="323">1/2*Rho*Sref*Cx*vit_xz^2</f>
        <v>3.3979936964233364</v>
      </c>
      <c r="X708" s="343"/>
      <c r="Y708" s="367" t="str">
        <f t="shared" ca="1" si="312"/>
        <v/>
      </c>
      <c r="Z708" s="368" t="str">
        <f t="shared" ca="1" si="313"/>
        <v/>
      </c>
      <c r="AA708" s="369" t="str">
        <f t="shared" ca="1" si="314"/>
        <v/>
      </c>
      <c r="AB708" s="344"/>
      <c r="AC708" s="363" t="e">
        <f t="shared" ca="1" si="315"/>
        <v>#N/A</v>
      </c>
      <c r="AD708" s="376" t="e">
        <f t="shared" ca="1" si="316"/>
        <v>#N/A</v>
      </c>
      <c r="AE708" s="377" t="e">
        <f t="shared" ref="AE708:AE771" ca="1" si="324">IF(t&lt;T_para, pos_z, NA())</f>
        <v>#N/A</v>
      </c>
      <c r="AF708" s="344"/>
      <c r="AG708" s="359">
        <f t="shared" ca="1" si="317"/>
        <v>1.8501214388007536</v>
      </c>
      <c r="AH708" s="357">
        <f t="shared" ca="1" si="318"/>
        <v>-7.9208677317599285</v>
      </c>
    </row>
    <row r="709" spans="1:34">
      <c r="A709" s="402">
        <f t="shared" ref="A709:A772" ca="1" si="325">IF(B708+0.01&lt;=T_ini+ROUNDUP(Temps_fin_propu,0), 0.01, IF(K708&gt;0, 0.1, 0.0001))</f>
        <v>1E-4</v>
      </c>
      <c r="B709" s="357">
        <f t="shared" ref="B709:B772" ca="1" si="326">B708+pas</f>
        <v>16.935599999999891</v>
      </c>
      <c r="C709" s="342"/>
      <c r="D709" s="359">
        <f t="shared" ref="D709:D772" ca="1" si="327">IF(AND(L708&lt;L_rampe,Poussee&lt;Poids*SIN(M708)),0,(-W708+Poussee)/m*COS(M708)-U708/m*SIN(M708))</f>
        <v>-0.70568226092151476</v>
      </c>
      <c r="E709" s="360">
        <f t="shared" ref="E709:E772" ca="1" si="328">IF(AND(L708&lt;L_rampe,Poussee&lt;Poids*SIN(M708)),0,(-W708+Poussee)/m*SIN(M708)+U708/m*COS(M708)-Poids/m)</f>
        <v>-1.9205731355287581</v>
      </c>
      <c r="F709" s="357">
        <f t="shared" ref="F709:F772" ca="1" si="329">SQRT(acc_x^2+acc_z^2)</f>
        <v>2.0461154958345014</v>
      </c>
      <c r="G709" s="359">
        <f t="shared" ref="G709:G772" ca="1" si="330">G708+acc_x*pas</f>
        <v>4.9958581201550922</v>
      </c>
      <c r="H709" s="360">
        <f t="shared" ref="H709:H772" ca="1" si="331">H708+acc_z*pas</f>
        <v>-55.85396108308877</v>
      </c>
      <c r="I709" s="357">
        <f t="shared" ref="I709:I772" ca="1" si="332">SQRT(vit_x^2+vit_z^2)</f>
        <v>56.076943274646439</v>
      </c>
      <c r="J709" s="359">
        <f t="shared" ref="J709:J772" ca="1" si="333">J708+0.5*(vit_x+G708)*pas*(K708&gt;=0)</f>
        <v>184.26379383972827</v>
      </c>
      <c r="K709" s="360">
        <f t="shared" ref="K709:K772" ca="1" si="334">K708+0.5*(vit_z+H708)*pas</f>
        <v>-6.9579040460190367</v>
      </c>
      <c r="L709" s="357">
        <f t="shared" ca="1" si="319"/>
        <v>184.39511422194323</v>
      </c>
      <c r="M709" s="359">
        <f t="shared" ref="M709:M772" ca="1" si="335">IF(AND(L708&gt;L_rampe,G709&gt;0),ATAN2(G709,H709),$M$4)</f>
        <v>-1.4815887103068472</v>
      </c>
      <c r="N709" s="357">
        <f t="shared" ref="N709:N772" ca="1" si="336">DEGREES(Beta)</f>
        <v>-84.888780074813113</v>
      </c>
      <c r="O709" s="343"/>
      <c r="P709" s="363">
        <f t="shared" ref="P709:P772" ca="1" si="337">MATCH(t-pas/2-T_ini,CdP_t)</f>
        <v>23</v>
      </c>
      <c r="Q709" s="357">
        <f t="shared" ref="Q709:Q772" ca="1" si="338">(INDEX(CdP,2,i_P+1)-INDEX(CdP,2,i_P+0))/(INDEX(CdP,1,i_P+1)-INDEX(CdP,1,i_P+0))*(t-pas/2-T_ini-INDEX(CdP,1,i_P+0))+INDEX(CdP,2,i_P+0)</f>
        <v>0</v>
      </c>
      <c r="R709" s="359">
        <f t="shared" ref="R709:R772" ca="1" si="339">Poussee/(g*ISP)</f>
        <v>0</v>
      </c>
      <c r="S709" s="360">
        <f t="shared" ref="S709:S772" ca="1" si="340">S708-Débit*pas</f>
        <v>0.42898953648292248</v>
      </c>
      <c r="T709" s="357">
        <f t="shared" ca="1" si="320"/>
        <v>4.2083873528974696</v>
      </c>
      <c r="U709" s="364">
        <f t="shared" ca="1" si="321"/>
        <v>0</v>
      </c>
      <c r="V709" s="359">
        <f t="shared" ca="1" si="322"/>
        <v>1.2258526398749592</v>
      </c>
      <c r="W709" s="357">
        <f t="shared" ca="1" si="323"/>
        <v>3.3980180154925197</v>
      </c>
      <c r="X709" s="343"/>
      <c r="Y709" s="367" t="str">
        <f t="shared" ref="Y709:Y772" ca="1" si="341">IF(AND(pos_z&lt;=0,K708&gt;0),"Impact balistique","") &amp; IF(AND(H710&lt;0,vit_z&gt;=0),"Apogée","") &amp; IF(AND(Poussee=0,Q708&gt;0),"Fin de propulsion","") &amp; IF(AND(L710&gt;L_rampe,pos_xz&lt;=L_rampe),"Sortie de rampe","")</f>
        <v/>
      </c>
      <c r="Z709" s="368" t="str">
        <f t="shared" ref="Z709:Z772" ca="1" si="342">IF(ABS(t-T_para)&lt;pas/2,"Para","")</f>
        <v/>
      </c>
      <c r="AA709" s="369" t="str">
        <f t="shared" ref="AA709:AA772" ca="1" si="343">IF(ABS(t-T_satellite)&lt;pas/2,"Satellite","")</f>
        <v/>
      </c>
      <c r="AB709" s="344"/>
      <c r="AC709" s="363" t="e">
        <f t="shared" ref="AC709:AC772" ca="1" si="344">IF(ABS(t-ROUND(t,0))&lt;0.001,t,NA())</f>
        <v>#N/A</v>
      </c>
      <c r="AD709" s="376" t="e">
        <f t="shared" ref="AD709:AD772" ca="1" si="345">IF(ABS(t-ROUND(t,0))&lt;0.001,pos_x,NA())</f>
        <v>#N/A</v>
      </c>
      <c r="AE709" s="377" t="e">
        <f t="shared" ca="1" si="324"/>
        <v>#N/A</v>
      </c>
      <c r="AF709" s="344"/>
      <c r="AG709" s="359">
        <f t="shared" ref="AG709:AG772" ca="1" si="346">IF(AND(L708&lt;L_rampe,Poussee&lt;Poids*SIN(M708)),0,(-W708+Poussee)/m-Poids*SIN(M708)/m)</f>
        <v>1.8500661104722802</v>
      </c>
      <c r="AH709" s="357">
        <f t="shared" ref="AH709:AH772" ca="1" si="347">IF(AND(L708&lt;L_rampe,Poussee&lt;Poids*SIN(M708)), g*SIN(M708), (-W708+Poussee)/m)</f>
        <v>-7.9209244222640987</v>
      </c>
    </row>
    <row r="710" spans="1:34">
      <c r="A710" s="402">
        <f t="shared" ca="1" si="325"/>
        <v>1E-4</v>
      </c>
      <c r="B710" s="357">
        <f t="shared" ca="1" si="326"/>
        <v>16.935699999999891</v>
      </c>
      <c r="C710" s="342"/>
      <c r="D710" s="359">
        <f t="shared" ca="1" si="327"/>
        <v>-0.70567501533455657</v>
      </c>
      <c r="E710" s="360">
        <f t="shared" ca="1" si="328"/>
        <v>-1.9205155719312472</v>
      </c>
      <c r="F710" s="357">
        <f t="shared" ca="1" si="329"/>
        <v>2.0460589652543821</v>
      </c>
      <c r="G710" s="359">
        <f t="shared" ca="1" si="330"/>
        <v>4.9957875526535584</v>
      </c>
      <c r="H710" s="360">
        <f t="shared" ca="1" si="331"/>
        <v>-55.854153134645962</v>
      </c>
      <c r="I710" s="357">
        <f t="shared" ca="1" si="332"/>
        <v>56.07712827579288</v>
      </c>
      <c r="J710" s="359">
        <f t="shared" ca="1" si="333"/>
        <v>184.26379383972827</v>
      </c>
      <c r="K710" s="360">
        <f t="shared" ca="1" si="334"/>
        <v>-6.9634894517299237</v>
      </c>
      <c r="L710" s="357">
        <f t="shared" ca="1" si="319"/>
        <v>184.39532506426033</v>
      </c>
      <c r="M710" s="359">
        <f t="shared" ca="1" si="335"/>
        <v>-1.4815902688147393</v>
      </c>
      <c r="N710" s="357">
        <f t="shared" ca="1" si="336"/>
        <v>-84.888869370737666</v>
      </c>
      <c r="O710" s="343"/>
      <c r="P710" s="363">
        <f t="shared" ca="1" si="337"/>
        <v>23</v>
      </c>
      <c r="Q710" s="357">
        <f t="shared" ca="1" si="338"/>
        <v>0</v>
      </c>
      <c r="R710" s="359">
        <f t="shared" ca="1" si="339"/>
        <v>0</v>
      </c>
      <c r="S710" s="360">
        <f t="shared" ca="1" si="340"/>
        <v>0.42898953648292248</v>
      </c>
      <c r="T710" s="357">
        <f t="shared" ca="1" si="320"/>
        <v>4.2083873528974696</v>
      </c>
      <c r="U710" s="364">
        <f t="shared" ca="1" si="321"/>
        <v>0</v>
      </c>
      <c r="V710" s="359">
        <f t="shared" ca="1" si="322"/>
        <v>1.2258533245636669</v>
      </c>
      <c r="W710" s="357">
        <f t="shared" ca="1" si="323"/>
        <v>3.3980423339977888</v>
      </c>
      <c r="X710" s="343"/>
      <c r="Y710" s="367" t="str">
        <f t="shared" ca="1" si="341"/>
        <v/>
      </c>
      <c r="Z710" s="368" t="str">
        <f t="shared" ca="1" si="342"/>
        <v/>
      </c>
      <c r="AA710" s="369" t="str">
        <f t="shared" ca="1" si="343"/>
        <v/>
      </c>
      <c r="AB710" s="344"/>
      <c r="AC710" s="363" t="e">
        <f t="shared" ca="1" si="344"/>
        <v>#N/A</v>
      </c>
      <c r="AD710" s="376" t="e">
        <f t="shared" ca="1" si="345"/>
        <v>#N/A</v>
      </c>
      <c r="AE710" s="377" t="e">
        <f t="shared" ca="1" si="324"/>
        <v>#N/A</v>
      </c>
      <c r="AF710" s="344"/>
      <c r="AG710" s="359">
        <f t="shared" ca="1" si="346"/>
        <v>1.850010783406387</v>
      </c>
      <c r="AH710" s="357">
        <f t="shared" ca="1" si="347"/>
        <v>-7.9209811114537301</v>
      </c>
    </row>
    <row r="711" spans="1:34">
      <c r="A711" s="402">
        <f t="shared" ca="1" si="325"/>
        <v>1E-4</v>
      </c>
      <c r="B711" s="357">
        <f t="shared" ca="1" si="326"/>
        <v>16.93579999999989</v>
      </c>
      <c r="C711" s="342"/>
      <c r="D711" s="359">
        <f t="shared" ca="1" si="327"/>
        <v>-0.70566776970759404</v>
      </c>
      <c r="E711" s="360">
        <f t="shared" ca="1" si="328"/>
        <v>-1.9204580096692414</v>
      </c>
      <c r="F711" s="357">
        <f t="shared" ca="1" si="329"/>
        <v>2.0460024359972873</v>
      </c>
      <c r="G711" s="359">
        <f t="shared" ca="1" si="330"/>
        <v>4.9957169858765873</v>
      </c>
      <c r="H711" s="360">
        <f t="shared" ca="1" si="331"/>
        <v>-55.854345180446927</v>
      </c>
      <c r="I711" s="357">
        <f t="shared" ca="1" si="332"/>
        <v>56.077313271406744</v>
      </c>
      <c r="J711" s="359">
        <f t="shared" ca="1" si="333"/>
        <v>184.26379383972827</v>
      </c>
      <c r="K711" s="360">
        <f t="shared" ca="1" si="334"/>
        <v>-6.9690748766456787</v>
      </c>
      <c r="L711" s="357">
        <f t="shared" ca="1" si="319"/>
        <v>184.39553607624609</v>
      </c>
      <c r="M711" s="359">
        <f t="shared" ca="1" si="335"/>
        <v>-1.4815918272903346</v>
      </c>
      <c r="N711" s="357">
        <f t="shared" ca="1" si="336"/>
        <v>-84.888958664811753</v>
      </c>
      <c r="O711" s="343"/>
      <c r="P711" s="363">
        <f t="shared" ca="1" si="337"/>
        <v>23</v>
      </c>
      <c r="Q711" s="357">
        <f t="shared" ca="1" si="338"/>
        <v>0</v>
      </c>
      <c r="R711" s="359">
        <f t="shared" ca="1" si="339"/>
        <v>0</v>
      </c>
      <c r="S711" s="360">
        <f t="shared" ca="1" si="340"/>
        <v>0.42898953648292248</v>
      </c>
      <c r="T711" s="357">
        <f t="shared" ca="1" si="320"/>
        <v>4.2083873528974696</v>
      </c>
      <c r="U711" s="364">
        <f t="shared" ca="1" si="321"/>
        <v>0</v>
      </c>
      <c r="V711" s="359">
        <f t="shared" ca="1" si="322"/>
        <v>1.2258540092551113</v>
      </c>
      <c r="W711" s="357">
        <f t="shared" ca="1" si="323"/>
        <v>3.3980666519391507</v>
      </c>
      <c r="X711" s="343"/>
      <c r="Y711" s="367" t="str">
        <f t="shared" ca="1" si="341"/>
        <v/>
      </c>
      <c r="Z711" s="368" t="str">
        <f t="shared" ca="1" si="342"/>
        <v/>
      </c>
      <c r="AA711" s="369" t="str">
        <f t="shared" ca="1" si="343"/>
        <v/>
      </c>
      <c r="AB711" s="344"/>
      <c r="AC711" s="363" t="e">
        <f t="shared" ca="1" si="344"/>
        <v>#N/A</v>
      </c>
      <c r="AD711" s="376" t="e">
        <f t="shared" ca="1" si="345"/>
        <v>#N/A</v>
      </c>
      <c r="AE711" s="377" t="e">
        <f t="shared" ca="1" si="324"/>
        <v>#N/A</v>
      </c>
      <c r="AF711" s="344"/>
      <c r="AG711" s="359">
        <f t="shared" ca="1" si="346"/>
        <v>1.8499554576030466</v>
      </c>
      <c r="AH711" s="357">
        <f t="shared" ca="1" si="347"/>
        <v>-7.9210377993288432</v>
      </c>
    </row>
    <row r="712" spans="1:34">
      <c r="A712" s="402">
        <f t="shared" ca="1" si="325"/>
        <v>1E-4</v>
      </c>
      <c r="B712" s="357">
        <f t="shared" ca="1" si="326"/>
        <v>16.93589999999989</v>
      </c>
      <c r="C712" s="342"/>
      <c r="D712" s="359">
        <f t="shared" ca="1" si="327"/>
        <v>-0.70566052404062807</v>
      </c>
      <c r="E712" s="360">
        <f t="shared" ca="1" si="328"/>
        <v>-1.920400448742722</v>
      </c>
      <c r="F712" s="357">
        <f t="shared" ca="1" si="329"/>
        <v>2.0459459080631972</v>
      </c>
      <c r="G712" s="359">
        <f t="shared" ca="1" si="330"/>
        <v>4.9956464198241832</v>
      </c>
      <c r="H712" s="360">
        <f t="shared" ca="1" si="331"/>
        <v>-55.8545372204918</v>
      </c>
      <c r="I712" s="357">
        <f t="shared" ca="1" si="332"/>
        <v>56.077498261488145</v>
      </c>
      <c r="J712" s="359">
        <f t="shared" ca="1" si="333"/>
        <v>184.26379383972827</v>
      </c>
      <c r="K712" s="360">
        <f t="shared" ca="1" si="334"/>
        <v>-6.9746603207657261</v>
      </c>
      <c r="L712" s="357">
        <f t="shared" ca="1" si="319"/>
        <v>184.39574725790166</v>
      </c>
      <c r="M712" s="359">
        <f t="shared" ca="1" si="335"/>
        <v>-1.4815933857336336</v>
      </c>
      <c r="N712" s="357">
        <f t="shared" ca="1" si="336"/>
        <v>-84.889047957035402</v>
      </c>
      <c r="O712" s="343"/>
      <c r="P712" s="363">
        <f t="shared" ca="1" si="337"/>
        <v>23</v>
      </c>
      <c r="Q712" s="357">
        <f t="shared" ca="1" si="338"/>
        <v>0</v>
      </c>
      <c r="R712" s="359">
        <f t="shared" ca="1" si="339"/>
        <v>0</v>
      </c>
      <c r="S712" s="360">
        <f t="shared" ca="1" si="340"/>
        <v>0.42898953648292248</v>
      </c>
      <c r="T712" s="357">
        <f t="shared" ca="1" si="320"/>
        <v>4.2083873528974696</v>
      </c>
      <c r="U712" s="364">
        <f t="shared" ca="1" si="321"/>
        <v>0</v>
      </c>
      <c r="V712" s="359">
        <f t="shared" ca="1" si="322"/>
        <v>1.2258546939492923</v>
      </c>
      <c r="W712" s="357">
        <f t="shared" ca="1" si="323"/>
        <v>3.3980909693166113</v>
      </c>
      <c r="X712" s="343"/>
      <c r="Y712" s="367" t="str">
        <f t="shared" ca="1" si="341"/>
        <v/>
      </c>
      <c r="Z712" s="368" t="str">
        <f t="shared" ca="1" si="342"/>
        <v/>
      </c>
      <c r="AA712" s="369" t="str">
        <f t="shared" ca="1" si="343"/>
        <v/>
      </c>
      <c r="AB712" s="344"/>
      <c r="AC712" s="363" t="e">
        <f t="shared" ca="1" si="344"/>
        <v>#N/A</v>
      </c>
      <c r="AD712" s="376" t="e">
        <f t="shared" ca="1" si="345"/>
        <v>#N/A</v>
      </c>
      <c r="AE712" s="377" t="e">
        <f t="shared" ca="1" si="324"/>
        <v>#N/A</v>
      </c>
      <c r="AF712" s="344"/>
      <c r="AG712" s="359">
        <f t="shared" ca="1" si="346"/>
        <v>1.84990013306225</v>
      </c>
      <c r="AH712" s="357">
        <f t="shared" ca="1" si="347"/>
        <v>-7.9210944858894559</v>
      </c>
    </row>
    <row r="713" spans="1:34">
      <c r="A713" s="402">
        <f t="shared" ca="1" si="325"/>
        <v>1E-4</v>
      </c>
      <c r="B713" s="357">
        <f t="shared" ca="1" si="326"/>
        <v>16.93599999999989</v>
      </c>
      <c r="C713" s="342"/>
      <c r="D713" s="359">
        <f t="shared" ca="1" si="327"/>
        <v>-0.70565327833366653</v>
      </c>
      <c r="E713" s="360">
        <f t="shared" ca="1" si="328"/>
        <v>-1.9203428891516765</v>
      </c>
      <c r="F713" s="357">
        <f t="shared" ca="1" si="329"/>
        <v>2.0458893814521009</v>
      </c>
      <c r="G713" s="359">
        <f t="shared" ca="1" si="330"/>
        <v>4.9955758544963498</v>
      </c>
      <c r="H713" s="360">
        <f t="shared" ca="1" si="331"/>
        <v>-55.854729254780715</v>
      </c>
      <c r="I713" s="357">
        <f t="shared" ca="1" si="332"/>
        <v>56.077683246037218</v>
      </c>
      <c r="J713" s="359">
        <f t="shared" ca="1" si="333"/>
        <v>184.26379383972827</v>
      </c>
      <c r="K713" s="360">
        <f t="shared" ca="1" si="334"/>
        <v>-6.9802457840894894</v>
      </c>
      <c r="L713" s="357">
        <f t="shared" ca="1" si="319"/>
        <v>184.39595860922816</v>
      </c>
      <c r="M713" s="359">
        <f t="shared" ca="1" si="335"/>
        <v>-1.4815949441446374</v>
      </c>
      <c r="N713" s="357">
        <f t="shared" ca="1" si="336"/>
        <v>-84.889137247408669</v>
      </c>
      <c r="O713" s="343"/>
      <c r="P713" s="363">
        <f t="shared" ca="1" si="337"/>
        <v>23</v>
      </c>
      <c r="Q713" s="357">
        <f t="shared" ca="1" si="338"/>
        <v>0</v>
      </c>
      <c r="R713" s="359">
        <f t="shared" ca="1" si="339"/>
        <v>0</v>
      </c>
      <c r="S713" s="360">
        <f t="shared" ca="1" si="340"/>
        <v>0.42898953648292248</v>
      </c>
      <c r="T713" s="357">
        <f t="shared" ca="1" si="320"/>
        <v>4.2083873528974696</v>
      </c>
      <c r="U713" s="364">
        <f t="shared" ca="1" si="321"/>
        <v>0</v>
      </c>
      <c r="V713" s="359">
        <f t="shared" ca="1" si="322"/>
        <v>1.2258553786462105</v>
      </c>
      <c r="W713" s="357">
        <f t="shared" ca="1" si="323"/>
        <v>3.3981152861301815</v>
      </c>
      <c r="X713" s="343"/>
      <c r="Y713" s="367" t="str">
        <f t="shared" ca="1" si="341"/>
        <v/>
      </c>
      <c r="Z713" s="368" t="str">
        <f t="shared" ca="1" si="342"/>
        <v/>
      </c>
      <c r="AA713" s="369" t="str">
        <f t="shared" ca="1" si="343"/>
        <v/>
      </c>
      <c r="AB713" s="344"/>
      <c r="AC713" s="363" t="e">
        <f t="shared" ca="1" si="344"/>
        <v>#N/A</v>
      </c>
      <c r="AD713" s="376" t="e">
        <f t="shared" ca="1" si="345"/>
        <v>#N/A</v>
      </c>
      <c r="AE713" s="377" t="e">
        <f t="shared" ca="1" si="324"/>
        <v>#N/A</v>
      </c>
      <c r="AF713" s="344"/>
      <c r="AG713" s="359">
        <f t="shared" ca="1" si="346"/>
        <v>1.8498448097839848</v>
      </c>
      <c r="AH713" s="357">
        <f t="shared" ca="1" si="347"/>
        <v>-7.9211511711355804</v>
      </c>
    </row>
    <row r="714" spans="1:34">
      <c r="A714" s="402">
        <f t="shared" ca="1" si="325"/>
        <v>1E-4</v>
      </c>
      <c r="B714" s="357">
        <f t="shared" ca="1" si="326"/>
        <v>16.93609999999989</v>
      </c>
      <c r="C714" s="342"/>
      <c r="D714" s="359">
        <f t="shared" ca="1" si="327"/>
        <v>-0.70564603258671621</v>
      </c>
      <c r="E714" s="360">
        <f t="shared" ca="1" si="328"/>
        <v>-1.9202853308960774</v>
      </c>
      <c r="F714" s="357">
        <f t="shared" ca="1" si="329"/>
        <v>2.0458328561639707</v>
      </c>
      <c r="G714" s="359">
        <f t="shared" ca="1" si="330"/>
        <v>4.9955052898930914</v>
      </c>
      <c r="H714" s="360">
        <f t="shared" ca="1" si="331"/>
        <v>-55.854921283313807</v>
      </c>
      <c r="I714" s="357">
        <f t="shared" ca="1" si="332"/>
        <v>56.077868225054097</v>
      </c>
      <c r="J714" s="359">
        <f t="shared" ca="1" si="333"/>
        <v>184.26379383972827</v>
      </c>
      <c r="K714" s="360">
        <f t="shared" ca="1" si="334"/>
        <v>-6.985831266616394</v>
      </c>
      <c r="L714" s="357">
        <f t="shared" ca="1" si="319"/>
        <v>184.39617013022672</v>
      </c>
      <c r="M714" s="359">
        <f t="shared" ca="1" si="335"/>
        <v>-1.4815965025233468</v>
      </c>
      <c r="N714" s="357">
        <f t="shared" ca="1" si="336"/>
        <v>-84.889226535931599</v>
      </c>
      <c r="O714" s="343"/>
      <c r="P714" s="363">
        <f t="shared" ca="1" si="337"/>
        <v>23</v>
      </c>
      <c r="Q714" s="357">
        <f t="shared" ca="1" si="338"/>
        <v>0</v>
      </c>
      <c r="R714" s="359">
        <f t="shared" ca="1" si="339"/>
        <v>0</v>
      </c>
      <c r="S714" s="360">
        <f t="shared" ca="1" si="340"/>
        <v>0.42898953648292248</v>
      </c>
      <c r="T714" s="357">
        <f t="shared" ca="1" si="320"/>
        <v>4.2083873528974696</v>
      </c>
      <c r="U714" s="364">
        <f t="shared" ca="1" si="321"/>
        <v>0</v>
      </c>
      <c r="V714" s="359">
        <f t="shared" ca="1" si="322"/>
        <v>1.2258560633458646</v>
      </c>
      <c r="W714" s="357">
        <f t="shared" ca="1" si="323"/>
        <v>3.3981396023798678</v>
      </c>
      <c r="X714" s="343"/>
      <c r="Y714" s="367" t="str">
        <f t="shared" ca="1" si="341"/>
        <v/>
      </c>
      <c r="Z714" s="368" t="str">
        <f t="shared" ca="1" si="342"/>
        <v/>
      </c>
      <c r="AA714" s="369" t="str">
        <f t="shared" ca="1" si="343"/>
        <v/>
      </c>
      <c r="AB714" s="344"/>
      <c r="AC714" s="363" t="e">
        <f t="shared" ca="1" si="344"/>
        <v>#N/A</v>
      </c>
      <c r="AD714" s="376" t="e">
        <f t="shared" ca="1" si="345"/>
        <v>#N/A</v>
      </c>
      <c r="AE714" s="377" t="e">
        <f t="shared" ca="1" si="324"/>
        <v>#N/A</v>
      </c>
      <c r="AF714" s="344"/>
      <c r="AG714" s="359">
        <f t="shared" ca="1" si="346"/>
        <v>1.8497894877682244</v>
      </c>
      <c r="AH714" s="357">
        <f t="shared" ca="1" si="347"/>
        <v>-7.9212078550672436</v>
      </c>
    </row>
    <row r="715" spans="1:34">
      <c r="A715" s="402">
        <f t="shared" ca="1" si="325"/>
        <v>1E-4</v>
      </c>
      <c r="B715" s="357">
        <f t="shared" ca="1" si="326"/>
        <v>16.936199999999889</v>
      </c>
      <c r="C715" s="342"/>
      <c r="D715" s="359">
        <f t="shared" ca="1" si="327"/>
        <v>-0.70563878679978342</v>
      </c>
      <c r="E715" s="360">
        <f t="shared" ca="1" si="328"/>
        <v>-1.9202277739759097</v>
      </c>
      <c r="F715" s="357">
        <f t="shared" ca="1" si="329"/>
        <v>2.0457763321987934</v>
      </c>
      <c r="G715" s="359">
        <f t="shared" ca="1" si="330"/>
        <v>4.9954347260144116</v>
      </c>
      <c r="H715" s="360">
        <f t="shared" ca="1" si="331"/>
        <v>-55.855113306091205</v>
      </c>
      <c r="I715" s="357">
        <f t="shared" ca="1" si="332"/>
        <v>56.078053198538889</v>
      </c>
      <c r="J715" s="359">
        <f t="shared" ca="1" si="333"/>
        <v>184.26379383972827</v>
      </c>
      <c r="K715" s="360">
        <f t="shared" ca="1" si="334"/>
        <v>-6.9914167683458643</v>
      </c>
      <c r="L715" s="357">
        <f t="shared" ca="1" si="319"/>
        <v>184.39638182089851</v>
      </c>
      <c r="M715" s="359">
        <f t="shared" ca="1" si="335"/>
        <v>-1.481598060869763</v>
      </c>
      <c r="N715" s="357">
        <f t="shared" ca="1" si="336"/>
        <v>-84.88931582260426</v>
      </c>
      <c r="O715" s="343"/>
      <c r="P715" s="363">
        <f t="shared" ca="1" si="337"/>
        <v>23</v>
      </c>
      <c r="Q715" s="357">
        <f t="shared" ca="1" si="338"/>
        <v>0</v>
      </c>
      <c r="R715" s="359">
        <f t="shared" ca="1" si="339"/>
        <v>0</v>
      </c>
      <c r="S715" s="360">
        <f t="shared" ca="1" si="340"/>
        <v>0.42898953648292248</v>
      </c>
      <c r="T715" s="357">
        <f t="shared" ca="1" si="320"/>
        <v>4.2083873528974696</v>
      </c>
      <c r="U715" s="364">
        <f t="shared" ca="1" si="321"/>
        <v>0</v>
      </c>
      <c r="V715" s="359">
        <f t="shared" ca="1" si="322"/>
        <v>1.2258567480482558</v>
      </c>
      <c r="W715" s="357">
        <f t="shared" ca="1" si="323"/>
        <v>3.3981639180656771</v>
      </c>
      <c r="X715" s="343"/>
      <c r="Y715" s="367" t="str">
        <f t="shared" ca="1" si="341"/>
        <v/>
      </c>
      <c r="Z715" s="368" t="str">
        <f t="shared" ca="1" si="342"/>
        <v/>
      </c>
      <c r="AA715" s="369" t="str">
        <f t="shared" ca="1" si="343"/>
        <v/>
      </c>
      <c r="AB715" s="344"/>
      <c r="AC715" s="363" t="e">
        <f t="shared" ca="1" si="344"/>
        <v>#N/A</v>
      </c>
      <c r="AD715" s="376" t="e">
        <f t="shared" ca="1" si="345"/>
        <v>#N/A</v>
      </c>
      <c r="AE715" s="377" t="e">
        <f t="shared" ca="1" si="324"/>
        <v>#N/A</v>
      </c>
      <c r="AF715" s="344"/>
      <c r="AG715" s="359">
        <f t="shared" ca="1" si="346"/>
        <v>1.8497341670149625</v>
      </c>
      <c r="AH715" s="357">
        <f t="shared" ca="1" si="347"/>
        <v>-7.9212645376844604</v>
      </c>
    </row>
    <row r="716" spans="1:34">
      <c r="A716" s="402">
        <f t="shared" ca="1" si="325"/>
        <v>1E-4</v>
      </c>
      <c r="B716" s="357">
        <f t="shared" ca="1" si="326"/>
        <v>16.936299999999889</v>
      </c>
      <c r="C716" s="342"/>
      <c r="D716" s="359">
        <f t="shared" ca="1" si="327"/>
        <v>-0.70563154097287206</v>
      </c>
      <c r="E716" s="360">
        <f t="shared" ca="1" si="328"/>
        <v>-1.9201702183911582</v>
      </c>
      <c r="F716" s="357">
        <f t="shared" ca="1" si="329"/>
        <v>2.0457198095565525</v>
      </c>
      <c r="G716" s="359">
        <f t="shared" ca="1" si="330"/>
        <v>4.995364162860314</v>
      </c>
      <c r="H716" s="360">
        <f t="shared" ca="1" si="331"/>
        <v>-55.855305323113043</v>
      </c>
      <c r="I716" s="357">
        <f t="shared" ca="1" si="332"/>
        <v>56.07823816649173</v>
      </c>
      <c r="J716" s="359">
        <f t="shared" ca="1" si="333"/>
        <v>184.26379383972827</v>
      </c>
      <c r="K716" s="360">
        <f t="shared" ca="1" si="334"/>
        <v>-6.9970022892773249</v>
      </c>
      <c r="L716" s="357">
        <f t="shared" ca="1" si="319"/>
        <v>184.39659368124464</v>
      </c>
      <c r="M716" s="359">
        <f t="shared" ca="1" si="335"/>
        <v>-1.4815996191838865</v>
      </c>
      <c r="N716" s="357">
        <f t="shared" ca="1" si="336"/>
        <v>-84.889405107426697</v>
      </c>
      <c r="O716" s="343"/>
      <c r="P716" s="363">
        <f t="shared" ca="1" si="337"/>
        <v>23</v>
      </c>
      <c r="Q716" s="357">
        <f t="shared" ca="1" si="338"/>
        <v>0</v>
      </c>
      <c r="R716" s="359">
        <f t="shared" ca="1" si="339"/>
        <v>0</v>
      </c>
      <c r="S716" s="360">
        <f t="shared" ca="1" si="340"/>
        <v>0.42898953648292248</v>
      </c>
      <c r="T716" s="357">
        <f t="shared" ca="1" si="320"/>
        <v>4.2083873528974696</v>
      </c>
      <c r="U716" s="364">
        <f t="shared" ca="1" si="321"/>
        <v>0</v>
      </c>
      <c r="V716" s="359">
        <f t="shared" ca="1" si="322"/>
        <v>1.2258574327533835</v>
      </c>
      <c r="W716" s="357">
        <f t="shared" ca="1" si="323"/>
        <v>3.3981882331876183</v>
      </c>
      <c r="X716" s="343"/>
      <c r="Y716" s="367" t="str">
        <f t="shared" ca="1" si="341"/>
        <v/>
      </c>
      <c r="Z716" s="368" t="str">
        <f t="shared" ca="1" si="342"/>
        <v/>
      </c>
      <c r="AA716" s="369" t="str">
        <f t="shared" ca="1" si="343"/>
        <v/>
      </c>
      <c r="AB716" s="344"/>
      <c r="AC716" s="363" t="e">
        <f t="shared" ca="1" si="344"/>
        <v>#N/A</v>
      </c>
      <c r="AD716" s="376" t="e">
        <f t="shared" ca="1" si="345"/>
        <v>#N/A</v>
      </c>
      <c r="AE716" s="377" t="e">
        <f t="shared" ca="1" si="324"/>
        <v>#N/A</v>
      </c>
      <c r="AF716" s="344"/>
      <c r="AG716" s="359">
        <f t="shared" ca="1" si="346"/>
        <v>1.8496788475241805</v>
      </c>
      <c r="AH716" s="357">
        <f t="shared" ca="1" si="347"/>
        <v>-7.9213212189872459</v>
      </c>
    </row>
    <row r="717" spans="1:34">
      <c r="A717" s="402">
        <f t="shared" ca="1" si="325"/>
        <v>1E-4</v>
      </c>
      <c r="B717" s="357">
        <f t="shared" ca="1" si="326"/>
        <v>16.936399999999889</v>
      </c>
      <c r="C717" s="342"/>
      <c r="D717" s="359">
        <f t="shared" ca="1" si="327"/>
        <v>-0.70562429510599078</v>
      </c>
      <c r="E717" s="360">
        <f t="shared" ca="1" si="328"/>
        <v>-1.9201126641418007</v>
      </c>
      <c r="F717" s="357">
        <f t="shared" ca="1" si="329"/>
        <v>2.0456632882372285</v>
      </c>
      <c r="G717" s="359">
        <f t="shared" ca="1" si="330"/>
        <v>4.9952936004308031</v>
      </c>
      <c r="H717" s="360">
        <f t="shared" ca="1" si="331"/>
        <v>-55.855497334379457</v>
      </c>
      <c r="I717" s="357">
        <f t="shared" ca="1" si="332"/>
        <v>56.078423128912739</v>
      </c>
      <c r="J717" s="359">
        <f t="shared" ca="1" si="333"/>
        <v>184.26379383972827</v>
      </c>
      <c r="K717" s="360">
        <f t="shared" ca="1" si="334"/>
        <v>-7.0025878294101993</v>
      </c>
      <c r="L717" s="357">
        <f t="shared" ca="1" si="319"/>
        <v>184.39680571126627</v>
      </c>
      <c r="M717" s="359">
        <f t="shared" ca="1" si="335"/>
        <v>-1.4816011774657187</v>
      </c>
      <c r="N717" s="357">
        <f t="shared" ca="1" si="336"/>
        <v>-84.88949439039898</v>
      </c>
      <c r="O717" s="343"/>
      <c r="P717" s="363">
        <f t="shared" ca="1" si="337"/>
        <v>23</v>
      </c>
      <c r="Q717" s="357">
        <f t="shared" ca="1" si="338"/>
        <v>0</v>
      </c>
      <c r="R717" s="359">
        <f t="shared" ca="1" si="339"/>
        <v>0</v>
      </c>
      <c r="S717" s="360">
        <f t="shared" ca="1" si="340"/>
        <v>0.42898953648292248</v>
      </c>
      <c r="T717" s="357">
        <f t="shared" ca="1" si="320"/>
        <v>4.2083873528974696</v>
      </c>
      <c r="U717" s="364">
        <f t="shared" ca="1" si="321"/>
        <v>0</v>
      </c>
      <c r="V717" s="359">
        <f t="shared" ca="1" si="322"/>
        <v>1.2258581174612475</v>
      </c>
      <c r="W717" s="357">
        <f t="shared" ca="1" si="323"/>
        <v>3.3982125477456955</v>
      </c>
      <c r="X717" s="343"/>
      <c r="Y717" s="367" t="str">
        <f t="shared" ca="1" si="341"/>
        <v/>
      </c>
      <c r="Z717" s="368" t="str">
        <f t="shared" ca="1" si="342"/>
        <v/>
      </c>
      <c r="AA717" s="369" t="str">
        <f t="shared" ca="1" si="343"/>
        <v/>
      </c>
      <c r="AB717" s="344"/>
      <c r="AC717" s="363" t="e">
        <f t="shared" ca="1" si="344"/>
        <v>#N/A</v>
      </c>
      <c r="AD717" s="376" t="e">
        <f t="shared" ca="1" si="345"/>
        <v>#N/A</v>
      </c>
      <c r="AE717" s="377" t="e">
        <f t="shared" ca="1" si="324"/>
        <v>#N/A</v>
      </c>
      <c r="AF717" s="344"/>
      <c r="AG717" s="359">
        <f t="shared" ca="1" si="346"/>
        <v>1.8496235292958589</v>
      </c>
      <c r="AH717" s="357">
        <f t="shared" ca="1" si="347"/>
        <v>-7.9213778989756216</v>
      </c>
    </row>
    <row r="718" spans="1:34">
      <c r="A718" s="402">
        <f t="shared" ca="1" si="325"/>
        <v>1E-4</v>
      </c>
      <c r="B718" s="357">
        <f t="shared" ca="1" si="326"/>
        <v>16.936499999999889</v>
      </c>
      <c r="C718" s="342"/>
      <c r="D718" s="359">
        <f t="shared" ca="1" si="327"/>
        <v>-0.70561704919914148</v>
      </c>
      <c r="E718" s="360">
        <f t="shared" ca="1" si="328"/>
        <v>-1.9200551112278266</v>
      </c>
      <c r="F718" s="357">
        <f t="shared" ca="1" si="329"/>
        <v>2.0456067682408086</v>
      </c>
      <c r="G718" s="359">
        <f t="shared" ca="1" si="330"/>
        <v>4.9952230387258831</v>
      </c>
      <c r="H718" s="360">
        <f t="shared" ca="1" si="331"/>
        <v>-55.855689339890581</v>
      </c>
      <c r="I718" s="357">
        <f t="shared" ca="1" si="332"/>
        <v>56.07860808580206</v>
      </c>
      <c r="J718" s="359">
        <f t="shared" ca="1" si="333"/>
        <v>184.26379383972827</v>
      </c>
      <c r="K718" s="360">
        <f t="shared" ca="1" si="334"/>
        <v>-7.0081733887439128</v>
      </c>
      <c r="L718" s="357">
        <f t="shared" ca="1" si="319"/>
        <v>184.39701791096456</v>
      </c>
      <c r="M718" s="359">
        <f t="shared" ca="1" si="335"/>
        <v>-1.4816027357152601</v>
      </c>
      <c r="N718" s="357">
        <f t="shared" ca="1" si="336"/>
        <v>-84.889583671521123</v>
      </c>
      <c r="O718" s="343"/>
      <c r="P718" s="363">
        <f t="shared" ca="1" si="337"/>
        <v>23</v>
      </c>
      <c r="Q718" s="357">
        <f t="shared" ca="1" si="338"/>
        <v>0</v>
      </c>
      <c r="R718" s="359">
        <f t="shared" ca="1" si="339"/>
        <v>0</v>
      </c>
      <c r="S718" s="360">
        <f t="shared" ca="1" si="340"/>
        <v>0.42898953648292248</v>
      </c>
      <c r="T718" s="357">
        <f t="shared" ca="1" si="320"/>
        <v>4.2083873528974696</v>
      </c>
      <c r="U718" s="364">
        <f t="shared" ca="1" si="321"/>
        <v>0</v>
      </c>
      <c r="V718" s="359">
        <f t="shared" ca="1" si="322"/>
        <v>1.2258588021718477</v>
      </c>
      <c r="W718" s="357">
        <f t="shared" ca="1" si="323"/>
        <v>3.398236861739921</v>
      </c>
      <c r="X718" s="343"/>
      <c r="Y718" s="367" t="str">
        <f t="shared" ca="1" si="341"/>
        <v/>
      </c>
      <c r="Z718" s="368" t="str">
        <f t="shared" ca="1" si="342"/>
        <v/>
      </c>
      <c r="AA718" s="369" t="str">
        <f t="shared" ca="1" si="343"/>
        <v/>
      </c>
      <c r="AB718" s="344"/>
      <c r="AC718" s="363" t="e">
        <f t="shared" ca="1" si="344"/>
        <v>#N/A</v>
      </c>
      <c r="AD718" s="376" t="e">
        <f t="shared" ca="1" si="345"/>
        <v>#N/A</v>
      </c>
      <c r="AE718" s="377" t="e">
        <f t="shared" ca="1" si="324"/>
        <v>#N/A</v>
      </c>
      <c r="AF718" s="344"/>
      <c r="AG718" s="359">
        <f t="shared" ca="1" si="346"/>
        <v>1.849568212329995</v>
      </c>
      <c r="AH718" s="357">
        <f t="shared" ca="1" si="347"/>
        <v>-7.9214345776495971</v>
      </c>
    </row>
    <row r="719" spans="1:34">
      <c r="A719" s="402">
        <f t="shared" ca="1" si="325"/>
        <v>1E-4</v>
      </c>
      <c r="B719" s="357">
        <f t="shared" ca="1" si="326"/>
        <v>16.936599999999888</v>
      </c>
      <c r="C719" s="342"/>
      <c r="D719" s="359">
        <f t="shared" ca="1" si="327"/>
        <v>-0.70560980325233491</v>
      </c>
      <c r="E719" s="360">
        <f t="shared" ca="1" si="328"/>
        <v>-1.9199975596492092</v>
      </c>
      <c r="F719" s="357">
        <f t="shared" ca="1" si="329"/>
        <v>2.0455502495672691</v>
      </c>
      <c r="G719" s="359">
        <f t="shared" ca="1" si="330"/>
        <v>4.9951524777455578</v>
      </c>
      <c r="H719" s="360">
        <f t="shared" ca="1" si="331"/>
        <v>-55.855881339646544</v>
      </c>
      <c r="I719" s="357">
        <f t="shared" ca="1" si="332"/>
        <v>56.078793037159798</v>
      </c>
      <c r="J719" s="359">
        <f t="shared" ca="1" si="333"/>
        <v>184.26379383972827</v>
      </c>
      <c r="K719" s="360">
        <f t="shared" ca="1" si="334"/>
        <v>-7.0137589672778899</v>
      </c>
      <c r="L719" s="357">
        <f t="shared" ca="1" si="319"/>
        <v>184.39723028034058</v>
      </c>
      <c r="M719" s="359">
        <f t="shared" ca="1" si="335"/>
        <v>-1.481604293932512</v>
      </c>
      <c r="N719" s="357">
        <f t="shared" ca="1" si="336"/>
        <v>-84.889672950793226</v>
      </c>
      <c r="O719" s="343"/>
      <c r="P719" s="363">
        <f t="shared" ca="1" si="337"/>
        <v>23</v>
      </c>
      <c r="Q719" s="357">
        <f t="shared" ca="1" si="338"/>
        <v>0</v>
      </c>
      <c r="R719" s="359">
        <f t="shared" ca="1" si="339"/>
        <v>0</v>
      </c>
      <c r="S719" s="360">
        <f t="shared" ca="1" si="340"/>
        <v>0.42898953648292248</v>
      </c>
      <c r="T719" s="357">
        <f t="shared" ca="1" si="320"/>
        <v>4.2083873528974696</v>
      </c>
      <c r="U719" s="364">
        <f t="shared" ca="1" si="321"/>
        <v>0</v>
      </c>
      <c r="V719" s="359">
        <f t="shared" ca="1" si="322"/>
        <v>1.225859486885184</v>
      </c>
      <c r="W719" s="357">
        <f t="shared" ca="1" si="323"/>
        <v>3.3982611751702985</v>
      </c>
      <c r="X719" s="343"/>
      <c r="Y719" s="367" t="str">
        <f t="shared" ca="1" si="341"/>
        <v/>
      </c>
      <c r="Z719" s="368" t="str">
        <f t="shared" ca="1" si="342"/>
        <v/>
      </c>
      <c r="AA719" s="369" t="str">
        <f t="shared" ca="1" si="343"/>
        <v/>
      </c>
      <c r="AB719" s="344"/>
      <c r="AC719" s="363" t="e">
        <f t="shared" ca="1" si="344"/>
        <v>#N/A</v>
      </c>
      <c r="AD719" s="376" t="e">
        <f t="shared" ca="1" si="345"/>
        <v>#N/A</v>
      </c>
      <c r="AE719" s="377" t="e">
        <f t="shared" ca="1" si="324"/>
        <v>#N/A</v>
      </c>
      <c r="AF719" s="344"/>
      <c r="AG719" s="359">
        <f t="shared" ca="1" si="346"/>
        <v>1.8495128966265568</v>
      </c>
      <c r="AH719" s="357">
        <f t="shared" ca="1" si="347"/>
        <v>-7.9214912550092009</v>
      </c>
    </row>
    <row r="720" spans="1:34">
      <c r="A720" s="402">
        <f t="shared" ca="1" si="325"/>
        <v>1E-4</v>
      </c>
      <c r="B720" s="357">
        <f t="shared" ca="1" si="326"/>
        <v>16.936699999999888</v>
      </c>
      <c r="C720" s="342"/>
      <c r="D720" s="359">
        <f t="shared" ca="1" si="327"/>
        <v>-0.70560255726557297</v>
      </c>
      <c r="E720" s="360">
        <f t="shared" ca="1" si="328"/>
        <v>-1.9199400094059369</v>
      </c>
      <c r="F720" s="357">
        <f t="shared" ca="1" si="329"/>
        <v>2.0454937322165976</v>
      </c>
      <c r="G720" s="359">
        <f t="shared" ca="1" si="330"/>
        <v>4.9950819174898315</v>
      </c>
      <c r="H720" s="360">
        <f t="shared" ca="1" si="331"/>
        <v>-55.856073333647487</v>
      </c>
      <c r="I720" s="357">
        <f t="shared" ca="1" si="332"/>
        <v>56.078977982986096</v>
      </c>
      <c r="J720" s="359">
        <f t="shared" ca="1" si="333"/>
        <v>184.26379383972827</v>
      </c>
      <c r="K720" s="360">
        <f t="shared" ca="1" si="334"/>
        <v>-7.0193445650115542</v>
      </c>
      <c r="L720" s="357">
        <f t="shared" ca="1" si="319"/>
        <v>184.39744281939551</v>
      </c>
      <c r="M720" s="359">
        <f t="shared" ca="1" si="335"/>
        <v>-1.4816058521174751</v>
      </c>
      <c r="N720" s="357">
        <f t="shared" ca="1" si="336"/>
        <v>-84.889762228215304</v>
      </c>
      <c r="O720" s="343"/>
      <c r="P720" s="363">
        <f t="shared" ca="1" si="337"/>
        <v>23</v>
      </c>
      <c r="Q720" s="357">
        <f t="shared" ca="1" si="338"/>
        <v>0</v>
      </c>
      <c r="R720" s="359">
        <f t="shared" ca="1" si="339"/>
        <v>0</v>
      </c>
      <c r="S720" s="360">
        <f t="shared" ca="1" si="340"/>
        <v>0.42898953648292248</v>
      </c>
      <c r="T720" s="357">
        <f t="shared" ca="1" si="320"/>
        <v>4.2083873528974696</v>
      </c>
      <c r="U720" s="364">
        <f t="shared" ca="1" si="321"/>
        <v>0</v>
      </c>
      <c r="V720" s="359">
        <f t="shared" ca="1" si="322"/>
        <v>1.2258601716012567</v>
      </c>
      <c r="W720" s="357">
        <f t="shared" ca="1" si="323"/>
        <v>3.3982854880368385</v>
      </c>
      <c r="X720" s="343"/>
      <c r="Y720" s="367" t="str">
        <f t="shared" ca="1" si="341"/>
        <v/>
      </c>
      <c r="Z720" s="368" t="str">
        <f t="shared" ca="1" si="342"/>
        <v/>
      </c>
      <c r="AA720" s="369" t="str">
        <f t="shared" ca="1" si="343"/>
        <v/>
      </c>
      <c r="AB720" s="344"/>
      <c r="AC720" s="363" t="e">
        <f t="shared" ca="1" si="344"/>
        <v>#N/A</v>
      </c>
      <c r="AD720" s="376" t="e">
        <f t="shared" ca="1" si="345"/>
        <v>#N/A</v>
      </c>
      <c r="AE720" s="377" t="e">
        <f t="shared" ca="1" si="324"/>
        <v>#N/A</v>
      </c>
      <c r="AF720" s="344"/>
      <c r="AG720" s="359">
        <f t="shared" ca="1" si="346"/>
        <v>1.8494575821855461</v>
      </c>
      <c r="AH720" s="357">
        <f t="shared" ca="1" si="347"/>
        <v>-7.9215479310544419</v>
      </c>
    </row>
    <row r="721" spans="1:34">
      <c r="A721" s="402">
        <f t="shared" ca="1" si="325"/>
        <v>1E-4</v>
      </c>
      <c r="B721" s="357">
        <f t="shared" ca="1" si="326"/>
        <v>16.936799999999888</v>
      </c>
      <c r="C721" s="342"/>
      <c r="D721" s="359">
        <f t="shared" ca="1" si="327"/>
        <v>-0.70559531123886432</v>
      </c>
      <c r="E721" s="360">
        <f t="shared" ca="1" si="328"/>
        <v>-1.9198824604979867</v>
      </c>
      <c r="F721" s="357">
        <f t="shared" ca="1" si="329"/>
        <v>2.0454372161887719</v>
      </c>
      <c r="G721" s="359">
        <f t="shared" ca="1" si="330"/>
        <v>4.9950113579587079</v>
      </c>
      <c r="H721" s="360">
        <f t="shared" ca="1" si="331"/>
        <v>-55.856265321893538</v>
      </c>
      <c r="I721" s="357">
        <f t="shared" ca="1" si="332"/>
        <v>56.079162923281082</v>
      </c>
      <c r="J721" s="359">
        <f t="shared" ca="1" si="333"/>
        <v>184.26379383972827</v>
      </c>
      <c r="K721" s="360">
        <f t="shared" ca="1" si="334"/>
        <v>-7.0249301819443311</v>
      </c>
      <c r="L721" s="357">
        <f t="shared" ca="1" si="319"/>
        <v>184.39765552813049</v>
      </c>
      <c r="M721" s="359">
        <f t="shared" ca="1" si="335"/>
        <v>-1.4816074102701502</v>
      </c>
      <c r="N721" s="357">
        <f t="shared" ca="1" si="336"/>
        <v>-84.889851503787426</v>
      </c>
      <c r="O721" s="343"/>
      <c r="P721" s="363">
        <f t="shared" ca="1" si="337"/>
        <v>23</v>
      </c>
      <c r="Q721" s="357">
        <f t="shared" ca="1" si="338"/>
        <v>0</v>
      </c>
      <c r="R721" s="359">
        <f t="shared" ca="1" si="339"/>
        <v>0</v>
      </c>
      <c r="S721" s="360">
        <f t="shared" ca="1" si="340"/>
        <v>0.42898953648292248</v>
      </c>
      <c r="T721" s="357">
        <f t="shared" ca="1" si="320"/>
        <v>4.2083873528974696</v>
      </c>
      <c r="U721" s="364">
        <f t="shared" ca="1" si="321"/>
        <v>0</v>
      </c>
      <c r="V721" s="359">
        <f t="shared" ca="1" si="322"/>
        <v>1.2258608563200657</v>
      </c>
      <c r="W721" s="357">
        <f t="shared" ca="1" si="323"/>
        <v>3.3983098003395495</v>
      </c>
      <c r="X721" s="343"/>
      <c r="Y721" s="367" t="str">
        <f t="shared" ca="1" si="341"/>
        <v/>
      </c>
      <c r="Z721" s="368" t="str">
        <f t="shared" ca="1" si="342"/>
        <v/>
      </c>
      <c r="AA721" s="369" t="str">
        <f t="shared" ca="1" si="343"/>
        <v/>
      </c>
      <c r="AB721" s="344"/>
      <c r="AC721" s="363" t="e">
        <f t="shared" ca="1" si="344"/>
        <v>#N/A</v>
      </c>
      <c r="AD721" s="376" t="e">
        <f t="shared" ca="1" si="345"/>
        <v>#N/A</v>
      </c>
      <c r="AE721" s="377" t="e">
        <f t="shared" ca="1" si="324"/>
        <v>#N/A</v>
      </c>
      <c r="AF721" s="344"/>
      <c r="AG721" s="359">
        <f t="shared" ca="1" si="346"/>
        <v>1.8494022690069318</v>
      </c>
      <c r="AH721" s="357">
        <f t="shared" ca="1" si="347"/>
        <v>-7.921604605785344</v>
      </c>
    </row>
    <row r="722" spans="1:34">
      <c r="A722" s="402">
        <f t="shared" ca="1" si="325"/>
        <v>1E-4</v>
      </c>
      <c r="B722" s="357">
        <f t="shared" ca="1" si="326"/>
        <v>16.936899999999888</v>
      </c>
      <c r="C722" s="342"/>
      <c r="D722" s="359">
        <f t="shared" ca="1" si="327"/>
        <v>-0.7055880651722154</v>
      </c>
      <c r="E722" s="360">
        <f t="shared" ca="1" si="328"/>
        <v>-1.9198249129253382</v>
      </c>
      <c r="F722" s="357">
        <f t="shared" ca="1" si="329"/>
        <v>2.0453807014837735</v>
      </c>
      <c r="G722" s="359">
        <f t="shared" ca="1" si="330"/>
        <v>4.9949407991521904</v>
      </c>
      <c r="H722" s="360">
        <f t="shared" ca="1" si="331"/>
        <v>-55.856457304384833</v>
      </c>
      <c r="I722" s="357">
        <f t="shared" ca="1" si="332"/>
        <v>56.079347858044862</v>
      </c>
      <c r="J722" s="359">
        <f t="shared" ca="1" si="333"/>
        <v>184.26379383972827</v>
      </c>
      <c r="K722" s="360">
        <f t="shared" ca="1" si="334"/>
        <v>-7.0305158180756449</v>
      </c>
      <c r="L722" s="357">
        <f t="shared" ca="1" si="319"/>
        <v>184.39786840654665</v>
      </c>
      <c r="M722" s="359">
        <f t="shared" ca="1" si="335"/>
        <v>-1.4816089683905385</v>
      </c>
      <c r="N722" s="357">
        <f t="shared" ca="1" si="336"/>
        <v>-84.889940777509651</v>
      </c>
      <c r="O722" s="343"/>
      <c r="P722" s="363">
        <f t="shared" ca="1" si="337"/>
        <v>23</v>
      </c>
      <c r="Q722" s="357">
        <f t="shared" ca="1" si="338"/>
        <v>0</v>
      </c>
      <c r="R722" s="359">
        <f t="shared" ca="1" si="339"/>
        <v>0</v>
      </c>
      <c r="S722" s="360">
        <f t="shared" ca="1" si="340"/>
        <v>0.42898953648292248</v>
      </c>
      <c r="T722" s="357">
        <f t="shared" ca="1" si="320"/>
        <v>4.2083873528974696</v>
      </c>
      <c r="U722" s="364">
        <f t="shared" ca="1" si="321"/>
        <v>0</v>
      </c>
      <c r="V722" s="359">
        <f t="shared" ca="1" si="322"/>
        <v>1.2258615410416103</v>
      </c>
      <c r="W722" s="357">
        <f t="shared" ca="1" si="323"/>
        <v>3.3983341120784343</v>
      </c>
      <c r="X722" s="343"/>
      <c r="Y722" s="367" t="str">
        <f t="shared" ca="1" si="341"/>
        <v/>
      </c>
      <c r="Z722" s="368" t="str">
        <f t="shared" ca="1" si="342"/>
        <v/>
      </c>
      <c r="AA722" s="369" t="str">
        <f t="shared" ca="1" si="343"/>
        <v/>
      </c>
      <c r="AB722" s="344"/>
      <c r="AC722" s="363" t="e">
        <f t="shared" ca="1" si="344"/>
        <v>#N/A</v>
      </c>
      <c r="AD722" s="376" t="e">
        <f t="shared" ca="1" si="345"/>
        <v>#N/A</v>
      </c>
      <c r="AE722" s="377" t="e">
        <f t="shared" ca="1" si="324"/>
        <v>#N/A</v>
      </c>
      <c r="AF722" s="344"/>
      <c r="AG722" s="359">
        <f t="shared" ca="1" si="346"/>
        <v>1.8493469570907006</v>
      </c>
      <c r="AH722" s="357">
        <f t="shared" ca="1" si="347"/>
        <v>-7.9216612792019276</v>
      </c>
    </row>
    <row r="723" spans="1:34">
      <c r="A723" s="402">
        <f t="shared" ca="1" si="325"/>
        <v>1E-4</v>
      </c>
      <c r="B723" s="357">
        <f t="shared" ca="1" si="326"/>
        <v>16.936999999999887</v>
      </c>
      <c r="C723" s="342"/>
      <c r="D723" s="359">
        <f t="shared" ca="1" si="327"/>
        <v>-0.70558081906562964</v>
      </c>
      <c r="E723" s="360">
        <f t="shared" ca="1" si="328"/>
        <v>-1.9197673666879851</v>
      </c>
      <c r="F723" s="357">
        <f t="shared" ca="1" si="329"/>
        <v>2.0453241881015942</v>
      </c>
      <c r="G723" s="359">
        <f t="shared" ca="1" si="330"/>
        <v>4.9948702410702834</v>
      </c>
      <c r="H723" s="360">
        <f t="shared" ca="1" si="331"/>
        <v>-55.856649281121499</v>
      </c>
      <c r="I723" s="357">
        <f t="shared" ca="1" si="332"/>
        <v>56.079532787277572</v>
      </c>
      <c r="J723" s="359">
        <f t="shared" ca="1" si="333"/>
        <v>184.26379383972827</v>
      </c>
      <c r="K723" s="360">
        <f t="shared" ca="1" si="334"/>
        <v>-7.0361014734049201</v>
      </c>
      <c r="L723" s="357">
        <f t="shared" ca="1" si="319"/>
        <v>184.39808145464511</v>
      </c>
      <c r="M723" s="359">
        <f t="shared" ca="1" si="335"/>
        <v>-1.4816105264786408</v>
      </c>
      <c r="N723" s="357">
        <f t="shared" ca="1" si="336"/>
        <v>-84.89003004938202</v>
      </c>
      <c r="O723" s="343"/>
      <c r="P723" s="363">
        <f t="shared" ca="1" si="337"/>
        <v>23</v>
      </c>
      <c r="Q723" s="357">
        <f t="shared" ca="1" si="338"/>
        <v>0</v>
      </c>
      <c r="R723" s="359">
        <f t="shared" ca="1" si="339"/>
        <v>0</v>
      </c>
      <c r="S723" s="360">
        <f t="shared" ca="1" si="340"/>
        <v>0.42898953648292248</v>
      </c>
      <c r="T723" s="357">
        <f t="shared" ca="1" si="320"/>
        <v>4.2083873528974696</v>
      </c>
      <c r="U723" s="364">
        <f t="shared" ca="1" si="321"/>
        <v>0</v>
      </c>
      <c r="V723" s="359">
        <f t="shared" ca="1" si="322"/>
        <v>1.2258622257658913</v>
      </c>
      <c r="W723" s="357">
        <f t="shared" ca="1" si="323"/>
        <v>3.3983584232535047</v>
      </c>
      <c r="X723" s="343"/>
      <c r="Y723" s="367" t="str">
        <f t="shared" ca="1" si="341"/>
        <v/>
      </c>
      <c r="Z723" s="368" t="str">
        <f t="shared" ca="1" si="342"/>
        <v/>
      </c>
      <c r="AA723" s="369" t="str">
        <f t="shared" ca="1" si="343"/>
        <v/>
      </c>
      <c r="AB723" s="344"/>
      <c r="AC723" s="363" t="e">
        <f t="shared" ca="1" si="344"/>
        <v>#N/A</v>
      </c>
      <c r="AD723" s="376" t="e">
        <f t="shared" ca="1" si="345"/>
        <v>#N/A</v>
      </c>
      <c r="AE723" s="377" t="e">
        <f t="shared" ca="1" si="324"/>
        <v>#N/A</v>
      </c>
      <c r="AF723" s="344"/>
      <c r="AG723" s="359">
        <f t="shared" ca="1" si="346"/>
        <v>1.849291646436849</v>
      </c>
      <c r="AH723" s="357">
        <f t="shared" ca="1" si="347"/>
        <v>-7.9217179513041982</v>
      </c>
    </row>
    <row r="724" spans="1:34">
      <c r="A724" s="402">
        <f t="shared" ca="1" si="325"/>
        <v>1E-4</v>
      </c>
      <c r="B724" s="357">
        <f t="shared" ca="1" si="326"/>
        <v>16.937099999999887</v>
      </c>
      <c r="C724" s="342"/>
      <c r="D724" s="359">
        <f t="shared" ca="1" si="327"/>
        <v>-0.70557357291911438</v>
      </c>
      <c r="E724" s="360">
        <f t="shared" ca="1" si="328"/>
        <v>-1.9197098217858972</v>
      </c>
      <c r="F724" s="357">
        <f t="shared" ca="1" si="329"/>
        <v>2.0452676760422057</v>
      </c>
      <c r="G724" s="359">
        <f t="shared" ca="1" si="330"/>
        <v>4.9947996837129915</v>
      </c>
      <c r="H724" s="360">
        <f t="shared" ca="1" si="331"/>
        <v>-55.856841252103678</v>
      </c>
      <c r="I724" s="357">
        <f t="shared" ca="1" si="332"/>
        <v>56.079717710979345</v>
      </c>
      <c r="J724" s="359">
        <f t="shared" ca="1" si="333"/>
        <v>184.26379383972827</v>
      </c>
      <c r="K724" s="360">
        <f t="shared" ca="1" si="334"/>
        <v>-7.0416871479315812</v>
      </c>
      <c r="L724" s="357">
        <f t="shared" ca="1" si="319"/>
        <v>184.39829467242703</v>
      </c>
      <c r="M724" s="359">
        <f t="shared" ca="1" si="335"/>
        <v>-1.481612084534458</v>
      </c>
      <c r="N724" s="357">
        <f t="shared" ca="1" si="336"/>
        <v>-84.89011931940459</v>
      </c>
      <c r="O724" s="343"/>
      <c r="P724" s="363">
        <f t="shared" ca="1" si="337"/>
        <v>23</v>
      </c>
      <c r="Q724" s="357">
        <f t="shared" ca="1" si="338"/>
        <v>0</v>
      </c>
      <c r="R724" s="359">
        <f t="shared" ca="1" si="339"/>
        <v>0</v>
      </c>
      <c r="S724" s="360">
        <f t="shared" ca="1" si="340"/>
        <v>0.42898953648292248</v>
      </c>
      <c r="T724" s="357">
        <f t="shared" ca="1" si="320"/>
        <v>4.2083873528974696</v>
      </c>
      <c r="U724" s="364">
        <f t="shared" ca="1" si="321"/>
        <v>0</v>
      </c>
      <c r="V724" s="359">
        <f t="shared" ca="1" si="322"/>
        <v>1.2258629104929082</v>
      </c>
      <c r="W724" s="357">
        <f t="shared" ca="1" si="323"/>
        <v>3.3983827338647674</v>
      </c>
      <c r="X724" s="343"/>
      <c r="Y724" s="367" t="str">
        <f t="shared" ca="1" si="341"/>
        <v/>
      </c>
      <c r="Z724" s="368" t="str">
        <f t="shared" ca="1" si="342"/>
        <v/>
      </c>
      <c r="AA724" s="369" t="str">
        <f t="shared" ca="1" si="343"/>
        <v/>
      </c>
      <c r="AB724" s="344"/>
      <c r="AC724" s="363" t="e">
        <f t="shared" ca="1" si="344"/>
        <v>#N/A</v>
      </c>
      <c r="AD724" s="376" t="e">
        <f t="shared" ca="1" si="345"/>
        <v>#N/A</v>
      </c>
      <c r="AE724" s="377" t="e">
        <f t="shared" ca="1" si="324"/>
        <v>#N/A</v>
      </c>
      <c r="AF724" s="344"/>
      <c r="AG724" s="359">
        <f t="shared" ca="1" si="346"/>
        <v>1.8492363370453511</v>
      </c>
      <c r="AH724" s="357">
        <f t="shared" ca="1" si="347"/>
        <v>-7.921774622092185</v>
      </c>
    </row>
    <row r="725" spans="1:34">
      <c r="A725" s="402">
        <f t="shared" ca="1" si="325"/>
        <v>1E-4</v>
      </c>
      <c r="B725" s="357">
        <f t="shared" ca="1" si="326"/>
        <v>16.937199999999887</v>
      </c>
      <c r="C725" s="342"/>
      <c r="D725" s="359">
        <f t="shared" ca="1" si="327"/>
        <v>-0.70556632673267528</v>
      </c>
      <c r="E725" s="360">
        <f t="shared" ca="1" si="328"/>
        <v>-1.9196522782190621</v>
      </c>
      <c r="F725" s="357">
        <f t="shared" ca="1" si="329"/>
        <v>2.0452111653055964</v>
      </c>
      <c r="G725" s="359">
        <f t="shared" ca="1" si="330"/>
        <v>4.9947291270803182</v>
      </c>
      <c r="H725" s="360">
        <f t="shared" ca="1" si="331"/>
        <v>-55.857033217331498</v>
      </c>
      <c r="I725" s="357">
        <f t="shared" ca="1" si="332"/>
        <v>56.079902629150304</v>
      </c>
      <c r="J725" s="359">
        <f t="shared" ca="1" si="333"/>
        <v>184.26379383972827</v>
      </c>
      <c r="K725" s="360">
        <f t="shared" ca="1" si="334"/>
        <v>-7.0472728416550527</v>
      </c>
      <c r="L725" s="357">
        <f t="shared" ca="1" si="319"/>
        <v>184.39850805989352</v>
      </c>
      <c r="M725" s="359">
        <f t="shared" ca="1" si="335"/>
        <v>-1.4816136425579911</v>
      </c>
      <c r="N725" s="357">
        <f t="shared" ca="1" si="336"/>
        <v>-84.890208587577419</v>
      </c>
      <c r="O725" s="343"/>
      <c r="P725" s="363">
        <f t="shared" ca="1" si="337"/>
        <v>23</v>
      </c>
      <c r="Q725" s="357">
        <f t="shared" ca="1" si="338"/>
        <v>0</v>
      </c>
      <c r="R725" s="359">
        <f t="shared" ca="1" si="339"/>
        <v>0</v>
      </c>
      <c r="S725" s="360">
        <f t="shared" ca="1" si="340"/>
        <v>0.42898953648292248</v>
      </c>
      <c r="T725" s="357">
        <f t="shared" ca="1" si="320"/>
        <v>4.2083873528974696</v>
      </c>
      <c r="U725" s="364">
        <f t="shared" ca="1" si="321"/>
        <v>0</v>
      </c>
      <c r="V725" s="359">
        <f t="shared" ca="1" si="322"/>
        <v>1.2258635952226604</v>
      </c>
      <c r="W725" s="357">
        <f t="shared" ca="1" si="323"/>
        <v>3.3984070439122278</v>
      </c>
      <c r="X725" s="343"/>
      <c r="Y725" s="367" t="str">
        <f t="shared" ca="1" si="341"/>
        <v/>
      </c>
      <c r="Z725" s="368" t="str">
        <f t="shared" ca="1" si="342"/>
        <v/>
      </c>
      <c r="AA725" s="369" t="str">
        <f t="shared" ca="1" si="343"/>
        <v/>
      </c>
      <c r="AB725" s="344"/>
      <c r="AC725" s="363" t="e">
        <f t="shared" ca="1" si="344"/>
        <v>#N/A</v>
      </c>
      <c r="AD725" s="376" t="e">
        <f t="shared" ca="1" si="345"/>
        <v>#N/A</v>
      </c>
      <c r="AE725" s="377" t="e">
        <f t="shared" ca="1" si="324"/>
        <v>#N/A</v>
      </c>
      <c r="AF725" s="344"/>
      <c r="AG725" s="359">
        <f t="shared" ca="1" si="346"/>
        <v>1.849181028916191</v>
      </c>
      <c r="AH725" s="357">
        <f t="shared" ca="1" si="347"/>
        <v>-7.9218312915659022</v>
      </c>
    </row>
    <row r="726" spans="1:34">
      <c r="A726" s="402">
        <f t="shared" ca="1" si="325"/>
        <v>1E-4</v>
      </c>
      <c r="B726" s="357">
        <f t="shared" ca="1" si="326"/>
        <v>16.937299999999887</v>
      </c>
      <c r="C726" s="342"/>
      <c r="D726" s="359">
        <f t="shared" ca="1" si="327"/>
        <v>-0.70555908050631855</v>
      </c>
      <c r="E726" s="360">
        <f t="shared" ca="1" si="328"/>
        <v>-1.9195947359874648</v>
      </c>
      <c r="F726" s="357">
        <f t="shared" ca="1" si="329"/>
        <v>2.0451546558917508</v>
      </c>
      <c r="G726" s="359">
        <f t="shared" ca="1" si="330"/>
        <v>4.994658571172268</v>
      </c>
      <c r="H726" s="360">
        <f t="shared" ca="1" si="331"/>
        <v>-55.857225176805095</v>
      </c>
      <c r="I726" s="357">
        <f t="shared" ca="1" si="332"/>
        <v>56.080087541790562</v>
      </c>
      <c r="J726" s="359">
        <f t="shared" ca="1" si="333"/>
        <v>184.26379383972827</v>
      </c>
      <c r="K726" s="360">
        <f t="shared" ca="1" si="334"/>
        <v>-7.05285855457476</v>
      </c>
      <c r="L726" s="357">
        <f t="shared" ca="1" si="319"/>
        <v>184.39872161704571</v>
      </c>
      <c r="M726" s="359">
        <f t="shared" ca="1" si="335"/>
        <v>-1.4816152005492411</v>
      </c>
      <c r="N726" s="357">
        <f t="shared" ca="1" si="336"/>
        <v>-84.890297853900563</v>
      </c>
      <c r="O726" s="343"/>
      <c r="P726" s="363">
        <f t="shared" ca="1" si="337"/>
        <v>23</v>
      </c>
      <c r="Q726" s="357">
        <f t="shared" ca="1" si="338"/>
        <v>0</v>
      </c>
      <c r="R726" s="359">
        <f t="shared" ca="1" si="339"/>
        <v>0</v>
      </c>
      <c r="S726" s="360">
        <f t="shared" ca="1" si="340"/>
        <v>0.42898953648292248</v>
      </c>
      <c r="T726" s="357">
        <f t="shared" ca="1" si="320"/>
        <v>4.2083873528974696</v>
      </c>
      <c r="U726" s="364">
        <f t="shared" ca="1" si="321"/>
        <v>0</v>
      </c>
      <c r="V726" s="359">
        <f t="shared" ca="1" si="322"/>
        <v>1.2258642799551496</v>
      </c>
      <c r="W726" s="357">
        <f t="shared" ca="1" si="323"/>
        <v>3.3984313533958983</v>
      </c>
      <c r="X726" s="343"/>
      <c r="Y726" s="367" t="str">
        <f t="shared" ca="1" si="341"/>
        <v/>
      </c>
      <c r="Z726" s="368" t="str">
        <f t="shared" ca="1" si="342"/>
        <v/>
      </c>
      <c r="AA726" s="369" t="str">
        <f t="shared" ca="1" si="343"/>
        <v/>
      </c>
      <c r="AB726" s="344"/>
      <c r="AC726" s="363" t="e">
        <f t="shared" ca="1" si="344"/>
        <v>#N/A</v>
      </c>
      <c r="AD726" s="376" t="e">
        <f t="shared" ca="1" si="345"/>
        <v>#N/A</v>
      </c>
      <c r="AE726" s="377" t="e">
        <f t="shared" ca="1" si="324"/>
        <v>#N/A</v>
      </c>
      <c r="AF726" s="344"/>
      <c r="AG726" s="359">
        <f t="shared" ca="1" si="346"/>
        <v>1.8491257220493633</v>
      </c>
      <c r="AH726" s="357">
        <f t="shared" ca="1" si="347"/>
        <v>-7.9218879597253622</v>
      </c>
    </row>
    <row r="727" spans="1:34">
      <c r="A727" s="402">
        <f t="shared" ca="1" si="325"/>
        <v>1E-4</v>
      </c>
      <c r="B727" s="357">
        <f t="shared" ca="1" si="326"/>
        <v>16.937399999999887</v>
      </c>
      <c r="C727" s="342"/>
      <c r="D727" s="359">
        <f t="shared" ca="1" si="327"/>
        <v>-0.70555183424004964</v>
      </c>
      <c r="E727" s="360">
        <f t="shared" ca="1" si="328"/>
        <v>-1.9195371950910749</v>
      </c>
      <c r="F727" s="357">
        <f t="shared" ca="1" si="329"/>
        <v>2.0450981478006405</v>
      </c>
      <c r="G727" s="359">
        <f t="shared" ca="1" si="330"/>
        <v>4.9945880159888443</v>
      </c>
      <c r="H727" s="360">
        <f t="shared" ca="1" si="331"/>
        <v>-55.857417130524603</v>
      </c>
      <c r="I727" s="357">
        <f t="shared" ca="1" si="332"/>
        <v>56.080272448900274</v>
      </c>
      <c r="J727" s="359">
        <f t="shared" ca="1" si="333"/>
        <v>184.26379383972827</v>
      </c>
      <c r="K727" s="360">
        <f t="shared" ca="1" si="334"/>
        <v>-7.0584442866901265</v>
      </c>
      <c r="L727" s="357">
        <f t="shared" ca="1" si="319"/>
        <v>184.39893534388477</v>
      </c>
      <c r="M727" s="359">
        <f t="shared" ca="1" si="335"/>
        <v>-1.4816167585082087</v>
      </c>
      <c r="N727" s="357">
        <f t="shared" ca="1" si="336"/>
        <v>-84.890387118374065</v>
      </c>
      <c r="O727" s="343"/>
      <c r="P727" s="363">
        <f t="shared" ca="1" si="337"/>
        <v>23</v>
      </c>
      <c r="Q727" s="357">
        <f t="shared" ca="1" si="338"/>
        <v>0</v>
      </c>
      <c r="R727" s="359">
        <f t="shared" ca="1" si="339"/>
        <v>0</v>
      </c>
      <c r="S727" s="360">
        <f t="shared" ca="1" si="340"/>
        <v>0.42898953648292248</v>
      </c>
      <c r="T727" s="357">
        <f t="shared" ca="1" si="320"/>
        <v>4.2083873528974696</v>
      </c>
      <c r="U727" s="364">
        <f t="shared" ca="1" si="321"/>
        <v>0</v>
      </c>
      <c r="V727" s="359">
        <f t="shared" ca="1" si="322"/>
        <v>1.2258649646903734</v>
      </c>
      <c r="W727" s="357">
        <f t="shared" ca="1" si="323"/>
        <v>3.398455662315782</v>
      </c>
      <c r="X727" s="343"/>
      <c r="Y727" s="367" t="str">
        <f t="shared" ca="1" si="341"/>
        <v/>
      </c>
      <c r="Z727" s="368" t="str">
        <f t="shared" ca="1" si="342"/>
        <v/>
      </c>
      <c r="AA727" s="369" t="str">
        <f t="shared" ca="1" si="343"/>
        <v/>
      </c>
      <c r="AB727" s="344"/>
      <c r="AC727" s="363" t="e">
        <f t="shared" ca="1" si="344"/>
        <v>#N/A</v>
      </c>
      <c r="AD727" s="376" t="e">
        <f t="shared" ca="1" si="345"/>
        <v>#N/A</v>
      </c>
      <c r="AE727" s="377" t="e">
        <f t="shared" ca="1" si="324"/>
        <v>#N/A</v>
      </c>
      <c r="AF727" s="344"/>
      <c r="AG727" s="359">
        <f t="shared" ca="1" si="346"/>
        <v>1.8490704164448379</v>
      </c>
      <c r="AH727" s="357">
        <f t="shared" ca="1" si="347"/>
        <v>-7.9219446265705953</v>
      </c>
    </row>
    <row r="728" spans="1:34">
      <c r="A728" s="402">
        <f t="shared" ca="1" si="325"/>
        <v>1E-4</v>
      </c>
      <c r="B728" s="357">
        <f t="shared" ca="1" si="326"/>
        <v>16.937499999999886</v>
      </c>
      <c r="C728" s="342"/>
      <c r="D728" s="359">
        <f t="shared" ca="1" si="327"/>
        <v>-0.70554458793387553</v>
      </c>
      <c r="E728" s="360">
        <f t="shared" ca="1" si="328"/>
        <v>-1.9194796555298863</v>
      </c>
      <c r="F728" s="357">
        <f t="shared" ca="1" si="329"/>
        <v>2.0450416410322587</v>
      </c>
      <c r="G728" s="359">
        <f t="shared" ca="1" si="330"/>
        <v>4.9945174615300507</v>
      </c>
      <c r="H728" s="360">
        <f t="shared" ca="1" si="331"/>
        <v>-55.857609078490157</v>
      </c>
      <c r="I728" s="357">
        <f t="shared" ca="1" si="332"/>
        <v>56.080457350479541</v>
      </c>
      <c r="J728" s="359">
        <f t="shared" ca="1" si="333"/>
        <v>184.26379383972827</v>
      </c>
      <c r="K728" s="360">
        <f t="shared" ca="1" si="334"/>
        <v>-7.0640300380005776</v>
      </c>
      <c r="L728" s="357">
        <f t="shared" ca="1" si="319"/>
        <v>184.39914924041179</v>
      </c>
      <c r="M728" s="359">
        <f t="shared" ca="1" si="335"/>
        <v>-1.4816183164348951</v>
      </c>
      <c r="N728" s="357">
        <f t="shared" ca="1" si="336"/>
        <v>-84.890476380997981</v>
      </c>
      <c r="O728" s="343"/>
      <c r="P728" s="363">
        <f t="shared" ca="1" si="337"/>
        <v>23</v>
      </c>
      <c r="Q728" s="357">
        <f t="shared" ca="1" si="338"/>
        <v>0</v>
      </c>
      <c r="R728" s="359">
        <f t="shared" ca="1" si="339"/>
        <v>0</v>
      </c>
      <c r="S728" s="360">
        <f t="shared" ca="1" si="340"/>
        <v>0.42898953648292248</v>
      </c>
      <c r="T728" s="357">
        <f t="shared" ca="1" si="320"/>
        <v>4.2083873528974696</v>
      </c>
      <c r="U728" s="364">
        <f t="shared" ca="1" si="321"/>
        <v>0</v>
      </c>
      <c r="V728" s="359">
        <f t="shared" ca="1" si="322"/>
        <v>1.2258656494283333</v>
      </c>
      <c r="W728" s="357">
        <f t="shared" ca="1" si="323"/>
        <v>3.3984799706718891</v>
      </c>
      <c r="X728" s="343"/>
      <c r="Y728" s="367" t="str">
        <f t="shared" ca="1" si="341"/>
        <v/>
      </c>
      <c r="Z728" s="368" t="str">
        <f t="shared" ca="1" si="342"/>
        <v/>
      </c>
      <c r="AA728" s="369" t="str">
        <f t="shared" ca="1" si="343"/>
        <v/>
      </c>
      <c r="AB728" s="344"/>
      <c r="AC728" s="363" t="e">
        <f t="shared" ca="1" si="344"/>
        <v>#N/A</v>
      </c>
      <c r="AD728" s="376" t="e">
        <f t="shared" ca="1" si="345"/>
        <v>#N/A</v>
      </c>
      <c r="AE728" s="377" t="e">
        <f t="shared" ca="1" si="324"/>
        <v>#N/A</v>
      </c>
      <c r="AF728" s="344"/>
      <c r="AG728" s="359">
        <f t="shared" ca="1" si="346"/>
        <v>1.8490151121026077</v>
      </c>
      <c r="AH728" s="357">
        <f t="shared" ca="1" si="347"/>
        <v>-7.9220012921016085</v>
      </c>
    </row>
    <row r="729" spans="1:34">
      <c r="A729" s="402">
        <f t="shared" ca="1" si="325"/>
        <v>1E-4</v>
      </c>
      <c r="B729" s="357">
        <f t="shared" ca="1" si="326"/>
        <v>16.937599999999886</v>
      </c>
      <c r="C729" s="342"/>
      <c r="D729" s="359">
        <f t="shared" ca="1" si="327"/>
        <v>-0.70553734158780124</v>
      </c>
      <c r="E729" s="360">
        <f t="shared" ca="1" si="328"/>
        <v>-1.919422117303875</v>
      </c>
      <c r="F729" s="357">
        <f t="shared" ca="1" si="329"/>
        <v>2.0449851355865825</v>
      </c>
      <c r="G729" s="359">
        <f t="shared" ca="1" si="330"/>
        <v>4.9944469077958917</v>
      </c>
      <c r="H729" s="360">
        <f t="shared" ca="1" si="331"/>
        <v>-55.857801020701885</v>
      </c>
      <c r="I729" s="357">
        <f t="shared" ca="1" si="332"/>
        <v>56.080642246528491</v>
      </c>
      <c r="J729" s="359">
        <f t="shared" ca="1" si="333"/>
        <v>184.26379383972827</v>
      </c>
      <c r="K729" s="360">
        <f t="shared" ca="1" si="334"/>
        <v>-7.0696158085055369</v>
      </c>
      <c r="L729" s="357">
        <f t="shared" ca="1" si="319"/>
        <v>184.39936330662792</v>
      </c>
      <c r="M729" s="359">
        <f t="shared" ca="1" si="335"/>
        <v>-1.4816198743293008</v>
      </c>
      <c r="N729" s="357">
        <f t="shared" ca="1" si="336"/>
        <v>-84.890565641772355</v>
      </c>
      <c r="O729" s="343"/>
      <c r="P729" s="363">
        <f t="shared" ca="1" si="337"/>
        <v>23</v>
      </c>
      <c r="Q729" s="357">
        <f t="shared" ca="1" si="338"/>
        <v>0</v>
      </c>
      <c r="R729" s="359">
        <f t="shared" ca="1" si="339"/>
        <v>0</v>
      </c>
      <c r="S729" s="360">
        <f t="shared" ca="1" si="340"/>
        <v>0.42898953648292248</v>
      </c>
      <c r="T729" s="357">
        <f t="shared" ca="1" si="320"/>
        <v>4.2083873528974696</v>
      </c>
      <c r="U729" s="364">
        <f t="shared" ca="1" si="321"/>
        <v>0</v>
      </c>
      <c r="V729" s="359">
        <f t="shared" ca="1" si="322"/>
        <v>1.2258663341690288</v>
      </c>
      <c r="W729" s="357">
        <f t="shared" ca="1" si="323"/>
        <v>3.398504278464225</v>
      </c>
      <c r="X729" s="343"/>
      <c r="Y729" s="367" t="str">
        <f t="shared" ca="1" si="341"/>
        <v/>
      </c>
      <c r="Z729" s="368" t="str">
        <f t="shared" ca="1" si="342"/>
        <v/>
      </c>
      <c r="AA729" s="369" t="str">
        <f t="shared" ca="1" si="343"/>
        <v/>
      </c>
      <c r="AB729" s="344"/>
      <c r="AC729" s="363" t="e">
        <f t="shared" ca="1" si="344"/>
        <v>#N/A</v>
      </c>
      <c r="AD729" s="376" t="e">
        <f t="shared" ca="1" si="345"/>
        <v>#N/A</v>
      </c>
      <c r="AE729" s="377" t="e">
        <f t="shared" ca="1" si="324"/>
        <v>#N/A</v>
      </c>
      <c r="AF729" s="344"/>
      <c r="AG729" s="359">
        <f t="shared" ca="1" si="346"/>
        <v>1.8489598090226576</v>
      </c>
      <c r="AH729" s="357">
        <f t="shared" ca="1" si="347"/>
        <v>-7.9220579563184241</v>
      </c>
    </row>
    <row r="730" spans="1:34">
      <c r="A730" s="402">
        <f t="shared" ca="1" si="325"/>
        <v>1E-4</v>
      </c>
      <c r="B730" s="357">
        <f t="shared" ca="1" si="326"/>
        <v>16.937699999999886</v>
      </c>
      <c r="C730" s="342"/>
      <c r="D730" s="359">
        <f t="shared" ca="1" si="327"/>
        <v>-0.7055300952018343</v>
      </c>
      <c r="E730" s="360">
        <f t="shared" ca="1" si="328"/>
        <v>-1.9193645804130277</v>
      </c>
      <c r="F730" s="357">
        <f t="shared" ca="1" si="329"/>
        <v>2.0449286314635988</v>
      </c>
      <c r="G730" s="359">
        <f t="shared" ca="1" si="330"/>
        <v>4.9943763547863718</v>
      </c>
      <c r="H730" s="360">
        <f t="shared" ca="1" si="331"/>
        <v>-55.857992957159929</v>
      </c>
      <c r="I730" s="357">
        <f t="shared" ca="1" si="332"/>
        <v>56.080827137047272</v>
      </c>
      <c r="J730" s="359">
        <f t="shared" ca="1" si="333"/>
        <v>184.26379383972827</v>
      </c>
      <c r="K730" s="360">
        <f t="shared" ca="1" si="334"/>
        <v>-7.0752015982044298</v>
      </c>
      <c r="L730" s="357">
        <f t="shared" ca="1" si="319"/>
        <v>184.3995775425343</v>
      </c>
      <c r="M730" s="359">
        <f t="shared" ca="1" si="335"/>
        <v>-1.4816214321914272</v>
      </c>
      <c r="N730" s="357">
        <f t="shared" ca="1" si="336"/>
        <v>-84.890654900697257</v>
      </c>
      <c r="O730" s="343"/>
      <c r="P730" s="363">
        <f t="shared" ca="1" si="337"/>
        <v>23</v>
      </c>
      <c r="Q730" s="357">
        <f t="shared" ca="1" si="338"/>
        <v>0</v>
      </c>
      <c r="R730" s="359">
        <f t="shared" ca="1" si="339"/>
        <v>0</v>
      </c>
      <c r="S730" s="360">
        <f t="shared" ca="1" si="340"/>
        <v>0.42898953648292248</v>
      </c>
      <c r="T730" s="357">
        <f t="shared" ca="1" si="320"/>
        <v>4.2083873528974696</v>
      </c>
      <c r="U730" s="364">
        <f t="shared" ca="1" si="321"/>
        <v>0</v>
      </c>
      <c r="V730" s="359">
        <f t="shared" ca="1" si="322"/>
        <v>1.2258670189124599</v>
      </c>
      <c r="W730" s="357">
        <f t="shared" ca="1" si="323"/>
        <v>3.3985285856928007</v>
      </c>
      <c r="X730" s="343"/>
      <c r="Y730" s="367" t="str">
        <f t="shared" ca="1" si="341"/>
        <v/>
      </c>
      <c r="Z730" s="368" t="str">
        <f t="shared" ca="1" si="342"/>
        <v/>
      </c>
      <c r="AA730" s="369" t="str">
        <f t="shared" ca="1" si="343"/>
        <v/>
      </c>
      <c r="AB730" s="344"/>
      <c r="AC730" s="363" t="e">
        <f t="shared" ca="1" si="344"/>
        <v>#N/A</v>
      </c>
      <c r="AD730" s="376" t="e">
        <f t="shared" ca="1" si="345"/>
        <v>#N/A</v>
      </c>
      <c r="AE730" s="377" t="e">
        <f t="shared" ca="1" si="324"/>
        <v>#N/A</v>
      </c>
      <c r="AF730" s="344"/>
      <c r="AG730" s="359">
        <f t="shared" ca="1" si="346"/>
        <v>1.8489045072049715</v>
      </c>
      <c r="AH730" s="357">
        <f t="shared" ca="1" si="347"/>
        <v>-7.9221146192210563</v>
      </c>
    </row>
    <row r="731" spans="1:34">
      <c r="A731" s="402">
        <f t="shared" ca="1" si="325"/>
        <v>1E-4</v>
      </c>
      <c r="B731" s="357">
        <f t="shared" ca="1" si="326"/>
        <v>16.937799999999886</v>
      </c>
      <c r="C731" s="342"/>
      <c r="D731" s="359">
        <f t="shared" ca="1" si="327"/>
        <v>-0.70552284877597815</v>
      </c>
      <c r="E731" s="360">
        <f t="shared" ca="1" si="328"/>
        <v>-1.9193070448573195</v>
      </c>
      <c r="F731" s="357">
        <f t="shared" ca="1" si="329"/>
        <v>2.0448721286632834</v>
      </c>
      <c r="G731" s="359">
        <f t="shared" ca="1" si="330"/>
        <v>4.9943058025014944</v>
      </c>
      <c r="H731" s="360">
        <f t="shared" ca="1" si="331"/>
        <v>-55.858184887864418</v>
      </c>
      <c r="I731" s="357">
        <f t="shared" ca="1" si="332"/>
        <v>56.081012022035985</v>
      </c>
      <c r="J731" s="359">
        <f t="shared" ca="1" si="333"/>
        <v>184.26379383972827</v>
      </c>
      <c r="K731" s="360">
        <f t="shared" ca="1" si="334"/>
        <v>-7.0807874070966808</v>
      </c>
      <c r="L731" s="357">
        <f t="shared" ca="1" si="319"/>
        <v>184.39979194813205</v>
      </c>
      <c r="M731" s="359">
        <f t="shared" ca="1" si="335"/>
        <v>-1.481622990021275</v>
      </c>
      <c r="N731" s="357">
        <f t="shared" ca="1" si="336"/>
        <v>-84.890744157772744</v>
      </c>
      <c r="O731" s="343"/>
      <c r="P731" s="363">
        <f t="shared" ca="1" si="337"/>
        <v>23</v>
      </c>
      <c r="Q731" s="357">
        <f t="shared" ca="1" si="338"/>
        <v>0</v>
      </c>
      <c r="R731" s="359">
        <f t="shared" ca="1" si="339"/>
        <v>0</v>
      </c>
      <c r="S731" s="360">
        <f t="shared" ca="1" si="340"/>
        <v>0.42898953648292248</v>
      </c>
      <c r="T731" s="357">
        <f t="shared" ca="1" si="320"/>
        <v>4.2083873528974696</v>
      </c>
      <c r="U731" s="364">
        <f t="shared" ca="1" si="321"/>
        <v>0</v>
      </c>
      <c r="V731" s="359">
        <f t="shared" ca="1" si="322"/>
        <v>1.2258677036586263</v>
      </c>
      <c r="W731" s="357">
        <f t="shared" ca="1" si="323"/>
        <v>3.3985528923576203</v>
      </c>
      <c r="X731" s="343"/>
      <c r="Y731" s="367" t="str">
        <f t="shared" ca="1" si="341"/>
        <v/>
      </c>
      <c r="Z731" s="368" t="str">
        <f t="shared" ca="1" si="342"/>
        <v/>
      </c>
      <c r="AA731" s="369" t="str">
        <f t="shared" ca="1" si="343"/>
        <v/>
      </c>
      <c r="AB731" s="344"/>
      <c r="AC731" s="363" t="e">
        <f t="shared" ca="1" si="344"/>
        <v>#N/A</v>
      </c>
      <c r="AD731" s="376" t="e">
        <f t="shared" ca="1" si="345"/>
        <v>#N/A</v>
      </c>
      <c r="AE731" s="377" t="e">
        <f t="shared" ca="1" si="324"/>
        <v>#N/A</v>
      </c>
      <c r="AF731" s="344"/>
      <c r="AG731" s="359">
        <f t="shared" ca="1" si="346"/>
        <v>1.8488492066495299</v>
      </c>
      <c r="AH731" s="357">
        <f t="shared" ca="1" si="347"/>
        <v>-7.9221712808095299</v>
      </c>
    </row>
    <row r="732" spans="1:34">
      <c r="A732" s="402">
        <f t="shared" ca="1" si="325"/>
        <v>1E-4</v>
      </c>
      <c r="B732" s="357">
        <f t="shared" ca="1" si="326"/>
        <v>16.937899999999885</v>
      </c>
      <c r="C732" s="342"/>
      <c r="D732" s="359">
        <f t="shared" ca="1" si="327"/>
        <v>-0.70551560231024013</v>
      </c>
      <c r="E732" s="360">
        <f t="shared" ca="1" si="328"/>
        <v>-1.9192495106367389</v>
      </c>
      <c r="F732" s="357">
        <f t="shared" ca="1" si="329"/>
        <v>2.044815627185625</v>
      </c>
      <c r="G732" s="359">
        <f t="shared" ca="1" si="330"/>
        <v>4.9942352509412631</v>
      </c>
      <c r="H732" s="360">
        <f t="shared" ca="1" si="331"/>
        <v>-55.858376812815479</v>
      </c>
      <c r="I732" s="357">
        <f t="shared" ca="1" si="332"/>
        <v>56.081196901494764</v>
      </c>
      <c r="J732" s="359">
        <f t="shared" ca="1" si="333"/>
        <v>184.26379383972827</v>
      </c>
      <c r="K732" s="360">
        <f t="shared" ca="1" si="334"/>
        <v>-7.086373235181715</v>
      </c>
      <c r="L732" s="357">
        <f t="shared" ca="1" si="319"/>
        <v>184.40000652342229</v>
      </c>
      <c r="M732" s="359">
        <f t="shared" ca="1" si="335"/>
        <v>-1.481624547818845</v>
      </c>
      <c r="N732" s="357">
        <f t="shared" ca="1" si="336"/>
        <v>-84.890833412998845</v>
      </c>
      <c r="O732" s="343"/>
      <c r="P732" s="363">
        <f t="shared" ca="1" si="337"/>
        <v>23</v>
      </c>
      <c r="Q732" s="357">
        <f t="shared" ca="1" si="338"/>
        <v>0</v>
      </c>
      <c r="R732" s="359">
        <f t="shared" ca="1" si="339"/>
        <v>0</v>
      </c>
      <c r="S732" s="360">
        <f t="shared" ca="1" si="340"/>
        <v>0.42898953648292248</v>
      </c>
      <c r="T732" s="357">
        <f t="shared" ca="1" si="320"/>
        <v>4.2083873528974696</v>
      </c>
      <c r="U732" s="364">
        <f t="shared" ca="1" si="321"/>
        <v>0</v>
      </c>
      <c r="V732" s="359">
        <f t="shared" ca="1" si="322"/>
        <v>1.2258683884075283</v>
      </c>
      <c r="W732" s="357">
        <f t="shared" ca="1" si="323"/>
        <v>3.3985771984586939</v>
      </c>
      <c r="X732" s="343"/>
      <c r="Y732" s="367" t="str">
        <f t="shared" ca="1" si="341"/>
        <v/>
      </c>
      <c r="Z732" s="368" t="str">
        <f t="shared" ca="1" si="342"/>
        <v/>
      </c>
      <c r="AA732" s="369" t="str">
        <f t="shared" ca="1" si="343"/>
        <v/>
      </c>
      <c r="AB732" s="344"/>
      <c r="AC732" s="363" t="e">
        <f t="shared" ca="1" si="344"/>
        <v>#N/A</v>
      </c>
      <c r="AD732" s="376" t="e">
        <f t="shared" ca="1" si="345"/>
        <v>#N/A</v>
      </c>
      <c r="AE732" s="377" t="e">
        <f t="shared" ca="1" si="324"/>
        <v>#N/A</v>
      </c>
      <c r="AF732" s="344"/>
      <c r="AG732" s="359">
        <f t="shared" ca="1" si="346"/>
        <v>1.8487939073563231</v>
      </c>
      <c r="AH732" s="357">
        <f t="shared" ca="1" si="347"/>
        <v>-7.9222279410838548</v>
      </c>
    </row>
    <row r="733" spans="1:34">
      <c r="A733" s="402">
        <f t="shared" ca="1" si="325"/>
        <v>1E-4</v>
      </c>
      <c r="B733" s="357">
        <f t="shared" ca="1" si="326"/>
        <v>16.937999999999885</v>
      </c>
      <c r="C733" s="342"/>
      <c r="D733" s="359">
        <f t="shared" ca="1" si="327"/>
        <v>-0.70550835580462712</v>
      </c>
      <c r="E733" s="360">
        <f t="shared" ca="1" si="328"/>
        <v>-1.9191919777512618</v>
      </c>
      <c r="F733" s="357">
        <f t="shared" ca="1" si="329"/>
        <v>2.0447591270306016</v>
      </c>
      <c r="G733" s="359">
        <f t="shared" ca="1" si="330"/>
        <v>4.9941647001056824</v>
      </c>
      <c r="H733" s="360">
        <f t="shared" ca="1" si="331"/>
        <v>-55.858568732013254</v>
      </c>
      <c r="I733" s="357">
        <f t="shared" ca="1" si="332"/>
        <v>56.081381775423743</v>
      </c>
      <c r="J733" s="359">
        <f t="shared" ca="1" si="333"/>
        <v>184.26379383972827</v>
      </c>
      <c r="K733" s="360">
        <f t="shared" ca="1" si="334"/>
        <v>-7.0919590824589562</v>
      </c>
      <c r="L733" s="357">
        <f t="shared" ca="1" si="319"/>
        <v>184.40022126840617</v>
      </c>
      <c r="M733" s="359">
        <f t="shared" ca="1" si="335"/>
        <v>-1.4816261055841384</v>
      </c>
      <c r="N733" s="357">
        <f t="shared" ca="1" si="336"/>
        <v>-84.89092266637563</v>
      </c>
      <c r="O733" s="343"/>
      <c r="P733" s="363">
        <f t="shared" ca="1" si="337"/>
        <v>23</v>
      </c>
      <c r="Q733" s="357">
        <f t="shared" ca="1" si="338"/>
        <v>0</v>
      </c>
      <c r="R733" s="359">
        <f t="shared" ca="1" si="339"/>
        <v>0</v>
      </c>
      <c r="S733" s="360">
        <f t="shared" ca="1" si="340"/>
        <v>0.42898953648292248</v>
      </c>
      <c r="T733" s="357">
        <f t="shared" ca="1" si="320"/>
        <v>4.2083873528974696</v>
      </c>
      <c r="U733" s="364">
        <f t="shared" ca="1" si="321"/>
        <v>0</v>
      </c>
      <c r="V733" s="359">
        <f t="shared" ca="1" si="322"/>
        <v>1.2258690731591655</v>
      </c>
      <c r="W733" s="357">
        <f t="shared" ca="1" si="323"/>
        <v>3.3986015039960282</v>
      </c>
      <c r="X733" s="343"/>
      <c r="Y733" s="367" t="str">
        <f t="shared" ca="1" si="341"/>
        <v/>
      </c>
      <c r="Z733" s="368" t="str">
        <f t="shared" ca="1" si="342"/>
        <v/>
      </c>
      <c r="AA733" s="369" t="str">
        <f t="shared" ca="1" si="343"/>
        <v/>
      </c>
      <c r="AB733" s="344"/>
      <c r="AC733" s="363" t="e">
        <f t="shared" ca="1" si="344"/>
        <v>#N/A</v>
      </c>
      <c r="AD733" s="376" t="e">
        <f t="shared" ca="1" si="345"/>
        <v>#N/A</v>
      </c>
      <c r="AE733" s="377" t="e">
        <f t="shared" ca="1" si="324"/>
        <v>#N/A</v>
      </c>
      <c r="AF733" s="344"/>
      <c r="AG733" s="359">
        <f t="shared" ca="1" si="346"/>
        <v>1.8487386093253324</v>
      </c>
      <c r="AH733" s="357">
        <f t="shared" ca="1" si="347"/>
        <v>-7.9222846000440548</v>
      </c>
    </row>
    <row r="734" spans="1:34">
      <c r="A734" s="402">
        <f t="shared" ca="1" si="325"/>
        <v>1E-4</v>
      </c>
      <c r="B734" s="357">
        <f t="shared" ca="1" si="326"/>
        <v>16.938099999999885</v>
      </c>
      <c r="C734" s="342"/>
      <c r="D734" s="359">
        <f t="shared" ca="1" si="327"/>
        <v>-0.70550110925914322</v>
      </c>
      <c r="E734" s="360">
        <f t="shared" ca="1" si="328"/>
        <v>-1.9191344462008759</v>
      </c>
      <c r="F734" s="357">
        <f t="shared" ca="1" si="329"/>
        <v>2.0447026281981993</v>
      </c>
      <c r="G734" s="359">
        <f t="shared" ca="1" si="330"/>
        <v>4.9940941499947566</v>
      </c>
      <c r="H734" s="360">
        <f t="shared" ca="1" si="331"/>
        <v>-55.85876064545787</v>
      </c>
      <c r="I734" s="357">
        <f t="shared" ca="1" si="332"/>
        <v>56.081566643823038</v>
      </c>
      <c r="J734" s="359">
        <f t="shared" ca="1" si="333"/>
        <v>184.26379383972827</v>
      </c>
      <c r="K734" s="360">
        <f t="shared" ca="1" si="334"/>
        <v>-7.0975449489278297</v>
      </c>
      <c r="L734" s="357">
        <f t="shared" ca="1" si="319"/>
        <v>184.40043618308482</v>
      </c>
      <c r="M734" s="359">
        <f t="shared" ca="1" si="335"/>
        <v>-1.4816276633171559</v>
      </c>
      <c r="N734" s="357">
        <f t="shared" ca="1" si="336"/>
        <v>-84.891011917903128</v>
      </c>
      <c r="O734" s="343"/>
      <c r="P734" s="363">
        <f t="shared" ca="1" si="337"/>
        <v>23</v>
      </c>
      <c r="Q734" s="357">
        <f t="shared" ca="1" si="338"/>
        <v>0</v>
      </c>
      <c r="R734" s="359">
        <f t="shared" ca="1" si="339"/>
        <v>0</v>
      </c>
      <c r="S734" s="360">
        <f t="shared" ca="1" si="340"/>
        <v>0.42898953648292248</v>
      </c>
      <c r="T734" s="357">
        <f t="shared" ca="1" si="320"/>
        <v>4.2083873528974696</v>
      </c>
      <c r="U734" s="364">
        <f t="shared" ca="1" si="321"/>
        <v>0</v>
      </c>
      <c r="V734" s="359">
        <f t="shared" ca="1" si="322"/>
        <v>1.225869757913538</v>
      </c>
      <c r="W734" s="357">
        <f t="shared" ca="1" si="323"/>
        <v>3.3986258089696304</v>
      </c>
      <c r="X734" s="343"/>
      <c r="Y734" s="367" t="str">
        <f t="shared" ca="1" si="341"/>
        <v/>
      </c>
      <c r="Z734" s="368" t="str">
        <f t="shared" ca="1" si="342"/>
        <v/>
      </c>
      <c r="AA734" s="369" t="str">
        <f t="shared" ca="1" si="343"/>
        <v/>
      </c>
      <c r="AB734" s="344"/>
      <c r="AC734" s="363" t="e">
        <f t="shared" ca="1" si="344"/>
        <v>#N/A</v>
      </c>
      <c r="AD734" s="376" t="e">
        <f t="shared" ca="1" si="345"/>
        <v>#N/A</v>
      </c>
      <c r="AE734" s="377" t="e">
        <f t="shared" ca="1" si="324"/>
        <v>#N/A</v>
      </c>
      <c r="AF734" s="344"/>
      <c r="AG734" s="359">
        <f t="shared" ca="1" si="346"/>
        <v>1.8486833125565383</v>
      </c>
      <c r="AH734" s="357">
        <f t="shared" ca="1" si="347"/>
        <v>-7.9223412576901442</v>
      </c>
    </row>
    <row r="735" spans="1:34">
      <c r="A735" s="402">
        <f t="shared" ca="1" si="325"/>
        <v>1E-4</v>
      </c>
      <c r="B735" s="357">
        <f t="shared" ca="1" si="326"/>
        <v>16.938199999999885</v>
      </c>
      <c r="C735" s="342"/>
      <c r="D735" s="359">
        <f t="shared" ca="1" si="327"/>
        <v>-0.70549386267379655</v>
      </c>
      <c r="E735" s="360">
        <f t="shared" ca="1" si="328"/>
        <v>-1.9190769159855581</v>
      </c>
      <c r="F735" s="357">
        <f t="shared" ca="1" si="329"/>
        <v>2.0446461306883972</v>
      </c>
      <c r="G735" s="359">
        <f t="shared" ca="1" si="330"/>
        <v>4.9940236006084895</v>
      </c>
      <c r="H735" s="360">
        <f t="shared" ca="1" si="331"/>
        <v>-55.858952553149471</v>
      </c>
      <c r="I735" s="357">
        <f t="shared" ca="1" si="332"/>
        <v>56.08175150669279</v>
      </c>
      <c r="J735" s="359">
        <f t="shared" ca="1" si="333"/>
        <v>184.26379383972827</v>
      </c>
      <c r="K735" s="360">
        <f t="shared" ca="1" si="334"/>
        <v>-7.10313083458776</v>
      </c>
      <c r="L735" s="357">
        <f t="shared" ca="1" si="319"/>
        <v>184.40065126745932</v>
      </c>
      <c r="M735" s="359">
        <f t="shared" ca="1" si="335"/>
        <v>-1.4816292210178985</v>
      </c>
      <c r="N735" s="357">
        <f t="shared" ca="1" si="336"/>
        <v>-84.891101167581425</v>
      </c>
      <c r="O735" s="343"/>
      <c r="P735" s="363">
        <f t="shared" ca="1" si="337"/>
        <v>23</v>
      </c>
      <c r="Q735" s="357">
        <f t="shared" ca="1" si="338"/>
        <v>0</v>
      </c>
      <c r="R735" s="359">
        <f t="shared" ca="1" si="339"/>
        <v>0</v>
      </c>
      <c r="S735" s="360">
        <f t="shared" ca="1" si="340"/>
        <v>0.42898953648292248</v>
      </c>
      <c r="T735" s="357">
        <f t="shared" ca="1" si="320"/>
        <v>4.2083873528974696</v>
      </c>
      <c r="U735" s="364">
        <f t="shared" ca="1" si="321"/>
        <v>0</v>
      </c>
      <c r="V735" s="359">
        <f t="shared" ca="1" si="322"/>
        <v>1.2258704426706459</v>
      </c>
      <c r="W735" s="357">
        <f t="shared" ca="1" si="323"/>
        <v>3.3986501133795102</v>
      </c>
      <c r="X735" s="343"/>
      <c r="Y735" s="367" t="str">
        <f t="shared" ca="1" si="341"/>
        <v/>
      </c>
      <c r="Z735" s="368" t="str">
        <f t="shared" ca="1" si="342"/>
        <v/>
      </c>
      <c r="AA735" s="369" t="str">
        <f t="shared" ca="1" si="343"/>
        <v/>
      </c>
      <c r="AB735" s="344"/>
      <c r="AC735" s="363" t="e">
        <f t="shared" ca="1" si="344"/>
        <v>#N/A</v>
      </c>
      <c r="AD735" s="376" t="e">
        <f t="shared" ca="1" si="345"/>
        <v>#N/A</v>
      </c>
      <c r="AE735" s="377" t="e">
        <f t="shared" ca="1" si="324"/>
        <v>#N/A</v>
      </c>
      <c r="AF735" s="344"/>
      <c r="AG735" s="359">
        <f t="shared" ca="1" si="346"/>
        <v>1.8486280170499345</v>
      </c>
      <c r="AH735" s="357">
        <f t="shared" ca="1" si="347"/>
        <v>-7.9223979140221417</v>
      </c>
    </row>
    <row r="736" spans="1:34">
      <c r="A736" s="402">
        <f t="shared" ca="1" si="325"/>
        <v>1E-4</v>
      </c>
      <c r="B736" s="357">
        <f t="shared" ca="1" si="326"/>
        <v>16.938299999999884</v>
      </c>
      <c r="C736" s="342"/>
      <c r="D736" s="359">
        <f t="shared" ca="1" si="327"/>
        <v>-0.70548661604859175</v>
      </c>
      <c r="E736" s="360">
        <f t="shared" ca="1" si="328"/>
        <v>-1.9190193871052923</v>
      </c>
      <c r="F736" s="357">
        <f t="shared" ca="1" si="329"/>
        <v>2.0445896345011789</v>
      </c>
      <c r="G736" s="359">
        <f t="shared" ca="1" si="330"/>
        <v>4.9939530519468844</v>
      </c>
      <c r="H736" s="360">
        <f t="shared" ca="1" si="331"/>
        <v>-55.859144455088185</v>
      </c>
      <c r="I736" s="357">
        <f t="shared" ca="1" si="332"/>
        <v>56.081936364033105</v>
      </c>
      <c r="J736" s="359">
        <f t="shared" ca="1" si="333"/>
        <v>184.26379383972827</v>
      </c>
      <c r="K736" s="360">
        <f t="shared" ca="1" si="334"/>
        <v>-7.1087167394381723</v>
      </c>
      <c r="L736" s="357">
        <f t="shared" ca="1" si="319"/>
        <v>184.4008665215309</v>
      </c>
      <c r="M736" s="359">
        <f t="shared" ca="1" si="335"/>
        <v>-1.4816307786863674</v>
      </c>
      <c r="N736" s="357">
        <f t="shared" ca="1" si="336"/>
        <v>-84.891190415410577</v>
      </c>
      <c r="O736" s="343"/>
      <c r="P736" s="363">
        <f t="shared" ca="1" si="337"/>
        <v>23</v>
      </c>
      <c r="Q736" s="357">
        <f t="shared" ca="1" si="338"/>
        <v>0</v>
      </c>
      <c r="R736" s="359">
        <f t="shared" ca="1" si="339"/>
        <v>0</v>
      </c>
      <c r="S736" s="360">
        <f t="shared" ca="1" si="340"/>
        <v>0.42898953648292248</v>
      </c>
      <c r="T736" s="357">
        <f t="shared" ca="1" si="320"/>
        <v>4.2083873528974696</v>
      </c>
      <c r="U736" s="364">
        <f t="shared" ca="1" si="321"/>
        <v>0</v>
      </c>
      <c r="V736" s="359">
        <f t="shared" ca="1" si="322"/>
        <v>1.2258711274304888</v>
      </c>
      <c r="W736" s="357">
        <f t="shared" ca="1" si="323"/>
        <v>3.3986744172256711</v>
      </c>
      <c r="X736" s="343"/>
      <c r="Y736" s="367" t="str">
        <f t="shared" ca="1" si="341"/>
        <v/>
      </c>
      <c r="Z736" s="368" t="str">
        <f t="shared" ca="1" si="342"/>
        <v/>
      </c>
      <c r="AA736" s="369" t="str">
        <f t="shared" ca="1" si="343"/>
        <v/>
      </c>
      <c r="AB736" s="344"/>
      <c r="AC736" s="363" t="e">
        <f t="shared" ca="1" si="344"/>
        <v>#N/A</v>
      </c>
      <c r="AD736" s="376" t="e">
        <f t="shared" ca="1" si="345"/>
        <v>#N/A</v>
      </c>
      <c r="AE736" s="377" t="e">
        <f t="shared" ca="1" si="324"/>
        <v>#N/A</v>
      </c>
      <c r="AF736" s="344"/>
      <c r="AG736" s="359">
        <f t="shared" ca="1" si="346"/>
        <v>1.8485727228054971</v>
      </c>
      <c r="AH736" s="357">
        <f t="shared" ca="1" si="347"/>
        <v>-7.9224545690400676</v>
      </c>
    </row>
    <row r="737" spans="1:34">
      <c r="A737" s="402">
        <f t="shared" ca="1" si="325"/>
        <v>1E-4</v>
      </c>
      <c r="B737" s="357">
        <f t="shared" ca="1" si="326"/>
        <v>16.938399999999884</v>
      </c>
      <c r="C737" s="342"/>
      <c r="D737" s="359">
        <f t="shared" ca="1" si="327"/>
        <v>-0.70547936938353273</v>
      </c>
      <c r="E737" s="360">
        <f t="shared" ca="1" si="328"/>
        <v>-1.9189618595600644</v>
      </c>
      <c r="F737" s="357">
        <f t="shared" ca="1" si="329"/>
        <v>2.0445331396365298</v>
      </c>
      <c r="G737" s="359">
        <f t="shared" ca="1" si="330"/>
        <v>4.9938825040099459</v>
      </c>
      <c r="H737" s="360">
        <f t="shared" ca="1" si="331"/>
        <v>-55.859336351274138</v>
      </c>
      <c r="I737" s="357">
        <f t="shared" ca="1" si="332"/>
        <v>56.082121215844118</v>
      </c>
      <c r="J737" s="359">
        <f t="shared" ca="1" si="333"/>
        <v>184.26379383972827</v>
      </c>
      <c r="K737" s="360">
        <f t="shared" ca="1" si="334"/>
        <v>-7.1143026634784903</v>
      </c>
      <c r="L737" s="357">
        <f t="shared" ca="1" si="319"/>
        <v>184.40108194530058</v>
      </c>
      <c r="M737" s="359">
        <f t="shared" ca="1" si="335"/>
        <v>-1.481632336322563</v>
      </c>
      <c r="N737" s="357">
        <f t="shared" ca="1" si="336"/>
        <v>-84.891279661390598</v>
      </c>
      <c r="O737" s="343"/>
      <c r="P737" s="363">
        <f t="shared" ca="1" si="337"/>
        <v>23</v>
      </c>
      <c r="Q737" s="357">
        <f t="shared" ca="1" si="338"/>
        <v>0</v>
      </c>
      <c r="R737" s="359">
        <f t="shared" ca="1" si="339"/>
        <v>0</v>
      </c>
      <c r="S737" s="360">
        <f t="shared" ca="1" si="340"/>
        <v>0.42898953648292248</v>
      </c>
      <c r="T737" s="357">
        <f t="shared" ca="1" si="320"/>
        <v>4.2083873528974696</v>
      </c>
      <c r="U737" s="364">
        <f t="shared" ca="1" si="321"/>
        <v>0</v>
      </c>
      <c r="V737" s="359">
        <f t="shared" ca="1" si="322"/>
        <v>1.2258718121930665</v>
      </c>
      <c r="W737" s="357">
        <f t="shared" ca="1" si="323"/>
        <v>3.3986987205081243</v>
      </c>
      <c r="X737" s="343"/>
      <c r="Y737" s="367" t="str">
        <f t="shared" ca="1" si="341"/>
        <v/>
      </c>
      <c r="Z737" s="368" t="str">
        <f t="shared" ca="1" si="342"/>
        <v/>
      </c>
      <c r="AA737" s="369" t="str">
        <f t="shared" ca="1" si="343"/>
        <v/>
      </c>
      <c r="AB737" s="344"/>
      <c r="AC737" s="363" t="e">
        <f t="shared" ca="1" si="344"/>
        <v>#N/A</v>
      </c>
      <c r="AD737" s="376" t="e">
        <f t="shared" ca="1" si="345"/>
        <v>#N/A</v>
      </c>
      <c r="AE737" s="377" t="e">
        <f t="shared" ca="1" si="324"/>
        <v>#N/A</v>
      </c>
      <c r="AF737" s="344"/>
      <c r="AG737" s="359">
        <f t="shared" ca="1" si="346"/>
        <v>1.8485174298232172</v>
      </c>
      <c r="AH737" s="357">
        <f t="shared" ca="1" si="347"/>
        <v>-7.9225112227439327</v>
      </c>
    </row>
    <row r="738" spans="1:34">
      <c r="A738" s="402">
        <f t="shared" ca="1" si="325"/>
        <v>1E-4</v>
      </c>
      <c r="B738" s="357">
        <f t="shared" ca="1" si="326"/>
        <v>16.938499999999884</v>
      </c>
      <c r="C738" s="342"/>
      <c r="D738" s="359">
        <f t="shared" ca="1" si="327"/>
        <v>-0.7054721226786298</v>
      </c>
      <c r="E738" s="360">
        <f t="shared" ca="1" si="328"/>
        <v>-1.9189043333498503</v>
      </c>
      <c r="F738" s="357">
        <f t="shared" ca="1" si="329"/>
        <v>2.044476646094429</v>
      </c>
      <c r="G738" s="359">
        <f t="shared" ca="1" si="330"/>
        <v>4.9938119567976784</v>
      </c>
      <c r="H738" s="360">
        <f t="shared" ca="1" si="331"/>
        <v>-55.859528241707473</v>
      </c>
      <c r="I738" s="357">
        <f t="shared" ca="1" si="332"/>
        <v>56.082306062125959</v>
      </c>
      <c r="J738" s="359">
        <f t="shared" ca="1" si="333"/>
        <v>184.26379383972827</v>
      </c>
      <c r="K738" s="360">
        <f t="shared" ca="1" si="334"/>
        <v>-7.1198886067081393</v>
      </c>
      <c r="L738" s="357">
        <f t="shared" ca="1" si="319"/>
        <v>184.40129753876954</v>
      </c>
      <c r="M738" s="359">
        <f t="shared" ca="1" si="335"/>
        <v>-1.4816338939264866</v>
      </c>
      <c r="N738" s="357">
        <f t="shared" ca="1" si="336"/>
        <v>-84.891368905521574</v>
      </c>
      <c r="O738" s="343"/>
      <c r="P738" s="363">
        <f t="shared" ca="1" si="337"/>
        <v>23</v>
      </c>
      <c r="Q738" s="357">
        <f t="shared" ca="1" si="338"/>
        <v>0</v>
      </c>
      <c r="R738" s="359">
        <f t="shared" ca="1" si="339"/>
        <v>0</v>
      </c>
      <c r="S738" s="360">
        <f t="shared" ca="1" si="340"/>
        <v>0.42898953648292248</v>
      </c>
      <c r="T738" s="357">
        <f t="shared" ca="1" si="320"/>
        <v>4.2083873528974696</v>
      </c>
      <c r="U738" s="364">
        <f t="shared" ca="1" si="321"/>
        <v>0</v>
      </c>
      <c r="V738" s="359">
        <f t="shared" ca="1" si="322"/>
        <v>1.2258724969583794</v>
      </c>
      <c r="W738" s="357">
        <f t="shared" ca="1" si="323"/>
        <v>3.3987230232268759</v>
      </c>
      <c r="X738" s="343"/>
      <c r="Y738" s="367" t="str">
        <f t="shared" ca="1" si="341"/>
        <v/>
      </c>
      <c r="Z738" s="368" t="str">
        <f t="shared" ca="1" si="342"/>
        <v/>
      </c>
      <c r="AA738" s="369" t="str">
        <f t="shared" ca="1" si="343"/>
        <v/>
      </c>
      <c r="AB738" s="344"/>
      <c r="AC738" s="363" t="e">
        <f t="shared" ca="1" si="344"/>
        <v>#N/A</v>
      </c>
      <c r="AD738" s="376" t="e">
        <f t="shared" ca="1" si="345"/>
        <v>#N/A</v>
      </c>
      <c r="AE738" s="377" t="e">
        <f t="shared" ca="1" si="324"/>
        <v>#N/A</v>
      </c>
      <c r="AF738" s="344"/>
      <c r="AG738" s="359">
        <f t="shared" ca="1" si="346"/>
        <v>1.8484621381030761</v>
      </c>
      <c r="AH738" s="357">
        <f t="shared" ca="1" si="347"/>
        <v>-7.9225678751337609</v>
      </c>
    </row>
    <row r="739" spans="1:34">
      <c r="A739" s="402">
        <f t="shared" ca="1" si="325"/>
        <v>1E-4</v>
      </c>
      <c r="B739" s="357">
        <f t="shared" ca="1" si="326"/>
        <v>16.938599999999884</v>
      </c>
      <c r="C739" s="342"/>
      <c r="D739" s="359">
        <f t="shared" ca="1" si="327"/>
        <v>-0.70546487593388563</v>
      </c>
      <c r="E739" s="360">
        <f t="shared" ca="1" si="328"/>
        <v>-1.9188468084746342</v>
      </c>
      <c r="F739" s="357">
        <f t="shared" ca="1" si="329"/>
        <v>2.0444201538748588</v>
      </c>
      <c r="G739" s="359">
        <f t="shared" ca="1" si="330"/>
        <v>4.9937414103100854</v>
      </c>
      <c r="H739" s="360">
        <f t="shared" ca="1" si="331"/>
        <v>-55.859720126388318</v>
      </c>
      <c r="I739" s="357">
        <f t="shared" ca="1" si="332"/>
        <v>56.082490902878753</v>
      </c>
      <c r="J739" s="359">
        <f t="shared" ca="1" si="333"/>
        <v>184.26379383972827</v>
      </c>
      <c r="K739" s="360">
        <f t="shared" ca="1" si="334"/>
        <v>-7.1254745691265438</v>
      </c>
      <c r="L739" s="357">
        <f t="shared" ca="1" si="319"/>
        <v>184.40151330193891</v>
      </c>
      <c r="M739" s="359">
        <f t="shared" ca="1" si="335"/>
        <v>-1.4816354514981389</v>
      </c>
      <c r="N739" s="357">
        <f t="shared" ca="1" si="336"/>
        <v>-84.891458147803547</v>
      </c>
      <c r="O739" s="343"/>
      <c r="P739" s="363">
        <f t="shared" ca="1" si="337"/>
        <v>23</v>
      </c>
      <c r="Q739" s="357">
        <f t="shared" ca="1" si="338"/>
        <v>0</v>
      </c>
      <c r="R739" s="359">
        <f t="shared" ca="1" si="339"/>
        <v>0</v>
      </c>
      <c r="S739" s="360">
        <f t="shared" ca="1" si="340"/>
        <v>0.42898953648292248</v>
      </c>
      <c r="T739" s="357">
        <f t="shared" ca="1" si="320"/>
        <v>4.2083873528974696</v>
      </c>
      <c r="U739" s="364">
        <f t="shared" ca="1" si="321"/>
        <v>0</v>
      </c>
      <c r="V739" s="359">
        <f t="shared" ca="1" si="322"/>
        <v>1.2258731817264272</v>
      </c>
      <c r="W739" s="357">
        <f t="shared" ca="1" si="323"/>
        <v>3.3987473253819349</v>
      </c>
      <c r="X739" s="343"/>
      <c r="Y739" s="367" t="str">
        <f t="shared" ca="1" si="341"/>
        <v/>
      </c>
      <c r="Z739" s="368" t="str">
        <f t="shared" ca="1" si="342"/>
        <v/>
      </c>
      <c r="AA739" s="369" t="str">
        <f t="shared" ca="1" si="343"/>
        <v/>
      </c>
      <c r="AB739" s="344"/>
      <c r="AC739" s="363" t="e">
        <f t="shared" ca="1" si="344"/>
        <v>#N/A</v>
      </c>
      <c r="AD739" s="376" t="e">
        <f t="shared" ca="1" si="345"/>
        <v>#N/A</v>
      </c>
      <c r="AE739" s="377" t="e">
        <f t="shared" ca="1" si="324"/>
        <v>#N/A</v>
      </c>
      <c r="AF739" s="344"/>
      <c r="AG739" s="359">
        <f t="shared" ca="1" si="346"/>
        <v>1.8484068476450597</v>
      </c>
      <c r="AH739" s="357">
        <f t="shared" ca="1" si="347"/>
        <v>-7.9226245262095683</v>
      </c>
    </row>
    <row r="740" spans="1:34">
      <c r="A740" s="402">
        <f t="shared" ca="1" si="325"/>
        <v>1E-4</v>
      </c>
      <c r="B740" s="357">
        <f t="shared" ca="1" si="326"/>
        <v>16.938699999999884</v>
      </c>
      <c r="C740" s="342"/>
      <c r="D740" s="359">
        <f t="shared" ca="1" si="327"/>
        <v>-0.70545762914930843</v>
      </c>
      <c r="E740" s="360">
        <f t="shared" ca="1" si="328"/>
        <v>-1.9187892849343973</v>
      </c>
      <c r="F740" s="357">
        <f t="shared" ca="1" si="329"/>
        <v>2.0443636629778026</v>
      </c>
      <c r="G740" s="359">
        <f t="shared" ca="1" si="330"/>
        <v>4.9936708645471706</v>
      </c>
      <c r="H740" s="360">
        <f t="shared" ca="1" si="331"/>
        <v>-55.859912005316808</v>
      </c>
      <c r="I740" s="357">
        <f t="shared" ca="1" si="332"/>
        <v>56.082675738102623</v>
      </c>
      <c r="J740" s="359">
        <f t="shared" ca="1" si="333"/>
        <v>184.26379383972827</v>
      </c>
      <c r="K740" s="360">
        <f t="shared" ca="1" si="334"/>
        <v>-7.1310605507331291</v>
      </c>
      <c r="L740" s="357">
        <f t="shared" ca="1" si="319"/>
        <v>184.40172923480978</v>
      </c>
      <c r="M740" s="359">
        <f t="shared" ca="1" si="335"/>
        <v>-1.481637009037521</v>
      </c>
      <c r="N740" s="357">
        <f t="shared" ca="1" si="336"/>
        <v>-84.89154738823656</v>
      </c>
      <c r="O740" s="343"/>
      <c r="P740" s="363">
        <f t="shared" ca="1" si="337"/>
        <v>23</v>
      </c>
      <c r="Q740" s="357">
        <f t="shared" ca="1" si="338"/>
        <v>0</v>
      </c>
      <c r="R740" s="359">
        <f t="shared" ca="1" si="339"/>
        <v>0</v>
      </c>
      <c r="S740" s="360">
        <f t="shared" ca="1" si="340"/>
        <v>0.42898953648292248</v>
      </c>
      <c r="T740" s="357">
        <f t="shared" ca="1" si="320"/>
        <v>4.2083873528974696</v>
      </c>
      <c r="U740" s="364">
        <f t="shared" ca="1" si="321"/>
        <v>0</v>
      </c>
      <c r="V740" s="359">
        <f t="shared" ca="1" si="322"/>
        <v>1.22587386649721</v>
      </c>
      <c r="W740" s="357">
        <f t="shared" ca="1" si="323"/>
        <v>3.3987716269733075</v>
      </c>
      <c r="X740" s="343"/>
      <c r="Y740" s="367" t="str">
        <f t="shared" ca="1" si="341"/>
        <v/>
      </c>
      <c r="Z740" s="368" t="str">
        <f t="shared" ca="1" si="342"/>
        <v/>
      </c>
      <c r="AA740" s="369" t="str">
        <f t="shared" ca="1" si="343"/>
        <v/>
      </c>
      <c r="AB740" s="344"/>
      <c r="AC740" s="363" t="e">
        <f t="shared" ca="1" si="344"/>
        <v>#N/A</v>
      </c>
      <c r="AD740" s="376" t="e">
        <f t="shared" ca="1" si="345"/>
        <v>#N/A</v>
      </c>
      <c r="AE740" s="377" t="e">
        <f t="shared" ca="1" si="324"/>
        <v>#N/A</v>
      </c>
      <c r="AF740" s="344"/>
      <c r="AG740" s="359">
        <f t="shared" ca="1" si="346"/>
        <v>1.8483515584491466</v>
      </c>
      <c r="AH740" s="357">
        <f t="shared" ca="1" si="347"/>
        <v>-7.9226811759713742</v>
      </c>
    </row>
    <row r="741" spans="1:34">
      <c r="A741" s="402">
        <f t="shared" ca="1" si="325"/>
        <v>1E-4</v>
      </c>
      <c r="B741" s="357">
        <f t="shared" ca="1" si="326"/>
        <v>16.938799999999883</v>
      </c>
      <c r="C741" s="342"/>
      <c r="D741" s="359">
        <f t="shared" ca="1" si="327"/>
        <v>-0.7054503823249022</v>
      </c>
      <c r="E741" s="360">
        <f t="shared" ca="1" si="328"/>
        <v>-1.9187317627291236</v>
      </c>
      <c r="F741" s="357">
        <f t="shared" ca="1" si="329"/>
        <v>2.0443071734032436</v>
      </c>
      <c r="G741" s="359">
        <f t="shared" ca="1" si="330"/>
        <v>4.9936003195089382</v>
      </c>
      <c r="H741" s="360">
        <f t="shared" ca="1" si="331"/>
        <v>-55.860103878493078</v>
      </c>
      <c r="I741" s="357">
        <f t="shared" ca="1" si="332"/>
        <v>56.082860567797695</v>
      </c>
      <c r="J741" s="359">
        <f t="shared" ca="1" si="333"/>
        <v>184.26379383972827</v>
      </c>
      <c r="K741" s="360">
        <f t="shared" ca="1" si="334"/>
        <v>-7.1366465515273196</v>
      </c>
      <c r="L741" s="357">
        <f t="shared" ca="1" si="319"/>
        <v>184.40194533738332</v>
      </c>
      <c r="M741" s="359">
        <f t="shared" ca="1" si="335"/>
        <v>-1.4816385665446339</v>
      </c>
      <c r="N741" s="357">
        <f t="shared" ca="1" si="336"/>
        <v>-84.891636626820699</v>
      </c>
      <c r="O741" s="343"/>
      <c r="P741" s="363">
        <f t="shared" ca="1" si="337"/>
        <v>23</v>
      </c>
      <c r="Q741" s="357">
        <f t="shared" ca="1" si="338"/>
        <v>0</v>
      </c>
      <c r="R741" s="359">
        <f t="shared" ca="1" si="339"/>
        <v>0</v>
      </c>
      <c r="S741" s="360">
        <f t="shared" ca="1" si="340"/>
        <v>0.42898953648292248</v>
      </c>
      <c r="T741" s="357">
        <f t="shared" ca="1" si="320"/>
        <v>4.2083873528974696</v>
      </c>
      <c r="U741" s="364">
        <f t="shared" ca="1" si="321"/>
        <v>0</v>
      </c>
      <c r="V741" s="359">
        <f t="shared" ca="1" si="322"/>
        <v>1.2258745512707276</v>
      </c>
      <c r="W741" s="357">
        <f t="shared" ca="1" si="323"/>
        <v>3.3987959280010025</v>
      </c>
      <c r="X741" s="343"/>
      <c r="Y741" s="367" t="str">
        <f t="shared" ca="1" si="341"/>
        <v/>
      </c>
      <c r="Z741" s="368" t="str">
        <f t="shared" ca="1" si="342"/>
        <v/>
      </c>
      <c r="AA741" s="369" t="str">
        <f t="shared" ca="1" si="343"/>
        <v/>
      </c>
      <c r="AB741" s="344"/>
      <c r="AC741" s="363" t="e">
        <f t="shared" ca="1" si="344"/>
        <v>#N/A</v>
      </c>
      <c r="AD741" s="376" t="e">
        <f t="shared" ca="1" si="345"/>
        <v>#N/A</v>
      </c>
      <c r="AE741" s="377" t="e">
        <f t="shared" ca="1" si="324"/>
        <v>#N/A</v>
      </c>
      <c r="AF741" s="344"/>
      <c r="AG741" s="359">
        <f t="shared" ca="1" si="346"/>
        <v>1.8482962705153296</v>
      </c>
      <c r="AH741" s="357">
        <f t="shared" ca="1" si="347"/>
        <v>-7.9227378244191931</v>
      </c>
    </row>
    <row r="742" spans="1:34">
      <c r="A742" s="402">
        <f t="shared" ca="1" si="325"/>
        <v>1E-4</v>
      </c>
      <c r="B742" s="357">
        <f t="shared" ca="1" si="326"/>
        <v>16.938899999999883</v>
      </c>
      <c r="C742" s="342"/>
      <c r="D742" s="359">
        <f t="shared" ca="1" si="327"/>
        <v>-0.70544313546067361</v>
      </c>
      <c r="E742" s="360">
        <f t="shared" ca="1" si="328"/>
        <v>-1.918674241858791</v>
      </c>
      <c r="F742" s="357">
        <f t="shared" ca="1" si="329"/>
        <v>2.0442506851511615</v>
      </c>
      <c r="G742" s="359">
        <f t="shared" ca="1" si="330"/>
        <v>4.993529775195392</v>
      </c>
      <c r="H742" s="360">
        <f t="shared" ca="1" si="331"/>
        <v>-55.860295745917263</v>
      </c>
      <c r="I742" s="357">
        <f t="shared" ca="1" si="332"/>
        <v>56.083045391964099</v>
      </c>
      <c r="J742" s="359">
        <f t="shared" ca="1" si="333"/>
        <v>184.26379383972827</v>
      </c>
      <c r="K742" s="360">
        <f t="shared" ca="1" si="334"/>
        <v>-7.14223257150854</v>
      </c>
      <c r="L742" s="357">
        <f t="shared" ca="1" si="319"/>
        <v>184.40216160966065</v>
      </c>
      <c r="M742" s="359">
        <f t="shared" ca="1" si="335"/>
        <v>-1.4816401240194783</v>
      </c>
      <c r="N742" s="357">
        <f t="shared" ca="1" si="336"/>
        <v>-84.891725863555976</v>
      </c>
      <c r="O742" s="343"/>
      <c r="P742" s="363">
        <f t="shared" ca="1" si="337"/>
        <v>23</v>
      </c>
      <c r="Q742" s="357">
        <f t="shared" ca="1" si="338"/>
        <v>0</v>
      </c>
      <c r="R742" s="359">
        <f t="shared" ca="1" si="339"/>
        <v>0</v>
      </c>
      <c r="S742" s="360">
        <f t="shared" ca="1" si="340"/>
        <v>0.42898953648292248</v>
      </c>
      <c r="T742" s="357">
        <f t="shared" ca="1" si="320"/>
        <v>4.2083873528974696</v>
      </c>
      <c r="U742" s="364">
        <f t="shared" ca="1" si="321"/>
        <v>0</v>
      </c>
      <c r="V742" s="359">
        <f t="shared" ca="1" si="322"/>
        <v>1.2258752360469802</v>
      </c>
      <c r="W742" s="357">
        <f t="shared" ca="1" si="323"/>
        <v>3.3988202284650271</v>
      </c>
      <c r="X742" s="343"/>
      <c r="Y742" s="367" t="str">
        <f t="shared" ca="1" si="341"/>
        <v/>
      </c>
      <c r="Z742" s="368" t="str">
        <f t="shared" ca="1" si="342"/>
        <v/>
      </c>
      <c r="AA742" s="369" t="str">
        <f t="shared" ca="1" si="343"/>
        <v/>
      </c>
      <c r="AB742" s="344"/>
      <c r="AC742" s="363" t="e">
        <f t="shared" ca="1" si="344"/>
        <v>#N/A</v>
      </c>
      <c r="AD742" s="376" t="e">
        <f t="shared" ca="1" si="345"/>
        <v>#N/A</v>
      </c>
      <c r="AE742" s="377" t="e">
        <f t="shared" ca="1" si="324"/>
        <v>#N/A</v>
      </c>
      <c r="AF742" s="344"/>
      <c r="AG742" s="359">
        <f t="shared" ca="1" si="346"/>
        <v>1.8482409838435867</v>
      </c>
      <c r="AH742" s="357">
        <f t="shared" ca="1" si="347"/>
        <v>-7.9227944715530469</v>
      </c>
    </row>
    <row r="743" spans="1:34">
      <c r="A743" s="402">
        <f t="shared" ca="1" si="325"/>
        <v>1E-4</v>
      </c>
      <c r="B743" s="357">
        <f t="shared" ca="1" si="326"/>
        <v>16.938999999999883</v>
      </c>
      <c r="C743" s="342"/>
      <c r="D743" s="359">
        <f t="shared" ca="1" si="327"/>
        <v>-0.70543588855662887</v>
      </c>
      <c r="E743" s="360">
        <f t="shared" ca="1" si="328"/>
        <v>-1.9186167223233834</v>
      </c>
      <c r="F743" s="357">
        <f t="shared" ca="1" si="329"/>
        <v>2.0441941982215397</v>
      </c>
      <c r="G743" s="359">
        <f t="shared" ca="1" si="330"/>
        <v>4.9934592316065363</v>
      </c>
      <c r="H743" s="360">
        <f t="shared" ca="1" si="331"/>
        <v>-55.860487607589498</v>
      </c>
      <c r="I743" s="357">
        <f t="shared" ca="1" si="332"/>
        <v>56.083230210601961</v>
      </c>
      <c r="J743" s="359">
        <f t="shared" ca="1" si="333"/>
        <v>184.26379383972827</v>
      </c>
      <c r="K743" s="360">
        <f t="shared" ca="1" si="334"/>
        <v>-7.1478186106762154</v>
      </c>
      <c r="L743" s="357">
        <f t="shared" ca="1" si="319"/>
        <v>184.40237805164284</v>
      </c>
      <c r="M743" s="359">
        <f t="shared" ca="1" si="335"/>
        <v>-1.4816416814620552</v>
      </c>
      <c r="N743" s="357">
        <f t="shared" ca="1" si="336"/>
        <v>-84.891815098442464</v>
      </c>
      <c r="O743" s="343"/>
      <c r="P743" s="363">
        <f t="shared" ca="1" si="337"/>
        <v>23</v>
      </c>
      <c r="Q743" s="357">
        <f t="shared" ca="1" si="338"/>
        <v>0</v>
      </c>
      <c r="R743" s="359">
        <f t="shared" ca="1" si="339"/>
        <v>0</v>
      </c>
      <c r="S743" s="360">
        <f t="shared" ca="1" si="340"/>
        <v>0.42898953648292248</v>
      </c>
      <c r="T743" s="357">
        <f t="shared" ca="1" si="320"/>
        <v>4.2083873528974696</v>
      </c>
      <c r="U743" s="364">
        <f t="shared" ca="1" si="321"/>
        <v>0</v>
      </c>
      <c r="V743" s="359">
        <f t="shared" ca="1" si="322"/>
        <v>1.2258759208259669</v>
      </c>
      <c r="W743" s="357">
        <f t="shared" ca="1" si="323"/>
        <v>3.3988445283653879</v>
      </c>
      <c r="X743" s="343"/>
      <c r="Y743" s="367" t="str">
        <f t="shared" ca="1" si="341"/>
        <v/>
      </c>
      <c r="Z743" s="368" t="str">
        <f t="shared" ca="1" si="342"/>
        <v/>
      </c>
      <c r="AA743" s="369" t="str">
        <f t="shared" ca="1" si="343"/>
        <v/>
      </c>
      <c r="AB743" s="344"/>
      <c r="AC743" s="363" t="e">
        <f t="shared" ca="1" si="344"/>
        <v>#N/A</v>
      </c>
      <c r="AD743" s="376" t="e">
        <f t="shared" ca="1" si="345"/>
        <v>#N/A</v>
      </c>
      <c r="AE743" s="377" t="e">
        <f t="shared" ca="1" si="324"/>
        <v>#N/A</v>
      </c>
      <c r="AF743" s="344"/>
      <c r="AG743" s="359">
        <f t="shared" ca="1" si="346"/>
        <v>1.8481856984339053</v>
      </c>
      <c r="AH743" s="357">
        <f t="shared" ca="1" si="347"/>
        <v>-7.9228511173729519</v>
      </c>
    </row>
    <row r="744" spans="1:34">
      <c r="A744" s="402">
        <f t="shared" ca="1" si="325"/>
        <v>1E-4</v>
      </c>
      <c r="B744" s="357">
        <f t="shared" ca="1" si="326"/>
        <v>16.939099999999883</v>
      </c>
      <c r="C744" s="342"/>
      <c r="D744" s="359">
        <f t="shared" ca="1" si="327"/>
        <v>-0.70542864161277397</v>
      </c>
      <c r="E744" s="360">
        <f t="shared" ca="1" si="328"/>
        <v>-1.9185592041228849</v>
      </c>
      <c r="F744" s="357">
        <f t="shared" ca="1" si="329"/>
        <v>2.0441377126143632</v>
      </c>
      <c r="G744" s="359">
        <f t="shared" ca="1" si="330"/>
        <v>4.9933886887423746</v>
      </c>
      <c r="H744" s="360">
        <f t="shared" ca="1" si="331"/>
        <v>-55.860679463509911</v>
      </c>
      <c r="I744" s="357">
        <f t="shared" ca="1" si="332"/>
        <v>56.083415023711403</v>
      </c>
      <c r="J744" s="359">
        <f t="shared" ca="1" si="333"/>
        <v>184.26379383972827</v>
      </c>
      <c r="K744" s="360">
        <f t="shared" ca="1" si="334"/>
        <v>-7.1534046690297703</v>
      </c>
      <c r="L744" s="357">
        <f t="shared" ca="1" si="319"/>
        <v>184.40259466333109</v>
      </c>
      <c r="M744" s="359">
        <f t="shared" ca="1" si="335"/>
        <v>-1.4816432388723657</v>
      </c>
      <c r="N744" s="357">
        <f t="shared" ca="1" si="336"/>
        <v>-84.891904331480234</v>
      </c>
      <c r="O744" s="343"/>
      <c r="P744" s="363">
        <f t="shared" ca="1" si="337"/>
        <v>23</v>
      </c>
      <c r="Q744" s="357">
        <f t="shared" ca="1" si="338"/>
        <v>0</v>
      </c>
      <c r="R744" s="359">
        <f t="shared" ca="1" si="339"/>
        <v>0</v>
      </c>
      <c r="S744" s="360">
        <f t="shared" ca="1" si="340"/>
        <v>0.42898953648292248</v>
      </c>
      <c r="T744" s="357">
        <f t="shared" ca="1" si="320"/>
        <v>4.2083873528974696</v>
      </c>
      <c r="U744" s="364">
        <f t="shared" ca="1" si="321"/>
        <v>0</v>
      </c>
      <c r="V744" s="359">
        <f t="shared" ca="1" si="322"/>
        <v>1.2258766056076884</v>
      </c>
      <c r="W744" s="357">
        <f t="shared" ca="1" si="323"/>
        <v>3.3988688277020933</v>
      </c>
      <c r="X744" s="343"/>
      <c r="Y744" s="367" t="str">
        <f t="shared" ca="1" si="341"/>
        <v/>
      </c>
      <c r="Z744" s="368" t="str">
        <f t="shared" ca="1" si="342"/>
        <v/>
      </c>
      <c r="AA744" s="369" t="str">
        <f t="shared" ca="1" si="343"/>
        <v/>
      </c>
      <c r="AB744" s="344"/>
      <c r="AC744" s="363" t="e">
        <f t="shared" ca="1" si="344"/>
        <v>#N/A</v>
      </c>
      <c r="AD744" s="376" t="e">
        <f t="shared" ca="1" si="345"/>
        <v>#N/A</v>
      </c>
      <c r="AE744" s="377" t="e">
        <f t="shared" ca="1" si="324"/>
        <v>#N/A</v>
      </c>
      <c r="AF744" s="344"/>
      <c r="AG744" s="359">
        <f t="shared" ca="1" si="346"/>
        <v>1.8481304142862722</v>
      </c>
      <c r="AH744" s="357">
        <f t="shared" ca="1" si="347"/>
        <v>-7.922907761878923</v>
      </c>
    </row>
    <row r="745" spans="1:34">
      <c r="A745" s="402">
        <f t="shared" ca="1" si="325"/>
        <v>1E-4</v>
      </c>
      <c r="B745" s="357">
        <f t="shared" ca="1" si="326"/>
        <v>16.939199999999882</v>
      </c>
      <c r="C745" s="342"/>
      <c r="D745" s="359">
        <f t="shared" ca="1" si="327"/>
        <v>-0.70542139462911346</v>
      </c>
      <c r="E745" s="360">
        <f t="shared" ca="1" si="328"/>
        <v>-1.9185016872572769</v>
      </c>
      <c r="F745" s="357">
        <f t="shared" ca="1" si="329"/>
        <v>2.0440812283296133</v>
      </c>
      <c r="G745" s="359">
        <f t="shared" ca="1" si="330"/>
        <v>4.9933181466029115</v>
      </c>
      <c r="H745" s="360">
        <f t="shared" ca="1" si="331"/>
        <v>-55.860871313678636</v>
      </c>
      <c r="I745" s="357">
        <f t="shared" ca="1" si="332"/>
        <v>56.08359983129256</v>
      </c>
      <c r="J745" s="359">
        <f t="shared" ca="1" si="333"/>
        <v>184.26379383972827</v>
      </c>
      <c r="K745" s="360">
        <f t="shared" ca="1" si="334"/>
        <v>-7.1589907465686302</v>
      </c>
      <c r="L745" s="357">
        <f t="shared" ca="1" si="319"/>
        <v>184.40281144472647</v>
      </c>
      <c r="M745" s="359">
        <f t="shared" ca="1" si="335"/>
        <v>-1.4816447962504105</v>
      </c>
      <c r="N745" s="357">
        <f t="shared" ca="1" si="336"/>
        <v>-84.891993562669299</v>
      </c>
      <c r="O745" s="343"/>
      <c r="P745" s="363">
        <f t="shared" ca="1" si="337"/>
        <v>23</v>
      </c>
      <c r="Q745" s="357">
        <f t="shared" ca="1" si="338"/>
        <v>0</v>
      </c>
      <c r="R745" s="359">
        <f t="shared" ca="1" si="339"/>
        <v>0</v>
      </c>
      <c r="S745" s="360">
        <f t="shared" ca="1" si="340"/>
        <v>0.42898953648292248</v>
      </c>
      <c r="T745" s="357">
        <f t="shared" ca="1" si="320"/>
        <v>4.2083873528974696</v>
      </c>
      <c r="U745" s="364">
        <f t="shared" ca="1" si="321"/>
        <v>0</v>
      </c>
      <c r="V745" s="359">
        <f t="shared" ca="1" si="322"/>
        <v>1.2258772903921447</v>
      </c>
      <c r="W745" s="357">
        <f t="shared" ca="1" si="323"/>
        <v>3.3988931264751523</v>
      </c>
      <c r="X745" s="343"/>
      <c r="Y745" s="367" t="str">
        <f t="shared" ca="1" si="341"/>
        <v/>
      </c>
      <c r="Z745" s="368" t="str">
        <f t="shared" ca="1" si="342"/>
        <v/>
      </c>
      <c r="AA745" s="369" t="str">
        <f t="shared" ca="1" si="343"/>
        <v/>
      </c>
      <c r="AB745" s="344"/>
      <c r="AC745" s="363" t="e">
        <f t="shared" ca="1" si="344"/>
        <v>#N/A</v>
      </c>
      <c r="AD745" s="376" t="e">
        <f t="shared" ca="1" si="345"/>
        <v>#N/A</v>
      </c>
      <c r="AE745" s="377" t="e">
        <f t="shared" ca="1" si="324"/>
        <v>#N/A</v>
      </c>
      <c r="AF745" s="344"/>
      <c r="AG745" s="359">
        <f t="shared" ca="1" si="346"/>
        <v>1.8480751314006678</v>
      </c>
      <c r="AH745" s="357">
        <f t="shared" ca="1" si="347"/>
        <v>-7.9229644050709798</v>
      </c>
    </row>
    <row r="746" spans="1:34">
      <c r="A746" s="402">
        <f t="shared" ca="1" si="325"/>
        <v>1E-4</v>
      </c>
      <c r="B746" s="357">
        <f t="shared" ca="1" si="326"/>
        <v>16.939299999999882</v>
      </c>
      <c r="C746" s="342"/>
      <c r="D746" s="359">
        <f t="shared" ca="1" si="327"/>
        <v>-0.70541414760565568</v>
      </c>
      <c r="E746" s="360">
        <f t="shared" ca="1" si="328"/>
        <v>-1.9184441717265361</v>
      </c>
      <c r="F746" s="357">
        <f t="shared" ca="1" si="329"/>
        <v>2.0440247453672691</v>
      </c>
      <c r="G746" s="359">
        <f t="shared" ca="1" si="330"/>
        <v>4.9932476051881514</v>
      </c>
      <c r="H746" s="360">
        <f t="shared" ca="1" si="331"/>
        <v>-55.86106315809581</v>
      </c>
      <c r="I746" s="357">
        <f t="shared" ca="1" si="332"/>
        <v>56.083784633345552</v>
      </c>
      <c r="J746" s="359">
        <f t="shared" ca="1" si="333"/>
        <v>184.26379383972827</v>
      </c>
      <c r="K746" s="360">
        <f t="shared" ca="1" si="334"/>
        <v>-7.1645768432922186</v>
      </c>
      <c r="L746" s="357">
        <f t="shared" ca="1" si="319"/>
        <v>184.40302839583012</v>
      </c>
      <c r="M746" s="359">
        <f t="shared" ca="1" si="335"/>
        <v>-1.4816463535961903</v>
      </c>
      <c r="N746" s="357">
        <f t="shared" ca="1" si="336"/>
        <v>-84.892082792009731</v>
      </c>
      <c r="O746" s="343"/>
      <c r="P746" s="363">
        <f t="shared" ca="1" si="337"/>
        <v>23</v>
      </c>
      <c r="Q746" s="357">
        <f t="shared" ca="1" si="338"/>
        <v>0</v>
      </c>
      <c r="R746" s="359">
        <f t="shared" ca="1" si="339"/>
        <v>0</v>
      </c>
      <c r="S746" s="360">
        <f t="shared" ca="1" si="340"/>
        <v>0.42898953648292248</v>
      </c>
      <c r="T746" s="357">
        <f t="shared" ca="1" si="320"/>
        <v>4.2083873528974696</v>
      </c>
      <c r="U746" s="364">
        <f t="shared" ca="1" si="321"/>
        <v>0</v>
      </c>
      <c r="V746" s="359">
        <f t="shared" ca="1" si="322"/>
        <v>1.2258779751793356</v>
      </c>
      <c r="W746" s="357">
        <f t="shared" ca="1" si="323"/>
        <v>3.3989174246845728</v>
      </c>
      <c r="X746" s="343"/>
      <c r="Y746" s="367" t="str">
        <f t="shared" ca="1" si="341"/>
        <v/>
      </c>
      <c r="Z746" s="368" t="str">
        <f t="shared" ca="1" si="342"/>
        <v/>
      </c>
      <c r="AA746" s="369" t="str">
        <f t="shared" ca="1" si="343"/>
        <v/>
      </c>
      <c r="AB746" s="344"/>
      <c r="AC746" s="363" t="e">
        <f t="shared" ca="1" si="344"/>
        <v>#N/A</v>
      </c>
      <c r="AD746" s="376" t="e">
        <f t="shared" ca="1" si="345"/>
        <v>#N/A</v>
      </c>
      <c r="AE746" s="377" t="e">
        <f t="shared" ca="1" si="324"/>
        <v>#N/A</v>
      </c>
      <c r="AF746" s="344"/>
      <c r="AG746" s="359">
        <f t="shared" ca="1" si="346"/>
        <v>1.8480198497770779</v>
      </c>
      <c r="AH746" s="357">
        <f t="shared" ca="1" si="347"/>
        <v>-7.9230210469491436</v>
      </c>
    </row>
    <row r="747" spans="1:34">
      <c r="A747" s="402">
        <f t="shared" ca="1" si="325"/>
        <v>1E-4</v>
      </c>
      <c r="B747" s="357">
        <f t="shared" ca="1" si="326"/>
        <v>16.939399999999882</v>
      </c>
      <c r="C747" s="342"/>
      <c r="D747" s="359">
        <f t="shared" ca="1" si="327"/>
        <v>-0.70540690054240707</v>
      </c>
      <c r="E747" s="360">
        <f t="shared" ca="1" si="328"/>
        <v>-1.9183866575306441</v>
      </c>
      <c r="F747" s="357">
        <f t="shared" ca="1" si="329"/>
        <v>2.043968263727312</v>
      </c>
      <c r="G747" s="359">
        <f t="shared" ca="1" si="330"/>
        <v>4.9931770644980968</v>
      </c>
      <c r="H747" s="360">
        <f t="shared" ca="1" si="331"/>
        <v>-55.861254996761566</v>
      </c>
      <c r="I747" s="357">
        <f t="shared" ca="1" si="332"/>
        <v>56.0839694298705</v>
      </c>
      <c r="J747" s="359">
        <f t="shared" ca="1" si="333"/>
        <v>184.26379383972827</v>
      </c>
      <c r="K747" s="360">
        <f t="shared" ca="1" si="334"/>
        <v>-7.1701629591999616</v>
      </c>
      <c r="L747" s="357">
        <f t="shared" ca="1" si="319"/>
        <v>184.40324551664312</v>
      </c>
      <c r="M747" s="359">
        <f t="shared" ca="1" si="335"/>
        <v>-1.4816479109097067</v>
      </c>
      <c r="N747" s="357">
        <f t="shared" ca="1" si="336"/>
        <v>-84.892172019501601</v>
      </c>
      <c r="O747" s="343"/>
      <c r="P747" s="363">
        <f t="shared" ca="1" si="337"/>
        <v>23</v>
      </c>
      <c r="Q747" s="357">
        <f t="shared" ca="1" si="338"/>
        <v>0</v>
      </c>
      <c r="R747" s="359">
        <f t="shared" ca="1" si="339"/>
        <v>0</v>
      </c>
      <c r="S747" s="360">
        <f t="shared" ca="1" si="340"/>
        <v>0.42898953648292248</v>
      </c>
      <c r="T747" s="357">
        <f t="shared" ca="1" si="320"/>
        <v>4.2083873528974696</v>
      </c>
      <c r="U747" s="364">
        <f t="shared" ca="1" si="321"/>
        <v>0</v>
      </c>
      <c r="V747" s="359">
        <f t="shared" ca="1" si="322"/>
        <v>1.2258786599692604</v>
      </c>
      <c r="W747" s="357">
        <f t="shared" ca="1" si="323"/>
        <v>3.3989417223303589</v>
      </c>
      <c r="X747" s="343"/>
      <c r="Y747" s="367" t="str">
        <f t="shared" ca="1" si="341"/>
        <v/>
      </c>
      <c r="Z747" s="368" t="str">
        <f t="shared" ca="1" si="342"/>
        <v/>
      </c>
      <c r="AA747" s="369" t="str">
        <f t="shared" ca="1" si="343"/>
        <v/>
      </c>
      <c r="AB747" s="344"/>
      <c r="AC747" s="363" t="e">
        <f t="shared" ca="1" si="344"/>
        <v>#N/A</v>
      </c>
      <c r="AD747" s="376" t="e">
        <f t="shared" ca="1" si="345"/>
        <v>#N/A</v>
      </c>
      <c r="AE747" s="377" t="e">
        <f t="shared" ca="1" si="324"/>
        <v>#N/A</v>
      </c>
      <c r="AF747" s="344"/>
      <c r="AG747" s="359">
        <f t="shared" ca="1" si="346"/>
        <v>1.847964569415482</v>
      </c>
      <c r="AH747" s="357">
        <f t="shared" ca="1" si="347"/>
        <v>-7.923077687513433</v>
      </c>
    </row>
    <row r="748" spans="1:34">
      <c r="A748" s="402">
        <f t="shared" ca="1" si="325"/>
        <v>1E-4</v>
      </c>
      <c r="B748" s="357">
        <f t="shared" ca="1" si="326"/>
        <v>16.939499999999882</v>
      </c>
      <c r="C748" s="342"/>
      <c r="D748" s="359">
        <f t="shared" ca="1" si="327"/>
        <v>-0.7053996534393695</v>
      </c>
      <c r="E748" s="360">
        <f t="shared" ca="1" si="328"/>
        <v>-1.9183291446695927</v>
      </c>
      <c r="F748" s="357">
        <f t="shared" ca="1" si="329"/>
        <v>2.0439117834097327</v>
      </c>
      <c r="G748" s="359">
        <f t="shared" ca="1" si="330"/>
        <v>4.9931065245327533</v>
      </c>
      <c r="H748" s="360">
        <f t="shared" ca="1" si="331"/>
        <v>-55.861446829676034</v>
      </c>
      <c r="I748" s="357">
        <f t="shared" ca="1" si="332"/>
        <v>56.084154220867539</v>
      </c>
      <c r="J748" s="359">
        <f t="shared" ca="1" si="333"/>
        <v>184.26379383972827</v>
      </c>
      <c r="K748" s="360">
        <f t="shared" ca="1" si="334"/>
        <v>-7.1757490942912838</v>
      </c>
      <c r="L748" s="357">
        <f t="shared" ca="1" si="319"/>
        <v>184.40346280716668</v>
      </c>
      <c r="M748" s="359">
        <f t="shared" ca="1" si="335"/>
        <v>-1.48164946819096</v>
      </c>
      <c r="N748" s="357">
        <f t="shared" ca="1" si="336"/>
        <v>-84.892261245144923</v>
      </c>
      <c r="O748" s="343"/>
      <c r="P748" s="363">
        <f t="shared" ca="1" si="337"/>
        <v>23</v>
      </c>
      <c r="Q748" s="357">
        <f t="shared" ca="1" si="338"/>
        <v>0</v>
      </c>
      <c r="R748" s="359">
        <f t="shared" ca="1" si="339"/>
        <v>0</v>
      </c>
      <c r="S748" s="360">
        <f t="shared" ca="1" si="340"/>
        <v>0.42898953648292248</v>
      </c>
      <c r="T748" s="357">
        <f t="shared" ca="1" si="320"/>
        <v>4.2083873528974696</v>
      </c>
      <c r="U748" s="364">
        <f t="shared" ca="1" si="321"/>
        <v>0</v>
      </c>
      <c r="V748" s="359">
        <f t="shared" ca="1" si="322"/>
        <v>1.2258793447619196</v>
      </c>
      <c r="W748" s="357">
        <f t="shared" ca="1" si="323"/>
        <v>3.3989660194125197</v>
      </c>
      <c r="X748" s="343"/>
      <c r="Y748" s="367" t="str">
        <f t="shared" ca="1" si="341"/>
        <v/>
      </c>
      <c r="Z748" s="368" t="str">
        <f t="shared" ca="1" si="342"/>
        <v/>
      </c>
      <c r="AA748" s="369" t="str">
        <f t="shared" ca="1" si="343"/>
        <v/>
      </c>
      <c r="AB748" s="344"/>
      <c r="AC748" s="363" t="e">
        <f t="shared" ca="1" si="344"/>
        <v>#N/A</v>
      </c>
      <c r="AD748" s="376" t="e">
        <f t="shared" ca="1" si="345"/>
        <v>#N/A</v>
      </c>
      <c r="AE748" s="377" t="e">
        <f t="shared" ca="1" si="324"/>
        <v>#N/A</v>
      </c>
      <c r="AF748" s="344"/>
      <c r="AG748" s="359">
        <f t="shared" ca="1" si="346"/>
        <v>1.8479092903158758</v>
      </c>
      <c r="AH748" s="357">
        <f t="shared" ca="1" si="347"/>
        <v>-7.9231343267638561</v>
      </c>
    </row>
    <row r="749" spans="1:34">
      <c r="A749" s="402">
        <f t="shared" ca="1" si="325"/>
        <v>1E-4</v>
      </c>
      <c r="B749" s="357">
        <f t="shared" ca="1" si="326"/>
        <v>16.939599999999881</v>
      </c>
      <c r="C749" s="342"/>
      <c r="D749" s="359">
        <f t="shared" ca="1" si="327"/>
        <v>-0.70539240629655309</v>
      </c>
      <c r="E749" s="360">
        <f t="shared" ca="1" si="328"/>
        <v>-1.9182716331433589</v>
      </c>
      <c r="F749" s="357">
        <f t="shared" ca="1" si="329"/>
        <v>2.0438553044145102</v>
      </c>
      <c r="G749" s="359">
        <f t="shared" ca="1" si="330"/>
        <v>4.9930359852921233</v>
      </c>
      <c r="H749" s="360">
        <f t="shared" ca="1" si="331"/>
        <v>-55.861638656839347</v>
      </c>
      <c r="I749" s="357">
        <f t="shared" ca="1" si="332"/>
        <v>56.084339006336783</v>
      </c>
      <c r="J749" s="359">
        <f t="shared" ca="1" si="333"/>
        <v>184.26379383972827</v>
      </c>
      <c r="K749" s="360">
        <f t="shared" ca="1" si="334"/>
        <v>-7.1813352485656097</v>
      </c>
      <c r="L749" s="357">
        <f t="shared" ca="1" si="319"/>
        <v>184.40368026740185</v>
      </c>
      <c r="M749" s="359">
        <f t="shared" ca="1" si="335"/>
        <v>-1.4816510254399515</v>
      </c>
      <c r="N749" s="357">
        <f t="shared" ca="1" si="336"/>
        <v>-84.892350468939796</v>
      </c>
      <c r="O749" s="343"/>
      <c r="P749" s="363">
        <f t="shared" ca="1" si="337"/>
        <v>23</v>
      </c>
      <c r="Q749" s="357">
        <f t="shared" ca="1" si="338"/>
        <v>0</v>
      </c>
      <c r="R749" s="359">
        <f t="shared" ca="1" si="339"/>
        <v>0</v>
      </c>
      <c r="S749" s="360">
        <f t="shared" ca="1" si="340"/>
        <v>0.42898953648292248</v>
      </c>
      <c r="T749" s="357">
        <f t="shared" ca="1" si="320"/>
        <v>4.2083873528974696</v>
      </c>
      <c r="U749" s="364">
        <f t="shared" ca="1" si="321"/>
        <v>0</v>
      </c>
      <c r="V749" s="359">
        <f t="shared" ca="1" si="322"/>
        <v>1.2258800295573133</v>
      </c>
      <c r="W749" s="357">
        <f t="shared" ca="1" si="323"/>
        <v>3.3989903159310635</v>
      </c>
      <c r="X749" s="343"/>
      <c r="Y749" s="367" t="str">
        <f t="shared" ca="1" si="341"/>
        <v/>
      </c>
      <c r="Z749" s="368" t="str">
        <f t="shared" ca="1" si="342"/>
        <v/>
      </c>
      <c r="AA749" s="369" t="str">
        <f t="shared" ca="1" si="343"/>
        <v/>
      </c>
      <c r="AB749" s="344"/>
      <c r="AC749" s="363" t="e">
        <f t="shared" ca="1" si="344"/>
        <v>#N/A</v>
      </c>
      <c r="AD749" s="376" t="e">
        <f t="shared" ca="1" si="345"/>
        <v>#N/A</v>
      </c>
      <c r="AE749" s="377" t="e">
        <f t="shared" ca="1" si="324"/>
        <v>#N/A</v>
      </c>
      <c r="AF749" s="344"/>
      <c r="AG749" s="359">
        <f t="shared" ca="1" si="346"/>
        <v>1.8478540124782388</v>
      </c>
      <c r="AH749" s="357">
        <f t="shared" ca="1" si="347"/>
        <v>-7.9231909647004368</v>
      </c>
    </row>
    <row r="750" spans="1:34">
      <c r="A750" s="402">
        <f t="shared" ca="1" si="325"/>
        <v>1E-4</v>
      </c>
      <c r="B750" s="357">
        <f t="shared" ca="1" si="326"/>
        <v>16.939699999999881</v>
      </c>
      <c r="C750" s="342"/>
      <c r="D750" s="359">
        <f t="shared" ca="1" si="327"/>
        <v>-0.7053851591139606</v>
      </c>
      <c r="E750" s="360">
        <f t="shared" ca="1" si="328"/>
        <v>-1.9182141229519232</v>
      </c>
      <c r="F750" s="357">
        <f t="shared" ca="1" si="329"/>
        <v>2.0437988267416252</v>
      </c>
      <c r="G750" s="359">
        <f t="shared" ca="1" si="330"/>
        <v>4.9929654467762123</v>
      </c>
      <c r="H750" s="360">
        <f t="shared" ca="1" si="331"/>
        <v>-55.86183047825164</v>
      </c>
      <c r="I750" s="357">
        <f t="shared" ca="1" si="332"/>
        <v>56.084523786278375</v>
      </c>
      <c r="J750" s="359">
        <f t="shared" ca="1" si="333"/>
        <v>184.26379383972827</v>
      </c>
      <c r="K750" s="360">
        <f t="shared" ca="1" si="334"/>
        <v>-7.1869214220223645</v>
      </c>
      <c r="L750" s="357">
        <f t="shared" ca="1" si="319"/>
        <v>184.40389789734979</v>
      </c>
      <c r="M750" s="359">
        <f t="shared" ca="1" si="335"/>
        <v>-1.481652582656682</v>
      </c>
      <c r="N750" s="357">
        <f t="shared" ca="1" si="336"/>
        <v>-84.892439690886235</v>
      </c>
      <c r="O750" s="343"/>
      <c r="P750" s="363">
        <f t="shared" ca="1" si="337"/>
        <v>23</v>
      </c>
      <c r="Q750" s="357">
        <f t="shared" ca="1" si="338"/>
        <v>0</v>
      </c>
      <c r="R750" s="359">
        <f t="shared" ca="1" si="339"/>
        <v>0</v>
      </c>
      <c r="S750" s="360">
        <f t="shared" ca="1" si="340"/>
        <v>0.42898953648292248</v>
      </c>
      <c r="T750" s="357">
        <f t="shared" ca="1" si="320"/>
        <v>4.2083873528974696</v>
      </c>
      <c r="U750" s="364">
        <f t="shared" ca="1" si="321"/>
        <v>0</v>
      </c>
      <c r="V750" s="359">
        <f t="shared" ca="1" si="322"/>
        <v>1.2258807143554413</v>
      </c>
      <c r="W750" s="357">
        <f t="shared" ca="1" si="323"/>
        <v>3.3990146118859994</v>
      </c>
      <c r="X750" s="343"/>
      <c r="Y750" s="367" t="str">
        <f t="shared" ca="1" si="341"/>
        <v/>
      </c>
      <c r="Z750" s="368" t="str">
        <f t="shared" ca="1" si="342"/>
        <v/>
      </c>
      <c r="AA750" s="369" t="str">
        <f t="shared" ca="1" si="343"/>
        <v/>
      </c>
      <c r="AB750" s="344"/>
      <c r="AC750" s="363" t="e">
        <f t="shared" ca="1" si="344"/>
        <v>#N/A</v>
      </c>
      <c r="AD750" s="376" t="e">
        <f t="shared" ca="1" si="345"/>
        <v>#N/A</v>
      </c>
      <c r="AE750" s="377" t="e">
        <f t="shared" ca="1" si="324"/>
        <v>#N/A</v>
      </c>
      <c r="AF750" s="344"/>
      <c r="AG750" s="359">
        <f t="shared" ca="1" si="346"/>
        <v>1.8477987359025523</v>
      </c>
      <c r="AH750" s="357">
        <f t="shared" ca="1" si="347"/>
        <v>-7.9232476013231921</v>
      </c>
    </row>
    <row r="751" spans="1:34">
      <c r="A751" s="402">
        <f t="shared" ca="1" si="325"/>
        <v>1E-4</v>
      </c>
      <c r="B751" s="357">
        <f t="shared" ca="1" si="326"/>
        <v>16.939799999999881</v>
      </c>
      <c r="C751" s="342"/>
      <c r="D751" s="359">
        <f t="shared" ca="1" si="327"/>
        <v>-0.7053779118916006</v>
      </c>
      <c r="E751" s="360">
        <f t="shared" ca="1" si="328"/>
        <v>-1.9181566140952651</v>
      </c>
      <c r="F751" s="357">
        <f t="shared" ca="1" si="329"/>
        <v>2.0437423503910579</v>
      </c>
      <c r="G751" s="359">
        <f t="shared" ca="1" si="330"/>
        <v>4.992894908985023</v>
      </c>
      <c r="H751" s="360">
        <f t="shared" ca="1" si="331"/>
        <v>-55.86202229391305</v>
      </c>
      <c r="I751" s="357">
        <f t="shared" ca="1" si="332"/>
        <v>56.084708560692434</v>
      </c>
      <c r="J751" s="359">
        <f t="shared" ca="1" si="333"/>
        <v>184.26379383972827</v>
      </c>
      <c r="K751" s="360">
        <f t="shared" ca="1" si="334"/>
        <v>-7.1925076146609728</v>
      </c>
      <c r="L751" s="357">
        <f t="shared" ca="1" si="319"/>
        <v>184.4041156970116</v>
      </c>
      <c r="M751" s="359">
        <f t="shared" ca="1" si="335"/>
        <v>-1.4816541398411522</v>
      </c>
      <c r="N751" s="357">
        <f t="shared" ca="1" si="336"/>
        <v>-84.892528910984296</v>
      </c>
      <c r="O751" s="343"/>
      <c r="P751" s="363">
        <f t="shared" ca="1" si="337"/>
        <v>23</v>
      </c>
      <c r="Q751" s="357">
        <f t="shared" ca="1" si="338"/>
        <v>0</v>
      </c>
      <c r="R751" s="359">
        <f t="shared" ca="1" si="339"/>
        <v>0</v>
      </c>
      <c r="S751" s="360">
        <f t="shared" ca="1" si="340"/>
        <v>0.42898953648292248</v>
      </c>
      <c r="T751" s="357">
        <f t="shared" ca="1" si="320"/>
        <v>4.2083873528974696</v>
      </c>
      <c r="U751" s="364">
        <f t="shared" ca="1" si="321"/>
        <v>0</v>
      </c>
      <c r="V751" s="359">
        <f t="shared" ca="1" si="322"/>
        <v>1.2258813991563033</v>
      </c>
      <c r="W751" s="357">
        <f t="shared" ca="1" si="323"/>
        <v>3.3990389072773328</v>
      </c>
      <c r="X751" s="343"/>
      <c r="Y751" s="367" t="str">
        <f t="shared" ca="1" si="341"/>
        <v/>
      </c>
      <c r="Z751" s="368" t="str">
        <f t="shared" ca="1" si="342"/>
        <v/>
      </c>
      <c r="AA751" s="369" t="str">
        <f t="shared" ca="1" si="343"/>
        <v/>
      </c>
      <c r="AB751" s="344"/>
      <c r="AC751" s="363" t="e">
        <f t="shared" ca="1" si="344"/>
        <v>#N/A</v>
      </c>
      <c r="AD751" s="376" t="e">
        <f t="shared" ca="1" si="345"/>
        <v>#N/A</v>
      </c>
      <c r="AE751" s="377" t="e">
        <f t="shared" ca="1" si="324"/>
        <v>#N/A</v>
      </c>
      <c r="AF751" s="344"/>
      <c r="AG751" s="359">
        <f t="shared" ca="1" si="346"/>
        <v>1.8477434605887995</v>
      </c>
      <c r="AH751" s="357">
        <f t="shared" ca="1" si="347"/>
        <v>-7.923304236632144</v>
      </c>
    </row>
    <row r="752" spans="1:34">
      <c r="A752" s="402">
        <f t="shared" ca="1" si="325"/>
        <v>1E-4</v>
      </c>
      <c r="B752" s="357">
        <f t="shared" ca="1" si="326"/>
        <v>16.939899999999881</v>
      </c>
      <c r="C752" s="342"/>
      <c r="D752" s="359">
        <f t="shared" ca="1" si="327"/>
        <v>-0.70537066462947851</v>
      </c>
      <c r="E752" s="360">
        <f t="shared" ca="1" si="328"/>
        <v>-1.9180991065733695</v>
      </c>
      <c r="F752" s="357">
        <f t="shared" ca="1" si="329"/>
        <v>2.0436858753627942</v>
      </c>
      <c r="G752" s="359">
        <f t="shared" ca="1" si="330"/>
        <v>4.9928243719185597</v>
      </c>
      <c r="H752" s="360">
        <f t="shared" ca="1" si="331"/>
        <v>-55.86221410382371</v>
      </c>
      <c r="I752" s="357">
        <f t="shared" ca="1" si="332"/>
        <v>56.084893329579081</v>
      </c>
      <c r="J752" s="359">
        <f t="shared" ca="1" si="333"/>
        <v>184.26379383972827</v>
      </c>
      <c r="K752" s="360">
        <f t="shared" ca="1" si="334"/>
        <v>-7.1980938264808598</v>
      </c>
      <c r="L752" s="357">
        <f t="shared" ca="1" si="319"/>
        <v>184.4043336663884</v>
      </c>
      <c r="M752" s="359">
        <f t="shared" ca="1" si="335"/>
        <v>-1.4816556969933634</v>
      </c>
      <c r="N752" s="357">
        <f t="shared" ca="1" si="336"/>
        <v>-84.892618129234066</v>
      </c>
      <c r="O752" s="343"/>
      <c r="P752" s="363">
        <f t="shared" ca="1" si="337"/>
        <v>23</v>
      </c>
      <c r="Q752" s="357">
        <f t="shared" ca="1" si="338"/>
        <v>0</v>
      </c>
      <c r="R752" s="359">
        <f t="shared" ca="1" si="339"/>
        <v>0</v>
      </c>
      <c r="S752" s="360">
        <f t="shared" ca="1" si="340"/>
        <v>0.42898953648292248</v>
      </c>
      <c r="T752" s="357">
        <f t="shared" ca="1" si="320"/>
        <v>4.2083873528974696</v>
      </c>
      <c r="U752" s="364">
        <f t="shared" ca="1" si="321"/>
        <v>0</v>
      </c>
      <c r="V752" s="359">
        <f t="shared" ca="1" si="322"/>
        <v>1.2258820839598996</v>
      </c>
      <c r="W752" s="357">
        <f t="shared" ca="1" si="323"/>
        <v>3.3990632021050731</v>
      </c>
      <c r="X752" s="343"/>
      <c r="Y752" s="367" t="str">
        <f t="shared" ca="1" si="341"/>
        <v/>
      </c>
      <c r="Z752" s="368" t="str">
        <f t="shared" ca="1" si="342"/>
        <v/>
      </c>
      <c r="AA752" s="369" t="str">
        <f t="shared" ca="1" si="343"/>
        <v/>
      </c>
      <c r="AB752" s="344"/>
      <c r="AC752" s="363" t="e">
        <f t="shared" ca="1" si="344"/>
        <v>#N/A</v>
      </c>
      <c r="AD752" s="376" t="e">
        <f t="shared" ca="1" si="345"/>
        <v>#N/A</v>
      </c>
      <c r="AE752" s="377" t="e">
        <f t="shared" ca="1" si="324"/>
        <v>#N/A</v>
      </c>
      <c r="AF752" s="344"/>
      <c r="AG752" s="359">
        <f t="shared" ca="1" si="346"/>
        <v>1.8476881865369714</v>
      </c>
      <c r="AH752" s="357">
        <f t="shared" ca="1" si="347"/>
        <v>-7.9233608706273051</v>
      </c>
    </row>
    <row r="753" spans="1:34">
      <c r="A753" s="402">
        <f t="shared" ca="1" si="325"/>
        <v>1E-4</v>
      </c>
      <c r="B753" s="357">
        <f t="shared" ca="1" si="326"/>
        <v>16.93999999999988</v>
      </c>
      <c r="C753" s="342"/>
      <c r="D753" s="359">
        <f t="shared" ca="1" si="327"/>
        <v>-0.70536341732759944</v>
      </c>
      <c r="E753" s="360">
        <f t="shared" ca="1" si="328"/>
        <v>-1.9180416003862168</v>
      </c>
      <c r="F753" s="357">
        <f t="shared" ca="1" si="329"/>
        <v>2.0436294016568146</v>
      </c>
      <c r="G753" s="359">
        <f t="shared" ca="1" si="330"/>
        <v>4.9927538355768268</v>
      </c>
      <c r="H753" s="360">
        <f t="shared" ca="1" si="331"/>
        <v>-55.862405907983749</v>
      </c>
      <c r="I753" s="357">
        <f t="shared" ca="1" si="332"/>
        <v>56.085078092938453</v>
      </c>
      <c r="J753" s="359">
        <f t="shared" ca="1" si="333"/>
        <v>184.26379383972827</v>
      </c>
      <c r="K753" s="360">
        <f t="shared" ca="1" si="334"/>
        <v>-7.2036800574814501</v>
      </c>
      <c r="L753" s="357">
        <f t="shared" ca="1" si="319"/>
        <v>184.4045518054813</v>
      </c>
      <c r="M753" s="359">
        <f t="shared" ca="1" si="335"/>
        <v>-1.4816572541133164</v>
      </c>
      <c r="N753" s="357">
        <f t="shared" ca="1" si="336"/>
        <v>-84.892707345635557</v>
      </c>
      <c r="O753" s="343"/>
      <c r="P753" s="363">
        <f t="shared" ca="1" si="337"/>
        <v>23</v>
      </c>
      <c r="Q753" s="357">
        <f t="shared" ca="1" si="338"/>
        <v>0</v>
      </c>
      <c r="R753" s="359">
        <f t="shared" ca="1" si="339"/>
        <v>0</v>
      </c>
      <c r="S753" s="360">
        <f t="shared" ca="1" si="340"/>
        <v>0.42898953648292248</v>
      </c>
      <c r="T753" s="357">
        <f t="shared" ca="1" si="320"/>
        <v>4.2083873528974696</v>
      </c>
      <c r="U753" s="364">
        <f t="shared" ca="1" si="321"/>
        <v>0</v>
      </c>
      <c r="V753" s="359">
        <f t="shared" ca="1" si="322"/>
        <v>1.2258827687662295</v>
      </c>
      <c r="W753" s="357">
        <f t="shared" ca="1" si="323"/>
        <v>3.399087496369225</v>
      </c>
      <c r="X753" s="343"/>
      <c r="Y753" s="367" t="str">
        <f t="shared" ca="1" si="341"/>
        <v/>
      </c>
      <c r="Z753" s="368" t="str">
        <f t="shared" ca="1" si="342"/>
        <v/>
      </c>
      <c r="AA753" s="369" t="str">
        <f t="shared" ca="1" si="343"/>
        <v/>
      </c>
      <c r="AB753" s="344"/>
      <c r="AC753" s="363" t="e">
        <f t="shared" ca="1" si="344"/>
        <v>#N/A</v>
      </c>
      <c r="AD753" s="376" t="e">
        <f t="shared" ca="1" si="345"/>
        <v>#N/A</v>
      </c>
      <c r="AE753" s="377" t="e">
        <f t="shared" ca="1" si="324"/>
        <v>#N/A</v>
      </c>
      <c r="AF753" s="344"/>
      <c r="AG753" s="359">
        <f t="shared" ca="1" si="346"/>
        <v>1.847632913747046</v>
      </c>
      <c r="AH753" s="357">
        <f t="shared" ca="1" si="347"/>
        <v>-7.9234175033086975</v>
      </c>
    </row>
    <row r="754" spans="1:34">
      <c r="A754" s="402">
        <f t="shared" ca="1" si="325"/>
        <v>1E-4</v>
      </c>
      <c r="B754" s="357">
        <f t="shared" ca="1" si="326"/>
        <v>16.94009999999988</v>
      </c>
      <c r="C754" s="342"/>
      <c r="D754" s="359">
        <f t="shared" ca="1" si="327"/>
        <v>-0.70535616998596906</v>
      </c>
      <c r="E754" s="360">
        <f t="shared" ca="1" si="328"/>
        <v>-1.917984095533793</v>
      </c>
      <c r="F754" s="357">
        <f t="shared" ca="1" si="329"/>
        <v>2.0435729292731044</v>
      </c>
      <c r="G754" s="359">
        <f t="shared" ca="1" si="330"/>
        <v>4.9926832999598281</v>
      </c>
      <c r="H754" s="360">
        <f t="shared" ca="1" si="331"/>
        <v>-55.862597706393302</v>
      </c>
      <c r="I754" s="357">
        <f t="shared" ca="1" si="332"/>
        <v>56.085262850770661</v>
      </c>
      <c r="J754" s="359">
        <f t="shared" ca="1" si="333"/>
        <v>184.26379383972827</v>
      </c>
      <c r="K754" s="360">
        <f t="shared" ca="1" si="334"/>
        <v>-7.209266307662169</v>
      </c>
      <c r="L754" s="357">
        <f t="shared" ca="1" si="319"/>
        <v>184.40477011429147</v>
      </c>
      <c r="M754" s="359">
        <f t="shared" ca="1" si="335"/>
        <v>-1.4816588112010121</v>
      </c>
      <c r="N754" s="357">
        <f t="shared" ca="1" si="336"/>
        <v>-84.892796560188856</v>
      </c>
      <c r="O754" s="343"/>
      <c r="P754" s="363">
        <f t="shared" ca="1" si="337"/>
        <v>23</v>
      </c>
      <c r="Q754" s="357">
        <f t="shared" ca="1" si="338"/>
        <v>0</v>
      </c>
      <c r="R754" s="359">
        <f t="shared" ca="1" si="339"/>
        <v>0</v>
      </c>
      <c r="S754" s="360">
        <f t="shared" ca="1" si="340"/>
        <v>0.42898953648292248</v>
      </c>
      <c r="T754" s="357">
        <f t="shared" ca="1" si="320"/>
        <v>4.2083873528974696</v>
      </c>
      <c r="U754" s="364">
        <f t="shared" ca="1" si="321"/>
        <v>0</v>
      </c>
      <c r="V754" s="359">
        <f t="shared" ca="1" si="322"/>
        <v>1.2258834535752934</v>
      </c>
      <c r="W754" s="357">
        <f t="shared" ca="1" si="323"/>
        <v>3.3991117900697985</v>
      </c>
      <c r="X754" s="343"/>
      <c r="Y754" s="367" t="str">
        <f t="shared" ca="1" si="341"/>
        <v/>
      </c>
      <c r="Z754" s="368" t="str">
        <f t="shared" ca="1" si="342"/>
        <v/>
      </c>
      <c r="AA754" s="369" t="str">
        <f t="shared" ca="1" si="343"/>
        <v/>
      </c>
      <c r="AB754" s="344"/>
      <c r="AC754" s="363" t="e">
        <f t="shared" ca="1" si="344"/>
        <v>#N/A</v>
      </c>
      <c r="AD754" s="376" t="e">
        <f t="shared" ca="1" si="345"/>
        <v>#N/A</v>
      </c>
      <c r="AE754" s="377" t="e">
        <f t="shared" ca="1" si="324"/>
        <v>#N/A</v>
      </c>
      <c r="AF754" s="344"/>
      <c r="AG754" s="359">
        <f t="shared" ca="1" si="346"/>
        <v>1.8475776422190142</v>
      </c>
      <c r="AH754" s="357">
        <f t="shared" ca="1" si="347"/>
        <v>-7.923474134676332</v>
      </c>
    </row>
    <row r="755" spans="1:34">
      <c r="A755" s="402">
        <f t="shared" ca="1" si="325"/>
        <v>1E-4</v>
      </c>
      <c r="B755" s="357">
        <f t="shared" ca="1" si="326"/>
        <v>16.94019999999988</v>
      </c>
      <c r="C755" s="342"/>
      <c r="D755" s="359">
        <f t="shared" ca="1" si="327"/>
        <v>-0.70534892260459392</v>
      </c>
      <c r="E755" s="360">
        <f t="shared" ca="1" si="328"/>
        <v>-1.9179265920160766</v>
      </c>
      <c r="F755" s="357">
        <f t="shared" ca="1" si="329"/>
        <v>2.0435164582116445</v>
      </c>
      <c r="G755" s="359">
        <f t="shared" ca="1" si="330"/>
        <v>4.9926127650675678</v>
      </c>
      <c r="H755" s="360">
        <f t="shared" ca="1" si="331"/>
        <v>-55.862789499052504</v>
      </c>
      <c r="I755" s="357">
        <f t="shared" ca="1" si="332"/>
        <v>56.085447603075849</v>
      </c>
      <c r="J755" s="359">
        <f t="shared" ca="1" si="333"/>
        <v>184.26379383972827</v>
      </c>
      <c r="K755" s="360">
        <f t="shared" ca="1" si="334"/>
        <v>-7.214852577022441</v>
      </c>
      <c r="L755" s="357">
        <f t="shared" ca="1" si="319"/>
        <v>184.40498859281993</v>
      </c>
      <c r="M755" s="359">
        <f t="shared" ca="1" si="335"/>
        <v>-1.4816603682564513</v>
      </c>
      <c r="N755" s="357">
        <f t="shared" ca="1" si="336"/>
        <v>-84.89288577289399</v>
      </c>
      <c r="O755" s="343"/>
      <c r="P755" s="363">
        <f t="shared" ca="1" si="337"/>
        <v>23</v>
      </c>
      <c r="Q755" s="357">
        <f t="shared" ca="1" si="338"/>
        <v>0</v>
      </c>
      <c r="R755" s="359">
        <f t="shared" ca="1" si="339"/>
        <v>0</v>
      </c>
      <c r="S755" s="360">
        <f t="shared" ca="1" si="340"/>
        <v>0.42898953648292248</v>
      </c>
      <c r="T755" s="357">
        <f t="shared" ca="1" si="320"/>
        <v>4.2083873528974696</v>
      </c>
      <c r="U755" s="364">
        <f t="shared" ca="1" si="321"/>
        <v>0</v>
      </c>
      <c r="V755" s="359">
        <f t="shared" ca="1" si="322"/>
        <v>1.2258841383870913</v>
      </c>
      <c r="W755" s="357">
        <f t="shared" ca="1" si="323"/>
        <v>3.3991360832068018</v>
      </c>
      <c r="X755" s="343"/>
      <c r="Y755" s="367" t="str">
        <f t="shared" ca="1" si="341"/>
        <v/>
      </c>
      <c r="Z755" s="368" t="str">
        <f t="shared" ca="1" si="342"/>
        <v/>
      </c>
      <c r="AA755" s="369" t="str">
        <f t="shared" ca="1" si="343"/>
        <v/>
      </c>
      <c r="AB755" s="344"/>
      <c r="AC755" s="363" t="e">
        <f t="shared" ca="1" si="344"/>
        <v>#N/A</v>
      </c>
      <c r="AD755" s="376" t="e">
        <f t="shared" ca="1" si="345"/>
        <v>#N/A</v>
      </c>
      <c r="AE755" s="377" t="e">
        <f t="shared" ca="1" si="324"/>
        <v>#N/A</v>
      </c>
      <c r="AF755" s="344"/>
      <c r="AG755" s="359">
        <f t="shared" ca="1" si="346"/>
        <v>1.8475223719528584</v>
      </c>
      <c r="AH755" s="357">
        <f t="shared" ca="1" si="347"/>
        <v>-7.9235307647302315</v>
      </c>
    </row>
    <row r="756" spans="1:34">
      <c r="A756" s="402">
        <f t="shared" ca="1" si="325"/>
        <v>1E-4</v>
      </c>
      <c r="B756" s="357">
        <f t="shared" ca="1" si="326"/>
        <v>16.94029999999988</v>
      </c>
      <c r="C756" s="342"/>
      <c r="D756" s="359">
        <f t="shared" ca="1" si="327"/>
        <v>-0.70534167518348057</v>
      </c>
      <c r="E756" s="360">
        <f t="shared" ca="1" si="328"/>
        <v>-1.9178690898330464</v>
      </c>
      <c r="F756" s="357">
        <f t="shared" ca="1" si="329"/>
        <v>2.0434599884724136</v>
      </c>
      <c r="G756" s="359">
        <f t="shared" ca="1" si="330"/>
        <v>4.9925422309000496</v>
      </c>
      <c r="H756" s="360">
        <f t="shared" ca="1" si="331"/>
        <v>-55.862981285961489</v>
      </c>
      <c r="I756" s="357">
        <f t="shared" ca="1" si="332"/>
        <v>56.08563234985413</v>
      </c>
      <c r="J756" s="359">
        <f t="shared" ca="1" si="333"/>
        <v>184.26379383972827</v>
      </c>
      <c r="K756" s="360">
        <f t="shared" ca="1" si="334"/>
        <v>-7.2204388655616913</v>
      </c>
      <c r="L756" s="357">
        <f t="shared" ca="1" si="319"/>
        <v>184.40520724106787</v>
      </c>
      <c r="M756" s="359">
        <f t="shared" ca="1" si="335"/>
        <v>-1.481661925279635</v>
      </c>
      <c r="N756" s="357">
        <f t="shared" ca="1" si="336"/>
        <v>-84.892974983751017</v>
      </c>
      <c r="O756" s="343"/>
      <c r="P756" s="363">
        <f t="shared" ca="1" si="337"/>
        <v>23</v>
      </c>
      <c r="Q756" s="357">
        <f t="shared" ca="1" si="338"/>
        <v>0</v>
      </c>
      <c r="R756" s="359">
        <f t="shared" ca="1" si="339"/>
        <v>0</v>
      </c>
      <c r="S756" s="360">
        <f t="shared" ca="1" si="340"/>
        <v>0.42898953648292248</v>
      </c>
      <c r="T756" s="357">
        <f t="shared" ca="1" si="320"/>
        <v>4.2083873528974696</v>
      </c>
      <c r="U756" s="364">
        <f t="shared" ca="1" si="321"/>
        <v>0</v>
      </c>
      <c r="V756" s="359">
        <f t="shared" ca="1" si="322"/>
        <v>1.2258848232016233</v>
      </c>
      <c r="W756" s="357">
        <f t="shared" ca="1" si="323"/>
        <v>3.3991603757802422</v>
      </c>
      <c r="X756" s="343"/>
      <c r="Y756" s="367" t="str">
        <f t="shared" ca="1" si="341"/>
        <v/>
      </c>
      <c r="Z756" s="368" t="str">
        <f t="shared" ca="1" si="342"/>
        <v/>
      </c>
      <c r="AA756" s="369" t="str">
        <f t="shared" ca="1" si="343"/>
        <v/>
      </c>
      <c r="AB756" s="344"/>
      <c r="AC756" s="363" t="e">
        <f t="shared" ca="1" si="344"/>
        <v>#N/A</v>
      </c>
      <c r="AD756" s="376" t="e">
        <f t="shared" ca="1" si="345"/>
        <v>#N/A</v>
      </c>
      <c r="AE756" s="377" t="e">
        <f t="shared" ca="1" si="324"/>
        <v>#N/A</v>
      </c>
      <c r="AF756" s="344"/>
      <c r="AG756" s="359">
        <f t="shared" ca="1" si="346"/>
        <v>1.8474671029485581</v>
      </c>
      <c r="AH756" s="357">
        <f t="shared" ca="1" si="347"/>
        <v>-7.9235873934704166</v>
      </c>
    </row>
    <row r="757" spans="1:34">
      <c r="A757" s="402">
        <f t="shared" ca="1" si="325"/>
        <v>1E-4</v>
      </c>
      <c r="B757" s="357">
        <f t="shared" ca="1" si="326"/>
        <v>16.94039999999988</v>
      </c>
      <c r="C757" s="342"/>
      <c r="D757" s="359">
        <f t="shared" ca="1" si="327"/>
        <v>-0.70533442772263499</v>
      </c>
      <c r="E757" s="360">
        <f t="shared" ca="1" si="328"/>
        <v>-1.9178115889846872</v>
      </c>
      <c r="F757" s="357">
        <f t="shared" ca="1" si="329"/>
        <v>2.043403520055397</v>
      </c>
      <c r="G757" s="359">
        <f t="shared" ca="1" si="330"/>
        <v>4.9924716974572769</v>
      </c>
      <c r="H757" s="360">
        <f t="shared" ca="1" si="331"/>
        <v>-55.863173067120385</v>
      </c>
      <c r="I757" s="357">
        <f t="shared" ca="1" si="332"/>
        <v>56.085817091105632</v>
      </c>
      <c r="J757" s="359">
        <f t="shared" ca="1" si="333"/>
        <v>184.26379383972827</v>
      </c>
      <c r="K757" s="360">
        <f t="shared" ca="1" si="334"/>
        <v>-7.2260251732793455</v>
      </c>
      <c r="L757" s="357">
        <f t="shared" ca="1" si="319"/>
        <v>184.40542605903642</v>
      </c>
      <c r="M757" s="359">
        <f t="shared" ca="1" si="335"/>
        <v>-1.4816634822705643</v>
      </c>
      <c r="N757" s="357">
        <f t="shared" ca="1" si="336"/>
        <v>-84.893064192760008</v>
      </c>
      <c r="O757" s="343"/>
      <c r="P757" s="363">
        <f t="shared" ca="1" si="337"/>
        <v>23</v>
      </c>
      <c r="Q757" s="357">
        <f t="shared" ca="1" si="338"/>
        <v>0</v>
      </c>
      <c r="R757" s="359">
        <f t="shared" ca="1" si="339"/>
        <v>0</v>
      </c>
      <c r="S757" s="360">
        <f t="shared" ca="1" si="340"/>
        <v>0.42898953648292248</v>
      </c>
      <c r="T757" s="357">
        <f t="shared" ca="1" si="320"/>
        <v>4.2083873528974696</v>
      </c>
      <c r="U757" s="364">
        <f t="shared" ca="1" si="321"/>
        <v>0</v>
      </c>
      <c r="V757" s="359">
        <f t="shared" ca="1" si="322"/>
        <v>1.2258855080188888</v>
      </c>
      <c r="W757" s="357">
        <f t="shared" ca="1" si="323"/>
        <v>3.3991846677901254</v>
      </c>
      <c r="X757" s="343"/>
      <c r="Y757" s="367" t="str">
        <f t="shared" ca="1" si="341"/>
        <v/>
      </c>
      <c r="Z757" s="368" t="str">
        <f t="shared" ca="1" si="342"/>
        <v/>
      </c>
      <c r="AA757" s="369" t="str">
        <f t="shared" ca="1" si="343"/>
        <v/>
      </c>
      <c r="AB757" s="344"/>
      <c r="AC757" s="363" t="e">
        <f t="shared" ca="1" si="344"/>
        <v>#N/A</v>
      </c>
      <c r="AD757" s="376" t="e">
        <f t="shared" ca="1" si="345"/>
        <v>#N/A</v>
      </c>
      <c r="AE757" s="377" t="e">
        <f t="shared" ca="1" si="324"/>
        <v>#N/A</v>
      </c>
      <c r="AF757" s="344"/>
      <c r="AG757" s="359">
        <f t="shared" ca="1" si="346"/>
        <v>1.8474118352061017</v>
      </c>
      <c r="AH757" s="357">
        <f t="shared" ca="1" si="347"/>
        <v>-7.9236440208969023</v>
      </c>
    </row>
    <row r="758" spans="1:34">
      <c r="A758" s="402">
        <f t="shared" ca="1" si="325"/>
        <v>1E-4</v>
      </c>
      <c r="B758" s="357">
        <f t="shared" ca="1" si="326"/>
        <v>16.940499999999879</v>
      </c>
      <c r="C758" s="342"/>
      <c r="D758" s="359">
        <f t="shared" ca="1" si="327"/>
        <v>-0.70532718022206142</v>
      </c>
      <c r="E758" s="360">
        <f t="shared" ca="1" si="328"/>
        <v>-1.9177540894709839</v>
      </c>
      <c r="F758" s="357">
        <f t="shared" ca="1" si="329"/>
        <v>2.0433470529605802</v>
      </c>
      <c r="G758" s="359">
        <f t="shared" ca="1" si="330"/>
        <v>4.9924011647392543</v>
      </c>
      <c r="H758" s="360">
        <f t="shared" ca="1" si="331"/>
        <v>-55.863364842529336</v>
      </c>
      <c r="I758" s="357">
        <f t="shared" ca="1" si="332"/>
        <v>56.086001826830483</v>
      </c>
      <c r="J758" s="359">
        <f t="shared" ca="1" si="333"/>
        <v>184.26379383972827</v>
      </c>
      <c r="K758" s="360">
        <f t="shared" ca="1" si="334"/>
        <v>-7.2316115001748278</v>
      </c>
      <c r="L758" s="357">
        <f t="shared" ca="1" si="319"/>
        <v>184.40564504672665</v>
      </c>
      <c r="M758" s="359">
        <f t="shared" ca="1" si="335"/>
        <v>-1.4816650392292399</v>
      </c>
      <c r="N758" s="357">
        <f t="shared" ca="1" si="336"/>
        <v>-84.893153399921005</v>
      </c>
      <c r="O758" s="343"/>
      <c r="P758" s="363">
        <f t="shared" ca="1" si="337"/>
        <v>23</v>
      </c>
      <c r="Q758" s="357">
        <f t="shared" ca="1" si="338"/>
        <v>0</v>
      </c>
      <c r="R758" s="359">
        <f t="shared" ca="1" si="339"/>
        <v>0</v>
      </c>
      <c r="S758" s="360">
        <f t="shared" ca="1" si="340"/>
        <v>0.42898953648292248</v>
      </c>
      <c r="T758" s="357">
        <f t="shared" ca="1" si="320"/>
        <v>4.2083873528974696</v>
      </c>
      <c r="U758" s="364">
        <f t="shared" ca="1" si="321"/>
        <v>0</v>
      </c>
      <c r="V758" s="359">
        <f t="shared" ca="1" si="322"/>
        <v>1.2258861928388876</v>
      </c>
      <c r="W758" s="357">
        <f t="shared" ca="1" si="323"/>
        <v>3.3992089592364589</v>
      </c>
      <c r="X758" s="343"/>
      <c r="Y758" s="367" t="str">
        <f t="shared" ca="1" si="341"/>
        <v/>
      </c>
      <c r="Z758" s="368" t="str">
        <f t="shared" ca="1" si="342"/>
        <v/>
      </c>
      <c r="AA758" s="369" t="str">
        <f t="shared" ca="1" si="343"/>
        <v/>
      </c>
      <c r="AB758" s="344"/>
      <c r="AC758" s="363" t="e">
        <f t="shared" ca="1" si="344"/>
        <v>#N/A</v>
      </c>
      <c r="AD758" s="376" t="e">
        <f t="shared" ca="1" si="345"/>
        <v>#N/A</v>
      </c>
      <c r="AE758" s="377" t="e">
        <f t="shared" ca="1" si="324"/>
        <v>#N/A</v>
      </c>
      <c r="AF758" s="344"/>
      <c r="AG758" s="359">
        <f t="shared" ca="1" si="346"/>
        <v>1.8473565687254752</v>
      </c>
      <c r="AH758" s="357">
        <f t="shared" ca="1" si="347"/>
        <v>-7.9237006470097029</v>
      </c>
    </row>
    <row r="759" spans="1:34">
      <c r="A759" s="402">
        <f t="shared" ca="1" si="325"/>
        <v>1E-4</v>
      </c>
      <c r="B759" s="357">
        <f t="shared" ca="1" si="326"/>
        <v>16.940599999999879</v>
      </c>
      <c r="C759" s="342"/>
      <c r="D759" s="359">
        <f t="shared" ca="1" si="327"/>
        <v>-0.70531993268176774</v>
      </c>
      <c r="E759" s="360">
        <f t="shared" ca="1" si="328"/>
        <v>-1.9176965912919197</v>
      </c>
      <c r="F759" s="357">
        <f t="shared" ca="1" si="329"/>
        <v>2.0432905871879461</v>
      </c>
      <c r="G759" s="359">
        <f t="shared" ca="1" si="330"/>
        <v>4.9923306327459862</v>
      </c>
      <c r="H759" s="360">
        <f t="shared" ca="1" si="331"/>
        <v>-55.863556612188468</v>
      </c>
      <c r="I759" s="357">
        <f t="shared" ca="1" si="332"/>
        <v>56.086186557028817</v>
      </c>
      <c r="J759" s="359">
        <f t="shared" ca="1" si="333"/>
        <v>184.26379383972827</v>
      </c>
      <c r="K759" s="360">
        <f t="shared" ca="1" si="334"/>
        <v>-7.2371978462475637</v>
      </c>
      <c r="L759" s="357">
        <f t="shared" ca="1" si="319"/>
        <v>184.4058642041397</v>
      </c>
      <c r="M759" s="359">
        <f t="shared" ca="1" si="335"/>
        <v>-1.4816665961556628</v>
      </c>
      <c r="N759" s="357">
        <f t="shared" ca="1" si="336"/>
        <v>-84.893242605234036</v>
      </c>
      <c r="O759" s="343"/>
      <c r="P759" s="363">
        <f t="shared" ca="1" si="337"/>
        <v>23</v>
      </c>
      <c r="Q759" s="357">
        <f t="shared" ca="1" si="338"/>
        <v>0</v>
      </c>
      <c r="R759" s="359">
        <f t="shared" ca="1" si="339"/>
        <v>0</v>
      </c>
      <c r="S759" s="360">
        <f t="shared" ca="1" si="340"/>
        <v>0.42898953648292248</v>
      </c>
      <c r="T759" s="357">
        <f t="shared" ca="1" si="320"/>
        <v>4.2083873528974696</v>
      </c>
      <c r="U759" s="364">
        <f t="shared" ca="1" si="321"/>
        <v>0</v>
      </c>
      <c r="V759" s="359">
        <f t="shared" ca="1" si="322"/>
        <v>1.2258868776616205</v>
      </c>
      <c r="W759" s="357">
        <f t="shared" ca="1" si="323"/>
        <v>3.3992332501192548</v>
      </c>
      <c r="X759" s="343"/>
      <c r="Y759" s="367" t="str">
        <f t="shared" ca="1" si="341"/>
        <v/>
      </c>
      <c r="Z759" s="368" t="str">
        <f t="shared" ca="1" si="342"/>
        <v/>
      </c>
      <c r="AA759" s="369" t="str">
        <f t="shared" ca="1" si="343"/>
        <v/>
      </c>
      <c r="AB759" s="344"/>
      <c r="AC759" s="363" t="e">
        <f t="shared" ca="1" si="344"/>
        <v>#N/A</v>
      </c>
      <c r="AD759" s="376" t="e">
        <f t="shared" ca="1" si="345"/>
        <v>#N/A</v>
      </c>
      <c r="AE759" s="377" t="e">
        <f t="shared" ca="1" si="324"/>
        <v>#N/A</v>
      </c>
      <c r="AF759" s="344"/>
      <c r="AG759" s="359">
        <f t="shared" ca="1" si="346"/>
        <v>1.8473013035066623</v>
      </c>
      <c r="AH759" s="357">
        <f t="shared" ca="1" si="347"/>
        <v>-7.923757271808836</v>
      </c>
    </row>
    <row r="760" spans="1:34">
      <c r="A760" s="402">
        <f t="shared" ca="1" si="325"/>
        <v>1E-4</v>
      </c>
      <c r="B760" s="357">
        <f t="shared" ca="1" si="326"/>
        <v>16.940699999999879</v>
      </c>
      <c r="C760" s="342"/>
      <c r="D760" s="359">
        <f t="shared" ca="1" si="327"/>
        <v>-0.70531268510175937</v>
      </c>
      <c r="E760" s="360">
        <f t="shared" ca="1" si="328"/>
        <v>-1.9176390944474644</v>
      </c>
      <c r="F760" s="357">
        <f t="shared" ca="1" si="329"/>
        <v>2.0432341227374664</v>
      </c>
      <c r="G760" s="359">
        <f t="shared" ca="1" si="330"/>
        <v>4.9922601014774761</v>
      </c>
      <c r="H760" s="360">
        <f t="shared" ca="1" si="331"/>
        <v>-55.863748376097909</v>
      </c>
      <c r="I760" s="357">
        <f t="shared" ca="1" si="332"/>
        <v>56.086371281700742</v>
      </c>
      <c r="J760" s="359">
        <f t="shared" ca="1" si="333"/>
        <v>184.26379383972827</v>
      </c>
      <c r="K760" s="360">
        <f t="shared" ca="1" si="334"/>
        <v>-7.2427842114969776</v>
      </c>
      <c r="L760" s="357">
        <f t="shared" ca="1" si="319"/>
        <v>184.40608353127666</v>
      </c>
      <c r="M760" s="359">
        <f t="shared" ca="1" si="335"/>
        <v>-1.4816681530498339</v>
      </c>
      <c r="N760" s="357">
        <f t="shared" ca="1" si="336"/>
        <v>-84.893331808699202</v>
      </c>
      <c r="O760" s="343"/>
      <c r="P760" s="363">
        <f t="shared" ca="1" si="337"/>
        <v>23</v>
      </c>
      <c r="Q760" s="357">
        <f t="shared" ca="1" si="338"/>
        <v>0</v>
      </c>
      <c r="R760" s="359">
        <f t="shared" ca="1" si="339"/>
        <v>0</v>
      </c>
      <c r="S760" s="360">
        <f t="shared" ca="1" si="340"/>
        <v>0.42898953648292248</v>
      </c>
      <c r="T760" s="357">
        <f t="shared" ca="1" si="320"/>
        <v>4.2083873528974696</v>
      </c>
      <c r="U760" s="364">
        <f t="shared" ca="1" si="321"/>
        <v>0</v>
      </c>
      <c r="V760" s="359">
        <f t="shared" ca="1" si="322"/>
        <v>1.2258875624870869</v>
      </c>
      <c r="W760" s="357">
        <f t="shared" ca="1" si="323"/>
        <v>3.3992575404385157</v>
      </c>
      <c r="X760" s="343"/>
      <c r="Y760" s="367" t="str">
        <f t="shared" ca="1" si="341"/>
        <v/>
      </c>
      <c r="Z760" s="368" t="str">
        <f t="shared" ca="1" si="342"/>
        <v/>
      </c>
      <c r="AA760" s="369" t="str">
        <f t="shared" ca="1" si="343"/>
        <v/>
      </c>
      <c r="AB760" s="344"/>
      <c r="AC760" s="363" t="e">
        <f t="shared" ca="1" si="344"/>
        <v>#N/A</v>
      </c>
      <c r="AD760" s="376" t="e">
        <f t="shared" ca="1" si="345"/>
        <v>#N/A</v>
      </c>
      <c r="AE760" s="377" t="e">
        <f t="shared" ca="1" si="324"/>
        <v>#N/A</v>
      </c>
      <c r="AF760" s="344"/>
      <c r="AG760" s="359">
        <f t="shared" ca="1" si="346"/>
        <v>1.8472460395496446</v>
      </c>
      <c r="AH760" s="357">
        <f t="shared" ca="1" si="347"/>
        <v>-7.9238138952943293</v>
      </c>
    </row>
    <row r="761" spans="1:34">
      <c r="A761" s="402">
        <f t="shared" ca="1" si="325"/>
        <v>1E-4</v>
      </c>
      <c r="B761" s="357">
        <f t="shared" ca="1" si="326"/>
        <v>16.940799999999879</v>
      </c>
      <c r="C761" s="342"/>
      <c r="D761" s="359">
        <f t="shared" ca="1" si="327"/>
        <v>-0.70530543748204177</v>
      </c>
      <c r="E761" s="360">
        <f t="shared" ca="1" si="328"/>
        <v>-1.9175815989376135</v>
      </c>
      <c r="F761" s="357">
        <f t="shared" ca="1" si="329"/>
        <v>2.0431776596091367</v>
      </c>
      <c r="G761" s="359">
        <f t="shared" ca="1" si="330"/>
        <v>4.9921895709337276</v>
      </c>
      <c r="H761" s="360">
        <f t="shared" ca="1" si="331"/>
        <v>-55.863940134257803</v>
      </c>
      <c r="I761" s="357">
        <f t="shared" ca="1" si="332"/>
        <v>56.0865560008464</v>
      </c>
      <c r="J761" s="359">
        <f t="shared" ca="1" si="333"/>
        <v>184.26379383972827</v>
      </c>
      <c r="K761" s="360">
        <f t="shared" ca="1" si="334"/>
        <v>-7.2483705959224958</v>
      </c>
      <c r="L761" s="357">
        <f t="shared" ca="1" si="319"/>
        <v>184.40630302813869</v>
      </c>
      <c r="M761" s="359">
        <f t="shared" ca="1" si="335"/>
        <v>-1.4816697099117542</v>
      </c>
      <c r="N761" s="357">
        <f t="shared" ca="1" si="336"/>
        <v>-84.893421010316516</v>
      </c>
      <c r="O761" s="343"/>
      <c r="P761" s="363">
        <f t="shared" ca="1" si="337"/>
        <v>23</v>
      </c>
      <c r="Q761" s="357">
        <f t="shared" ca="1" si="338"/>
        <v>0</v>
      </c>
      <c r="R761" s="359">
        <f t="shared" ca="1" si="339"/>
        <v>0</v>
      </c>
      <c r="S761" s="360">
        <f t="shared" ca="1" si="340"/>
        <v>0.42898953648292248</v>
      </c>
      <c r="T761" s="357">
        <f t="shared" ca="1" si="320"/>
        <v>4.2083873528974696</v>
      </c>
      <c r="U761" s="364">
        <f t="shared" ca="1" si="321"/>
        <v>0</v>
      </c>
      <c r="V761" s="359">
        <f t="shared" ca="1" si="322"/>
        <v>1.2258882473152868</v>
      </c>
      <c r="W761" s="357">
        <f t="shared" ca="1" si="323"/>
        <v>3.3992818301942518</v>
      </c>
      <c r="X761" s="343"/>
      <c r="Y761" s="367" t="str">
        <f t="shared" ca="1" si="341"/>
        <v/>
      </c>
      <c r="Z761" s="368" t="str">
        <f t="shared" ca="1" si="342"/>
        <v/>
      </c>
      <c r="AA761" s="369" t="str">
        <f t="shared" ca="1" si="343"/>
        <v/>
      </c>
      <c r="AB761" s="344"/>
      <c r="AC761" s="363" t="e">
        <f t="shared" ca="1" si="344"/>
        <v>#N/A</v>
      </c>
      <c r="AD761" s="376" t="e">
        <f t="shared" ca="1" si="345"/>
        <v>#N/A</v>
      </c>
      <c r="AE761" s="377" t="e">
        <f t="shared" ca="1" si="324"/>
        <v>#N/A</v>
      </c>
      <c r="AF761" s="344"/>
      <c r="AG761" s="359">
        <f t="shared" ca="1" si="346"/>
        <v>1.8471907768544087</v>
      </c>
      <c r="AH761" s="357">
        <f t="shared" ca="1" si="347"/>
        <v>-7.923870517466189</v>
      </c>
    </row>
    <row r="762" spans="1:34">
      <c r="A762" s="402">
        <f t="shared" ca="1" si="325"/>
        <v>1E-4</v>
      </c>
      <c r="B762" s="357">
        <f t="shared" ca="1" si="326"/>
        <v>16.940899999999878</v>
      </c>
      <c r="C762" s="342"/>
      <c r="D762" s="359">
        <f t="shared" ca="1" si="327"/>
        <v>-0.70529818982262127</v>
      </c>
      <c r="E762" s="360">
        <f t="shared" ca="1" si="328"/>
        <v>-1.9175241047623421</v>
      </c>
      <c r="F762" s="357">
        <f t="shared" ca="1" si="329"/>
        <v>2.043121197802932</v>
      </c>
      <c r="G762" s="359">
        <f t="shared" ca="1" si="330"/>
        <v>4.9921190411147451</v>
      </c>
      <c r="H762" s="360">
        <f t="shared" ca="1" si="331"/>
        <v>-55.864131886668282</v>
      </c>
      <c r="I762" s="357">
        <f t="shared" ca="1" si="332"/>
        <v>56.086740714465911</v>
      </c>
      <c r="J762" s="359">
        <f t="shared" ca="1" si="333"/>
        <v>184.26379383972827</v>
      </c>
      <c r="K762" s="360">
        <f t="shared" ca="1" si="334"/>
        <v>-7.2539569995235418</v>
      </c>
      <c r="L762" s="357">
        <f t="shared" ca="1" si="319"/>
        <v>184.40652269472687</v>
      </c>
      <c r="M762" s="359">
        <f t="shared" ca="1" si="335"/>
        <v>-1.4816712667414247</v>
      </c>
      <c r="N762" s="357">
        <f t="shared" ca="1" si="336"/>
        <v>-84.893510210086049</v>
      </c>
      <c r="O762" s="343"/>
      <c r="P762" s="363">
        <f t="shared" ca="1" si="337"/>
        <v>23</v>
      </c>
      <c r="Q762" s="357">
        <f t="shared" ca="1" si="338"/>
        <v>0</v>
      </c>
      <c r="R762" s="359">
        <f t="shared" ca="1" si="339"/>
        <v>0</v>
      </c>
      <c r="S762" s="360">
        <f t="shared" ca="1" si="340"/>
        <v>0.42898953648292248</v>
      </c>
      <c r="T762" s="357">
        <f t="shared" ca="1" si="320"/>
        <v>4.2083873528974696</v>
      </c>
      <c r="U762" s="364">
        <f t="shared" ca="1" si="321"/>
        <v>0</v>
      </c>
      <c r="V762" s="359">
        <f t="shared" ca="1" si="322"/>
        <v>1.2258889321462201</v>
      </c>
      <c r="W762" s="357">
        <f t="shared" ca="1" si="323"/>
        <v>3.3993061193864702</v>
      </c>
      <c r="X762" s="343"/>
      <c r="Y762" s="367" t="str">
        <f t="shared" ca="1" si="341"/>
        <v/>
      </c>
      <c r="Z762" s="368" t="str">
        <f t="shared" ca="1" si="342"/>
        <v/>
      </c>
      <c r="AA762" s="369" t="str">
        <f t="shared" ca="1" si="343"/>
        <v/>
      </c>
      <c r="AB762" s="344"/>
      <c r="AC762" s="363" t="e">
        <f t="shared" ca="1" si="344"/>
        <v>#N/A</v>
      </c>
      <c r="AD762" s="376" t="e">
        <f t="shared" ca="1" si="345"/>
        <v>#N/A</v>
      </c>
      <c r="AE762" s="377" t="e">
        <f t="shared" ca="1" si="324"/>
        <v>#N/A</v>
      </c>
      <c r="AF762" s="344"/>
      <c r="AG762" s="359">
        <f t="shared" ca="1" si="346"/>
        <v>1.8471355154209386</v>
      </c>
      <c r="AH762" s="357">
        <f t="shared" ca="1" si="347"/>
        <v>-7.9239271383244398</v>
      </c>
    </row>
    <row r="763" spans="1:34">
      <c r="A763" s="402">
        <f t="shared" ca="1" si="325"/>
        <v>1E-4</v>
      </c>
      <c r="B763" s="357">
        <f t="shared" ca="1" si="326"/>
        <v>16.940999999999878</v>
      </c>
      <c r="C763" s="342"/>
      <c r="D763" s="359">
        <f t="shared" ca="1" si="327"/>
        <v>-0.70529094212350263</v>
      </c>
      <c r="E763" s="360">
        <f t="shared" ca="1" si="328"/>
        <v>-1.9174666119216326</v>
      </c>
      <c r="F763" s="357">
        <f t="shared" ca="1" si="329"/>
        <v>2.0430647373188355</v>
      </c>
      <c r="G763" s="359">
        <f t="shared" ca="1" si="330"/>
        <v>4.9920485120205331</v>
      </c>
      <c r="H763" s="360">
        <f t="shared" ca="1" si="331"/>
        <v>-55.864323633329477</v>
      </c>
      <c r="I763" s="357">
        <f t="shared" ca="1" si="332"/>
        <v>56.086925422559403</v>
      </c>
      <c r="J763" s="359">
        <f t="shared" ca="1" si="333"/>
        <v>184.26379383972827</v>
      </c>
      <c r="K763" s="360">
        <f t="shared" ca="1" si="334"/>
        <v>-7.2595434222995419</v>
      </c>
      <c r="L763" s="357">
        <f t="shared" ca="1" si="319"/>
        <v>184.40674253104231</v>
      </c>
      <c r="M763" s="359">
        <f t="shared" ca="1" si="335"/>
        <v>-1.4816728235388461</v>
      </c>
      <c r="N763" s="357">
        <f t="shared" ca="1" si="336"/>
        <v>-84.893599408007859</v>
      </c>
      <c r="O763" s="343"/>
      <c r="P763" s="363">
        <f t="shared" ca="1" si="337"/>
        <v>23</v>
      </c>
      <c r="Q763" s="357">
        <f t="shared" ca="1" si="338"/>
        <v>0</v>
      </c>
      <c r="R763" s="359">
        <f t="shared" ca="1" si="339"/>
        <v>0</v>
      </c>
      <c r="S763" s="360">
        <f t="shared" ca="1" si="340"/>
        <v>0.42898953648292248</v>
      </c>
      <c r="T763" s="357">
        <f t="shared" ca="1" si="320"/>
        <v>4.2083873528974696</v>
      </c>
      <c r="U763" s="364">
        <f t="shared" ca="1" si="321"/>
        <v>0</v>
      </c>
      <c r="V763" s="359">
        <f t="shared" ca="1" si="322"/>
        <v>1.2258896169798865</v>
      </c>
      <c r="W763" s="357">
        <f t="shared" ca="1" si="323"/>
        <v>3.3993304080151781</v>
      </c>
      <c r="X763" s="343"/>
      <c r="Y763" s="367" t="str">
        <f t="shared" ca="1" si="341"/>
        <v/>
      </c>
      <c r="Z763" s="368" t="str">
        <f t="shared" ca="1" si="342"/>
        <v/>
      </c>
      <c r="AA763" s="369" t="str">
        <f t="shared" ca="1" si="343"/>
        <v/>
      </c>
      <c r="AB763" s="344"/>
      <c r="AC763" s="363" t="e">
        <f t="shared" ca="1" si="344"/>
        <v>#N/A</v>
      </c>
      <c r="AD763" s="376" t="e">
        <f t="shared" ca="1" si="345"/>
        <v>#N/A</v>
      </c>
      <c r="AE763" s="377" t="e">
        <f t="shared" ca="1" si="324"/>
        <v>#N/A</v>
      </c>
      <c r="AF763" s="344"/>
      <c r="AG763" s="359">
        <f t="shared" ca="1" si="346"/>
        <v>1.8470802552492209</v>
      </c>
      <c r="AH763" s="357">
        <f t="shared" ca="1" si="347"/>
        <v>-7.923983757869097</v>
      </c>
    </row>
    <row r="764" spans="1:34">
      <c r="A764" s="402">
        <f t="shared" ca="1" si="325"/>
        <v>1E-4</v>
      </c>
      <c r="B764" s="357">
        <f t="shared" ca="1" si="326"/>
        <v>16.941099999999878</v>
      </c>
      <c r="C764" s="342"/>
      <c r="D764" s="359">
        <f t="shared" ca="1" si="327"/>
        <v>-0.7052836943846934</v>
      </c>
      <c r="E764" s="360">
        <f t="shared" ca="1" si="328"/>
        <v>-1.9174091204154697</v>
      </c>
      <c r="F764" s="357">
        <f t="shared" ca="1" si="329"/>
        <v>2.0430082781568326</v>
      </c>
      <c r="G764" s="359">
        <f t="shared" ca="1" si="330"/>
        <v>4.9919779836510942</v>
      </c>
      <c r="H764" s="360">
        <f t="shared" ca="1" si="331"/>
        <v>-55.86451537424152</v>
      </c>
      <c r="I764" s="357">
        <f t="shared" ca="1" si="332"/>
        <v>56.087110125127005</v>
      </c>
      <c r="J764" s="359">
        <f t="shared" ca="1" si="333"/>
        <v>184.26379383972827</v>
      </c>
      <c r="K764" s="360">
        <f t="shared" ca="1" si="334"/>
        <v>-7.2651298642499205</v>
      </c>
      <c r="L764" s="357">
        <f t="shared" ca="1" si="319"/>
        <v>184.40696253708614</v>
      </c>
      <c r="M764" s="359">
        <f t="shared" ca="1" si="335"/>
        <v>-1.4816743803040193</v>
      </c>
      <c r="N764" s="357">
        <f t="shared" ca="1" si="336"/>
        <v>-84.893688604081973</v>
      </c>
      <c r="O764" s="343"/>
      <c r="P764" s="363">
        <f t="shared" ca="1" si="337"/>
        <v>23</v>
      </c>
      <c r="Q764" s="357">
        <f t="shared" ca="1" si="338"/>
        <v>0</v>
      </c>
      <c r="R764" s="359">
        <f t="shared" ca="1" si="339"/>
        <v>0</v>
      </c>
      <c r="S764" s="360">
        <f t="shared" ca="1" si="340"/>
        <v>0.42898953648292248</v>
      </c>
      <c r="T764" s="357">
        <f t="shared" ca="1" si="320"/>
        <v>4.2083873528974696</v>
      </c>
      <c r="U764" s="364">
        <f t="shared" ca="1" si="321"/>
        <v>0</v>
      </c>
      <c r="V764" s="359">
        <f t="shared" ca="1" si="322"/>
        <v>1.2258903018162863</v>
      </c>
      <c r="W764" s="357">
        <f t="shared" ca="1" si="323"/>
        <v>3.3993546960803842</v>
      </c>
      <c r="X764" s="343"/>
      <c r="Y764" s="367" t="str">
        <f t="shared" ca="1" si="341"/>
        <v/>
      </c>
      <c r="Z764" s="368" t="str">
        <f t="shared" ca="1" si="342"/>
        <v/>
      </c>
      <c r="AA764" s="369" t="str">
        <f t="shared" ca="1" si="343"/>
        <v/>
      </c>
      <c r="AB764" s="344"/>
      <c r="AC764" s="363" t="e">
        <f t="shared" ca="1" si="344"/>
        <v>#N/A</v>
      </c>
      <c r="AD764" s="376" t="e">
        <f t="shared" ca="1" si="345"/>
        <v>#N/A</v>
      </c>
      <c r="AE764" s="377" t="e">
        <f t="shared" ca="1" si="324"/>
        <v>#N/A</v>
      </c>
      <c r="AF764" s="344"/>
      <c r="AG764" s="359">
        <f t="shared" ca="1" si="346"/>
        <v>1.8470249963392371</v>
      </c>
      <c r="AH764" s="357">
        <f t="shared" ca="1" si="347"/>
        <v>-7.9240403761001774</v>
      </c>
    </row>
    <row r="765" spans="1:34">
      <c r="A765" s="402">
        <f t="shared" ca="1" si="325"/>
        <v>1E-4</v>
      </c>
      <c r="B765" s="357">
        <f t="shared" ca="1" si="326"/>
        <v>16.941199999999878</v>
      </c>
      <c r="C765" s="342"/>
      <c r="D765" s="359">
        <f t="shared" ca="1" si="327"/>
        <v>-0.70527644660620037</v>
      </c>
      <c r="E765" s="360">
        <f t="shared" ca="1" si="328"/>
        <v>-1.9173516302438296</v>
      </c>
      <c r="F765" s="357">
        <f t="shared" ca="1" si="329"/>
        <v>2.042951820316901</v>
      </c>
      <c r="G765" s="359">
        <f t="shared" ca="1" si="330"/>
        <v>4.9919074560064338</v>
      </c>
      <c r="H765" s="360">
        <f t="shared" ca="1" si="331"/>
        <v>-55.864707109404542</v>
      </c>
      <c r="I765" s="357">
        <f t="shared" ca="1" si="332"/>
        <v>56.087294822168836</v>
      </c>
      <c r="J765" s="359">
        <f t="shared" ca="1" si="333"/>
        <v>184.26379383972827</v>
      </c>
      <c r="K765" s="360">
        <f t="shared" ca="1" si="334"/>
        <v>-7.270716325374103</v>
      </c>
      <c r="L765" s="357">
        <f t="shared" ca="1" si="319"/>
        <v>184.40718271285948</v>
      </c>
      <c r="M765" s="359">
        <f t="shared" ca="1" si="335"/>
        <v>-1.4816759370369454</v>
      </c>
      <c r="N765" s="357">
        <f t="shared" ca="1" si="336"/>
        <v>-84.893777798308477</v>
      </c>
      <c r="O765" s="343"/>
      <c r="P765" s="363">
        <f t="shared" ca="1" si="337"/>
        <v>23</v>
      </c>
      <c r="Q765" s="357">
        <f t="shared" ca="1" si="338"/>
        <v>0</v>
      </c>
      <c r="R765" s="359">
        <f t="shared" ca="1" si="339"/>
        <v>0</v>
      </c>
      <c r="S765" s="360">
        <f t="shared" ca="1" si="340"/>
        <v>0.42898953648292248</v>
      </c>
      <c r="T765" s="357">
        <f t="shared" ca="1" si="320"/>
        <v>4.2083873528974696</v>
      </c>
      <c r="U765" s="364">
        <f t="shared" ca="1" si="321"/>
        <v>0</v>
      </c>
      <c r="V765" s="359">
        <f t="shared" ca="1" si="322"/>
        <v>1.2258909866554193</v>
      </c>
      <c r="W765" s="357">
        <f t="shared" ca="1" si="323"/>
        <v>3.3993789835820949</v>
      </c>
      <c r="X765" s="343"/>
      <c r="Y765" s="367" t="str">
        <f t="shared" ca="1" si="341"/>
        <v/>
      </c>
      <c r="Z765" s="368" t="str">
        <f t="shared" ca="1" si="342"/>
        <v/>
      </c>
      <c r="AA765" s="369" t="str">
        <f t="shared" ca="1" si="343"/>
        <v/>
      </c>
      <c r="AB765" s="344"/>
      <c r="AC765" s="363" t="e">
        <f t="shared" ca="1" si="344"/>
        <v>#N/A</v>
      </c>
      <c r="AD765" s="376" t="e">
        <f t="shared" ca="1" si="345"/>
        <v>#N/A</v>
      </c>
      <c r="AE765" s="377" t="e">
        <f t="shared" ca="1" si="324"/>
        <v>#N/A</v>
      </c>
      <c r="AF765" s="344"/>
      <c r="AG765" s="359">
        <f t="shared" ca="1" si="346"/>
        <v>1.846969738690972</v>
      </c>
      <c r="AH765" s="357">
        <f t="shared" ca="1" si="347"/>
        <v>-7.9240969930177032</v>
      </c>
    </row>
    <row r="766" spans="1:34">
      <c r="A766" s="402">
        <f t="shared" ca="1" si="325"/>
        <v>1E-4</v>
      </c>
      <c r="B766" s="357">
        <f t="shared" ca="1" si="326"/>
        <v>16.941299999999877</v>
      </c>
      <c r="C766" s="342"/>
      <c r="D766" s="359">
        <f t="shared" ca="1" si="327"/>
        <v>-0.70526919878802763</v>
      </c>
      <c r="E766" s="360">
        <f t="shared" ca="1" si="328"/>
        <v>-1.9172941414067006</v>
      </c>
      <c r="F766" s="357">
        <f t="shared" ca="1" si="329"/>
        <v>2.0428953637990284</v>
      </c>
      <c r="G766" s="359">
        <f t="shared" ca="1" si="330"/>
        <v>4.9918369290865554</v>
      </c>
      <c r="H766" s="360">
        <f t="shared" ca="1" si="331"/>
        <v>-55.864898838818682</v>
      </c>
      <c r="I766" s="357">
        <f t="shared" ca="1" si="332"/>
        <v>56.087479513685025</v>
      </c>
      <c r="J766" s="359">
        <f t="shared" ca="1" si="333"/>
        <v>184.26379383972827</v>
      </c>
      <c r="K766" s="360">
        <f t="shared" ca="1" si="334"/>
        <v>-7.2763028056715138</v>
      </c>
      <c r="L766" s="357">
        <f t="shared" ca="1" si="319"/>
        <v>184.40740305836343</v>
      </c>
      <c r="M766" s="359">
        <f t="shared" ca="1" si="335"/>
        <v>-1.4816774937376254</v>
      </c>
      <c r="N766" s="357">
        <f t="shared" ca="1" si="336"/>
        <v>-84.8938669906874</v>
      </c>
      <c r="O766" s="343"/>
      <c r="P766" s="363">
        <f t="shared" ca="1" si="337"/>
        <v>23</v>
      </c>
      <c r="Q766" s="357">
        <f t="shared" ca="1" si="338"/>
        <v>0</v>
      </c>
      <c r="R766" s="359">
        <f t="shared" ca="1" si="339"/>
        <v>0</v>
      </c>
      <c r="S766" s="360">
        <f t="shared" ca="1" si="340"/>
        <v>0.42898953648292248</v>
      </c>
      <c r="T766" s="357">
        <f t="shared" ca="1" si="320"/>
        <v>4.2083873528974696</v>
      </c>
      <c r="U766" s="364">
        <f t="shared" ca="1" si="321"/>
        <v>0</v>
      </c>
      <c r="V766" s="359">
        <f t="shared" ca="1" si="322"/>
        <v>1.2258916714972858</v>
      </c>
      <c r="W766" s="357">
        <f t="shared" ca="1" si="323"/>
        <v>3.3994032705203203</v>
      </c>
      <c r="X766" s="343"/>
      <c r="Y766" s="367" t="str">
        <f t="shared" ca="1" si="341"/>
        <v/>
      </c>
      <c r="Z766" s="368" t="str">
        <f t="shared" ca="1" si="342"/>
        <v/>
      </c>
      <c r="AA766" s="369" t="str">
        <f t="shared" ca="1" si="343"/>
        <v/>
      </c>
      <c r="AB766" s="344"/>
      <c r="AC766" s="363" t="e">
        <f t="shared" ca="1" si="344"/>
        <v>#N/A</v>
      </c>
      <c r="AD766" s="376" t="e">
        <f t="shared" ca="1" si="345"/>
        <v>#N/A</v>
      </c>
      <c r="AE766" s="377" t="e">
        <f t="shared" ca="1" si="324"/>
        <v>#N/A</v>
      </c>
      <c r="AF766" s="344"/>
      <c r="AG766" s="359">
        <f t="shared" ca="1" si="346"/>
        <v>1.8469144823044132</v>
      </c>
      <c r="AH766" s="357">
        <f t="shared" ca="1" si="347"/>
        <v>-7.9241536086216868</v>
      </c>
    </row>
    <row r="767" spans="1:34">
      <c r="A767" s="402">
        <f t="shared" ca="1" si="325"/>
        <v>1E-4</v>
      </c>
      <c r="B767" s="357">
        <f t="shared" ca="1" si="326"/>
        <v>16.941399999999877</v>
      </c>
      <c r="C767" s="342"/>
      <c r="D767" s="359">
        <f t="shared" ca="1" si="327"/>
        <v>-0.70526195093018185</v>
      </c>
      <c r="E767" s="360">
        <f t="shared" ca="1" si="328"/>
        <v>-1.9172366539040571</v>
      </c>
      <c r="F767" s="357">
        <f t="shared" ca="1" si="329"/>
        <v>2.0428389086031897</v>
      </c>
      <c r="G767" s="359">
        <f t="shared" ca="1" si="330"/>
        <v>4.9917664028914626</v>
      </c>
      <c r="H767" s="360">
        <f t="shared" ca="1" si="331"/>
        <v>-55.86509056248407</v>
      </c>
      <c r="I767" s="357">
        <f t="shared" ca="1" si="332"/>
        <v>56.087664199675693</v>
      </c>
      <c r="J767" s="359">
        <f t="shared" ca="1" si="333"/>
        <v>184.26379383972827</v>
      </c>
      <c r="K767" s="360">
        <f t="shared" ca="1" si="334"/>
        <v>-7.2818893051415792</v>
      </c>
      <c r="L767" s="357">
        <f t="shared" ca="1" si="319"/>
        <v>184.40762357359907</v>
      </c>
      <c r="M767" s="359">
        <f t="shared" ca="1" si="335"/>
        <v>-1.48167905040606</v>
      </c>
      <c r="N767" s="357">
        <f t="shared" ca="1" si="336"/>
        <v>-84.893956181218797</v>
      </c>
      <c r="O767" s="343"/>
      <c r="P767" s="363">
        <f t="shared" ca="1" si="337"/>
        <v>23</v>
      </c>
      <c r="Q767" s="357">
        <f t="shared" ca="1" si="338"/>
        <v>0</v>
      </c>
      <c r="R767" s="359">
        <f t="shared" ca="1" si="339"/>
        <v>0</v>
      </c>
      <c r="S767" s="360">
        <f t="shared" ca="1" si="340"/>
        <v>0.42898953648292248</v>
      </c>
      <c r="T767" s="357">
        <f t="shared" ca="1" si="320"/>
        <v>4.2083873528974696</v>
      </c>
      <c r="U767" s="364">
        <f t="shared" ca="1" si="321"/>
        <v>0</v>
      </c>
      <c r="V767" s="359">
        <f t="shared" ca="1" si="322"/>
        <v>1.2258923563418849</v>
      </c>
      <c r="W767" s="357">
        <f t="shared" ca="1" si="323"/>
        <v>3.3994275568950632</v>
      </c>
      <c r="X767" s="343"/>
      <c r="Y767" s="367" t="str">
        <f t="shared" ca="1" si="341"/>
        <v/>
      </c>
      <c r="Z767" s="368" t="str">
        <f t="shared" ca="1" si="342"/>
        <v/>
      </c>
      <c r="AA767" s="369" t="str">
        <f t="shared" ca="1" si="343"/>
        <v/>
      </c>
      <c r="AB767" s="344"/>
      <c r="AC767" s="363" t="e">
        <f t="shared" ca="1" si="344"/>
        <v>#N/A</v>
      </c>
      <c r="AD767" s="376" t="e">
        <f t="shared" ca="1" si="345"/>
        <v>#N/A</v>
      </c>
      <c r="AE767" s="377" t="e">
        <f t="shared" ca="1" si="324"/>
        <v>#N/A</v>
      </c>
      <c r="AF767" s="344"/>
      <c r="AG767" s="359">
        <f t="shared" ca="1" si="346"/>
        <v>1.8468592271795359</v>
      </c>
      <c r="AH767" s="357">
        <f t="shared" ca="1" si="347"/>
        <v>-7.9242102229121532</v>
      </c>
    </row>
    <row r="768" spans="1:34">
      <c r="A768" s="402">
        <f t="shared" ca="1" si="325"/>
        <v>1E-4</v>
      </c>
      <c r="B768" s="357">
        <f t="shared" ca="1" si="326"/>
        <v>16.941499999999877</v>
      </c>
      <c r="C768" s="342"/>
      <c r="D768" s="359">
        <f t="shared" ca="1" si="327"/>
        <v>-0.70525470303266835</v>
      </c>
      <c r="E768" s="360">
        <f t="shared" ca="1" si="328"/>
        <v>-1.9171791677358936</v>
      </c>
      <c r="F768" s="357">
        <f t="shared" ca="1" si="329"/>
        <v>2.0427824547293798</v>
      </c>
      <c r="G768" s="359">
        <f t="shared" ca="1" si="330"/>
        <v>4.9916958774211597</v>
      </c>
      <c r="H768" s="360">
        <f t="shared" ca="1" si="331"/>
        <v>-55.865282280400841</v>
      </c>
      <c r="I768" s="357">
        <f t="shared" ca="1" si="332"/>
        <v>56.087848880140974</v>
      </c>
      <c r="J768" s="359">
        <f t="shared" ca="1" si="333"/>
        <v>184.26379383972827</v>
      </c>
      <c r="K768" s="360">
        <f t="shared" ca="1" si="334"/>
        <v>-7.2874758237837236</v>
      </c>
      <c r="L768" s="357">
        <f t="shared" ca="1" si="319"/>
        <v>184.40784425856756</v>
      </c>
      <c r="M768" s="359">
        <f t="shared" ca="1" si="335"/>
        <v>-1.4816806070422504</v>
      </c>
      <c r="N768" s="357">
        <f t="shared" ca="1" si="336"/>
        <v>-84.894045369902742</v>
      </c>
      <c r="O768" s="343"/>
      <c r="P768" s="363">
        <f t="shared" ca="1" si="337"/>
        <v>23</v>
      </c>
      <c r="Q768" s="357">
        <f t="shared" ca="1" si="338"/>
        <v>0</v>
      </c>
      <c r="R768" s="359">
        <f t="shared" ca="1" si="339"/>
        <v>0</v>
      </c>
      <c r="S768" s="360">
        <f t="shared" ca="1" si="340"/>
        <v>0.42898953648292248</v>
      </c>
      <c r="T768" s="357">
        <f t="shared" ca="1" si="320"/>
        <v>4.2083873528974696</v>
      </c>
      <c r="U768" s="364">
        <f t="shared" ca="1" si="321"/>
        <v>0</v>
      </c>
      <c r="V768" s="359">
        <f t="shared" ca="1" si="322"/>
        <v>1.2258930411892177</v>
      </c>
      <c r="W768" s="357">
        <f t="shared" ca="1" si="323"/>
        <v>3.3994518427063358</v>
      </c>
      <c r="X768" s="343"/>
      <c r="Y768" s="367" t="str">
        <f t="shared" ca="1" si="341"/>
        <v/>
      </c>
      <c r="Z768" s="368" t="str">
        <f t="shared" ca="1" si="342"/>
        <v/>
      </c>
      <c r="AA768" s="369" t="str">
        <f t="shared" ca="1" si="343"/>
        <v/>
      </c>
      <c r="AB768" s="344"/>
      <c r="AC768" s="363" t="e">
        <f t="shared" ca="1" si="344"/>
        <v>#N/A</v>
      </c>
      <c r="AD768" s="376" t="e">
        <f t="shared" ca="1" si="345"/>
        <v>#N/A</v>
      </c>
      <c r="AE768" s="377" t="e">
        <f t="shared" ca="1" si="324"/>
        <v>#N/A</v>
      </c>
      <c r="AF768" s="344"/>
      <c r="AG768" s="359">
        <f t="shared" ca="1" si="346"/>
        <v>1.8468039733163435</v>
      </c>
      <c r="AH768" s="357">
        <f t="shared" ca="1" si="347"/>
        <v>-7.9242668358891075</v>
      </c>
    </row>
    <row r="769" spans="1:34">
      <c r="A769" s="402">
        <f t="shared" ca="1" si="325"/>
        <v>1E-4</v>
      </c>
      <c r="B769" s="357">
        <f t="shared" ca="1" si="326"/>
        <v>16.941599999999877</v>
      </c>
      <c r="C769" s="342"/>
      <c r="D769" s="359">
        <f t="shared" ca="1" si="327"/>
        <v>-0.70524745509549258</v>
      </c>
      <c r="E769" s="360">
        <f t="shared" ca="1" si="328"/>
        <v>-1.9171216829021791</v>
      </c>
      <c r="F769" s="357">
        <f t="shared" ca="1" si="329"/>
        <v>2.0427260021775684</v>
      </c>
      <c r="G769" s="359">
        <f t="shared" ca="1" si="330"/>
        <v>4.9916253526756504</v>
      </c>
      <c r="H769" s="360">
        <f t="shared" ca="1" si="331"/>
        <v>-55.865473992569129</v>
      </c>
      <c r="I769" s="357">
        <f t="shared" ca="1" si="332"/>
        <v>56.088033555080997</v>
      </c>
      <c r="J769" s="359">
        <f t="shared" ca="1" si="333"/>
        <v>184.26379383972827</v>
      </c>
      <c r="K769" s="360">
        <f t="shared" ca="1" si="334"/>
        <v>-7.2930623615973724</v>
      </c>
      <c r="L769" s="357">
        <f t="shared" ca="1" si="319"/>
        <v>184.40806511327003</v>
      </c>
      <c r="M769" s="359">
        <f t="shared" ca="1" si="335"/>
        <v>-1.481682163646197</v>
      </c>
      <c r="N769" s="357">
        <f t="shared" ca="1" si="336"/>
        <v>-84.89413455673926</v>
      </c>
      <c r="O769" s="343"/>
      <c r="P769" s="363">
        <f t="shared" ca="1" si="337"/>
        <v>23</v>
      </c>
      <c r="Q769" s="357">
        <f t="shared" ca="1" si="338"/>
        <v>0</v>
      </c>
      <c r="R769" s="359">
        <f t="shared" ca="1" si="339"/>
        <v>0</v>
      </c>
      <c r="S769" s="360">
        <f t="shared" ca="1" si="340"/>
        <v>0.42898953648292248</v>
      </c>
      <c r="T769" s="357">
        <f t="shared" ca="1" si="320"/>
        <v>4.2083873528974696</v>
      </c>
      <c r="U769" s="364">
        <f t="shared" ca="1" si="321"/>
        <v>0</v>
      </c>
      <c r="V769" s="359">
        <f t="shared" ca="1" si="322"/>
        <v>1.2258937260392826</v>
      </c>
      <c r="W769" s="357">
        <f t="shared" ca="1" si="323"/>
        <v>3.3994761279541432</v>
      </c>
      <c r="X769" s="343"/>
      <c r="Y769" s="367" t="str">
        <f t="shared" ca="1" si="341"/>
        <v/>
      </c>
      <c r="Z769" s="368" t="str">
        <f t="shared" ca="1" si="342"/>
        <v/>
      </c>
      <c r="AA769" s="369" t="str">
        <f t="shared" ca="1" si="343"/>
        <v/>
      </c>
      <c r="AB769" s="344"/>
      <c r="AC769" s="363" t="e">
        <f t="shared" ca="1" si="344"/>
        <v>#N/A</v>
      </c>
      <c r="AD769" s="376" t="e">
        <f t="shared" ca="1" si="345"/>
        <v>#N/A</v>
      </c>
      <c r="AE769" s="377" t="e">
        <f t="shared" ca="1" si="324"/>
        <v>#N/A</v>
      </c>
      <c r="AF769" s="344"/>
      <c r="AG769" s="359">
        <f t="shared" ca="1" si="346"/>
        <v>1.8467487207147988</v>
      </c>
      <c r="AH769" s="357">
        <f t="shared" ca="1" si="347"/>
        <v>-7.9243234475525801</v>
      </c>
    </row>
    <row r="770" spans="1:34">
      <c r="A770" s="402">
        <f t="shared" ca="1" si="325"/>
        <v>1E-4</v>
      </c>
      <c r="B770" s="357">
        <f t="shared" ca="1" si="326"/>
        <v>16.941699999999877</v>
      </c>
      <c r="C770" s="342"/>
      <c r="D770" s="359">
        <f t="shared" ca="1" si="327"/>
        <v>-0.70524020711866375</v>
      </c>
      <c r="E770" s="360">
        <f t="shared" ca="1" si="328"/>
        <v>-1.9170641994029021</v>
      </c>
      <c r="F770" s="357">
        <f t="shared" ca="1" si="329"/>
        <v>2.0426695509477457</v>
      </c>
      <c r="G770" s="359">
        <f t="shared" ca="1" si="330"/>
        <v>4.9915548286549383</v>
      </c>
      <c r="H770" s="360">
        <f t="shared" ca="1" si="331"/>
        <v>-55.865665698989069</v>
      </c>
      <c r="I770" s="357">
        <f t="shared" ca="1" si="332"/>
        <v>56.088218224495883</v>
      </c>
      <c r="J770" s="359">
        <f t="shared" ca="1" si="333"/>
        <v>184.26379383972827</v>
      </c>
      <c r="K770" s="360">
        <f t="shared" ca="1" si="334"/>
        <v>-7.2986489185819501</v>
      </c>
      <c r="L770" s="357">
        <f t="shared" ca="1" si="319"/>
        <v>184.40828613770748</v>
      </c>
      <c r="M770" s="359">
        <f t="shared" ca="1" si="335"/>
        <v>-1.4816837202179014</v>
      </c>
      <c r="N770" s="357">
        <f t="shared" ca="1" si="336"/>
        <v>-84.894223741728439</v>
      </c>
      <c r="O770" s="343"/>
      <c r="P770" s="363">
        <f t="shared" ca="1" si="337"/>
        <v>23</v>
      </c>
      <c r="Q770" s="357">
        <f t="shared" ca="1" si="338"/>
        <v>0</v>
      </c>
      <c r="R770" s="359">
        <f t="shared" ca="1" si="339"/>
        <v>0</v>
      </c>
      <c r="S770" s="360">
        <f t="shared" ca="1" si="340"/>
        <v>0.42898953648292248</v>
      </c>
      <c r="T770" s="357">
        <f t="shared" ca="1" si="320"/>
        <v>4.2083873528974696</v>
      </c>
      <c r="U770" s="364">
        <f t="shared" ca="1" si="321"/>
        <v>0</v>
      </c>
      <c r="V770" s="359">
        <f t="shared" ca="1" si="322"/>
        <v>1.2258944108920811</v>
      </c>
      <c r="W770" s="357">
        <f t="shared" ca="1" si="323"/>
        <v>3.399500412638496</v>
      </c>
      <c r="X770" s="343"/>
      <c r="Y770" s="367" t="str">
        <f t="shared" ca="1" si="341"/>
        <v/>
      </c>
      <c r="Z770" s="368" t="str">
        <f t="shared" ca="1" si="342"/>
        <v/>
      </c>
      <c r="AA770" s="369" t="str">
        <f t="shared" ca="1" si="343"/>
        <v/>
      </c>
      <c r="AB770" s="344"/>
      <c r="AC770" s="363" t="e">
        <f t="shared" ca="1" si="344"/>
        <v>#N/A</v>
      </c>
      <c r="AD770" s="376" t="e">
        <f t="shared" ca="1" si="345"/>
        <v>#N/A</v>
      </c>
      <c r="AE770" s="377" t="e">
        <f t="shared" ca="1" si="324"/>
        <v>#N/A</v>
      </c>
      <c r="AF770" s="344"/>
      <c r="AG770" s="359">
        <f t="shared" ca="1" si="346"/>
        <v>1.8466934693748991</v>
      </c>
      <c r="AH770" s="357">
        <f t="shared" ca="1" si="347"/>
        <v>-7.9243800579025825</v>
      </c>
    </row>
    <row r="771" spans="1:34">
      <c r="A771" s="402">
        <f t="shared" ca="1" si="325"/>
        <v>1E-4</v>
      </c>
      <c r="B771" s="357">
        <f t="shared" ca="1" si="326"/>
        <v>16.941799999999876</v>
      </c>
      <c r="C771" s="342"/>
      <c r="D771" s="359">
        <f t="shared" ca="1" si="327"/>
        <v>-0.70523295910218353</v>
      </c>
      <c r="E771" s="360">
        <f t="shared" ca="1" si="328"/>
        <v>-1.9170067172380385</v>
      </c>
      <c r="F771" s="357">
        <f t="shared" ca="1" si="329"/>
        <v>2.0426131010398869</v>
      </c>
      <c r="G771" s="359">
        <f t="shared" ca="1" si="330"/>
        <v>4.9914843053590277</v>
      </c>
      <c r="H771" s="360">
        <f t="shared" ca="1" si="331"/>
        <v>-55.86585739966079</v>
      </c>
      <c r="I771" s="357">
        <f t="shared" ca="1" si="332"/>
        <v>56.088402888385758</v>
      </c>
      <c r="J771" s="359">
        <f t="shared" ca="1" si="333"/>
        <v>184.26379383972827</v>
      </c>
      <c r="K771" s="360">
        <f t="shared" ca="1" si="334"/>
        <v>-7.3042354947368828</v>
      </c>
      <c r="L771" s="357">
        <f t="shared" ca="1" si="319"/>
        <v>184.40850733188114</v>
      </c>
      <c r="M771" s="359">
        <f t="shared" ca="1" si="335"/>
        <v>-1.4816852767573638</v>
      </c>
      <c r="N771" s="357">
        <f t="shared" ca="1" si="336"/>
        <v>-84.894312924870277</v>
      </c>
      <c r="O771" s="343"/>
      <c r="P771" s="363">
        <f t="shared" ca="1" si="337"/>
        <v>23</v>
      </c>
      <c r="Q771" s="357">
        <f t="shared" ca="1" si="338"/>
        <v>0</v>
      </c>
      <c r="R771" s="359">
        <f t="shared" ca="1" si="339"/>
        <v>0</v>
      </c>
      <c r="S771" s="360">
        <f t="shared" ca="1" si="340"/>
        <v>0.42898953648292248</v>
      </c>
      <c r="T771" s="357">
        <f t="shared" ca="1" si="320"/>
        <v>4.2083873528974696</v>
      </c>
      <c r="U771" s="364">
        <f t="shared" ca="1" si="321"/>
        <v>0</v>
      </c>
      <c r="V771" s="359">
        <f t="shared" ca="1" si="322"/>
        <v>1.2258950957476118</v>
      </c>
      <c r="W771" s="357">
        <f t="shared" ca="1" si="323"/>
        <v>3.3995246967593982</v>
      </c>
      <c r="X771" s="343"/>
      <c r="Y771" s="367" t="str">
        <f t="shared" ca="1" si="341"/>
        <v/>
      </c>
      <c r="Z771" s="368" t="str">
        <f t="shared" ca="1" si="342"/>
        <v/>
      </c>
      <c r="AA771" s="369" t="str">
        <f t="shared" ca="1" si="343"/>
        <v/>
      </c>
      <c r="AB771" s="344"/>
      <c r="AC771" s="363" t="e">
        <f t="shared" ca="1" si="344"/>
        <v>#N/A</v>
      </c>
      <c r="AD771" s="376" t="e">
        <f t="shared" ca="1" si="345"/>
        <v>#N/A</v>
      </c>
      <c r="AE771" s="377" t="e">
        <f t="shared" ca="1" si="324"/>
        <v>#N/A</v>
      </c>
      <c r="AF771" s="344"/>
      <c r="AG771" s="359">
        <f t="shared" ca="1" si="346"/>
        <v>1.8466382192966249</v>
      </c>
      <c r="AH771" s="357">
        <f t="shared" ca="1" si="347"/>
        <v>-7.9244366669391377</v>
      </c>
    </row>
    <row r="772" spans="1:34">
      <c r="A772" s="402">
        <f t="shared" ca="1" si="325"/>
        <v>1E-4</v>
      </c>
      <c r="B772" s="357">
        <f t="shared" ca="1" si="326"/>
        <v>16.941899999999876</v>
      </c>
      <c r="C772" s="342"/>
      <c r="D772" s="359">
        <f t="shared" ca="1" si="327"/>
        <v>-0.70522571104606246</v>
      </c>
      <c r="E772" s="360">
        <f t="shared" ca="1" si="328"/>
        <v>-1.9169492364075786</v>
      </c>
      <c r="F772" s="357">
        <f t="shared" ca="1" si="329"/>
        <v>2.0425566524539835</v>
      </c>
      <c r="G772" s="359">
        <f t="shared" ca="1" si="330"/>
        <v>4.991413782787923</v>
      </c>
      <c r="H772" s="360">
        <f t="shared" ca="1" si="331"/>
        <v>-55.866049094584433</v>
      </c>
      <c r="I772" s="357">
        <f t="shared" ca="1" si="332"/>
        <v>56.088587546750752</v>
      </c>
      <c r="J772" s="359">
        <f t="shared" ca="1" si="333"/>
        <v>184.26379383972827</v>
      </c>
      <c r="K772" s="360">
        <f t="shared" ca="1" si="334"/>
        <v>-7.3098220900615951</v>
      </c>
      <c r="L772" s="357">
        <f t="shared" ref="L772:L835" ca="1" si="348">SQRT(pos_x^2+pos_z^2)</f>
        <v>184.40872869579204</v>
      </c>
      <c r="M772" s="359">
        <f t="shared" ca="1" si="335"/>
        <v>-1.4816868332645858</v>
      </c>
      <c r="N772" s="357">
        <f t="shared" ca="1" si="336"/>
        <v>-84.894402106164875</v>
      </c>
      <c r="O772" s="343"/>
      <c r="P772" s="363">
        <f t="shared" ca="1" si="337"/>
        <v>23</v>
      </c>
      <c r="Q772" s="357">
        <f t="shared" ca="1" si="338"/>
        <v>0</v>
      </c>
      <c r="R772" s="359">
        <f t="shared" ca="1" si="339"/>
        <v>0</v>
      </c>
      <c r="S772" s="360">
        <f t="shared" ca="1" si="340"/>
        <v>0.42898953648292248</v>
      </c>
      <c r="T772" s="357">
        <f t="shared" ref="T772:T835" ca="1" si="349">m*g</f>
        <v>4.2083873528974696</v>
      </c>
      <c r="U772" s="364">
        <f t="shared" ref="U772:U835" ca="1" si="350">IF(pos_xz&lt;L_rampe,Poids*COS(Beta),0)</f>
        <v>0</v>
      </c>
      <c r="V772" s="359">
        <f t="shared" ref="V772:V835" ca="1" si="351">Rho_moyen*(20000-Alt_rampe-pos_z)/(20000+Alt_rampe+pos_z)</f>
        <v>1.2258957806058757</v>
      </c>
      <c r="W772" s="357">
        <f t="shared" ref="W772:W835" ca="1" si="352">1/2*Rho*Sref*Cx*vit_xz^2</f>
        <v>3.3995489803168608</v>
      </c>
      <c r="X772" s="343"/>
      <c r="Y772" s="367" t="str">
        <f t="shared" ca="1" si="341"/>
        <v/>
      </c>
      <c r="Z772" s="368" t="str">
        <f t="shared" ca="1" si="342"/>
        <v/>
      </c>
      <c r="AA772" s="369" t="str">
        <f t="shared" ca="1" si="343"/>
        <v/>
      </c>
      <c r="AB772" s="344"/>
      <c r="AC772" s="363" t="e">
        <f t="shared" ca="1" si="344"/>
        <v>#N/A</v>
      </c>
      <c r="AD772" s="376" t="e">
        <f t="shared" ca="1" si="345"/>
        <v>#N/A</v>
      </c>
      <c r="AE772" s="377" t="e">
        <f t="shared" ref="AE772:AE835" ca="1" si="353">IF(t&lt;T_para, pos_z, NA())</f>
        <v>#N/A</v>
      </c>
      <c r="AF772" s="344"/>
      <c r="AG772" s="359">
        <f t="shared" ca="1" si="346"/>
        <v>1.8465829704799628</v>
      </c>
      <c r="AH772" s="357">
        <f t="shared" ca="1" si="347"/>
        <v>-7.9244932746622574</v>
      </c>
    </row>
    <row r="773" spans="1:34">
      <c r="A773" s="402">
        <f t="shared" ref="A773:A836" ca="1" si="354">IF(B772+0.01&lt;=T_ini+ROUNDUP(Temps_fin_propu,0), 0.01, IF(K772&gt;0, 0.1, 0.0001))</f>
        <v>1E-4</v>
      </c>
      <c r="B773" s="357">
        <f t="shared" ref="B773:B836" ca="1" si="355">B772+pas</f>
        <v>16.941999999999876</v>
      </c>
      <c r="C773" s="342"/>
      <c r="D773" s="359">
        <f t="shared" ref="D773:D836" ca="1" si="356">IF(AND(L772&lt;L_rampe,Poussee&lt;Poids*SIN(M772)),0,(-W772+Poussee)/m*COS(M772)-U772/m*SIN(M772))</f>
        <v>-0.70521846295030233</v>
      </c>
      <c r="E773" s="360">
        <f t="shared" ref="E773:E836" ca="1" si="357">IF(AND(L772&lt;L_rampe,Poussee&lt;Poids*SIN(M772)),0,(-W772+Poussee)/m*SIN(M772)+U772/m*COS(M772)-Poids/m)</f>
        <v>-1.9168917569114949</v>
      </c>
      <c r="F773" s="357">
        <f t="shared" ref="F773:F836" ca="1" si="358">SQRT(acc_x^2+acc_z^2)</f>
        <v>2.0425002051900081</v>
      </c>
      <c r="G773" s="359">
        <f t="shared" ref="G773:G836" ca="1" si="359">G772+acc_x*pas</f>
        <v>4.9913432609416279</v>
      </c>
      <c r="H773" s="360">
        <f t="shared" ref="H773:H836" ca="1" si="360">H772+acc_z*pas</f>
        <v>-55.866240783760126</v>
      </c>
      <c r="I773" s="357">
        <f t="shared" ref="I773:I836" ca="1" si="361">SQRT(vit_x^2+vit_z^2)</f>
        <v>56.088772199590984</v>
      </c>
      <c r="J773" s="359">
        <f t="shared" ref="J773:J836" ca="1" si="362">J772+0.5*(vit_x+G772)*pas*(K772&gt;=0)</f>
        <v>184.26379383972827</v>
      </c>
      <c r="K773" s="360">
        <f t="shared" ref="K773:K836" ca="1" si="363">K772+0.5*(vit_z+H772)*pas</f>
        <v>-7.3154087045555123</v>
      </c>
      <c r="L773" s="357">
        <f t="shared" ca="1" si="348"/>
        <v>184.40895022944133</v>
      </c>
      <c r="M773" s="359">
        <f t="shared" ref="M773:M836" ca="1" si="364">IF(AND(L772&gt;L_rampe,G773&gt;0),ATAN2(G773,H773),$M$4)</f>
        <v>-1.4816883897395681</v>
      </c>
      <c r="N773" s="357">
        <f t="shared" ref="N773:N836" ca="1" si="365">DEGREES(Beta)</f>
        <v>-84.894491285612276</v>
      </c>
      <c r="O773" s="343"/>
      <c r="P773" s="363">
        <f t="shared" ref="P773:P836" ca="1" si="366">MATCH(t-pas/2-T_ini,CdP_t)</f>
        <v>23</v>
      </c>
      <c r="Q773" s="357">
        <f t="shared" ref="Q773:Q836" ca="1" si="367">(INDEX(CdP,2,i_P+1)-INDEX(CdP,2,i_P+0))/(INDEX(CdP,1,i_P+1)-INDEX(CdP,1,i_P+0))*(t-pas/2-T_ini-INDEX(CdP,1,i_P+0))+INDEX(CdP,2,i_P+0)</f>
        <v>0</v>
      </c>
      <c r="R773" s="359">
        <f t="shared" ref="R773:R836" ca="1" si="368">Poussee/(g*ISP)</f>
        <v>0</v>
      </c>
      <c r="S773" s="360">
        <f t="shared" ref="S773:S836" ca="1" si="369">S772-Débit*pas</f>
        <v>0.42898953648292248</v>
      </c>
      <c r="T773" s="357">
        <f t="shared" ca="1" si="349"/>
        <v>4.2083873528974696</v>
      </c>
      <c r="U773" s="364">
        <f t="shared" ca="1" si="350"/>
        <v>0</v>
      </c>
      <c r="V773" s="359">
        <f t="shared" ca="1" si="351"/>
        <v>1.225896465466872</v>
      </c>
      <c r="W773" s="357">
        <f t="shared" ca="1" si="352"/>
        <v>3.3995732633108884</v>
      </c>
      <c r="X773" s="343"/>
      <c r="Y773" s="367" t="str">
        <f t="shared" ref="Y773:Y836" ca="1" si="370">IF(AND(pos_z&lt;=0,K772&gt;0),"Impact balistique","") &amp; IF(AND(H774&lt;0,vit_z&gt;=0),"Apogée","") &amp; IF(AND(Poussee=0,Q772&gt;0),"Fin de propulsion","") &amp; IF(AND(L774&gt;L_rampe,pos_xz&lt;=L_rampe),"Sortie de rampe","")</f>
        <v/>
      </c>
      <c r="Z773" s="368" t="str">
        <f t="shared" ref="Z773:Z836" ca="1" si="371">IF(ABS(t-T_para)&lt;pas/2,"Para","")</f>
        <v/>
      </c>
      <c r="AA773" s="369" t="str">
        <f t="shared" ref="AA773:AA836" ca="1" si="372">IF(ABS(t-T_satellite)&lt;pas/2,"Satellite","")</f>
        <v/>
      </c>
      <c r="AB773" s="344"/>
      <c r="AC773" s="363" t="e">
        <f t="shared" ref="AC773:AC836" ca="1" si="373">IF(ABS(t-ROUND(t,0))&lt;0.001,t,NA())</f>
        <v>#N/A</v>
      </c>
      <c r="AD773" s="376" t="e">
        <f t="shared" ref="AD773:AD836" ca="1" si="374">IF(ABS(t-ROUND(t,0))&lt;0.001,pos_x,NA())</f>
        <v>#N/A</v>
      </c>
      <c r="AE773" s="377" t="e">
        <f t="shared" ca="1" si="353"/>
        <v>#N/A</v>
      </c>
      <c r="AF773" s="344"/>
      <c r="AG773" s="359">
        <f t="shared" ref="AG773:AG836" ca="1" si="375">IF(AND(L772&lt;L_rampe,Poussee&lt;Poids*SIN(M772)),0,(-W772+Poussee)/m-Poids*SIN(M772)/m)</f>
        <v>1.8465277229248906</v>
      </c>
      <c r="AH773" s="357">
        <f t="shared" ref="AH773:AH836" ca="1" si="376">IF(AND(L772&lt;L_rampe,Poussee&lt;Poids*SIN(M772)), g*SIN(M772), (-W772+Poussee)/m)</f>
        <v>-7.9245498810719655</v>
      </c>
    </row>
    <row r="774" spans="1:34">
      <c r="A774" s="402">
        <f t="shared" ca="1" si="354"/>
        <v>1E-4</v>
      </c>
      <c r="B774" s="357">
        <f t="shared" ca="1" si="355"/>
        <v>16.942099999999876</v>
      </c>
      <c r="C774" s="342"/>
      <c r="D774" s="359">
        <f t="shared" ca="1" si="356"/>
        <v>-0.70521121481491045</v>
      </c>
      <c r="E774" s="360">
        <f t="shared" ca="1" si="357"/>
        <v>-1.9168342787497785</v>
      </c>
      <c r="F774" s="357">
        <f t="shared" ca="1" si="358"/>
        <v>2.0424437592479516</v>
      </c>
      <c r="G774" s="359">
        <f t="shared" ca="1" si="359"/>
        <v>4.9912727398201469</v>
      </c>
      <c r="H774" s="360">
        <f t="shared" ca="1" si="360"/>
        <v>-55.866432467187998</v>
      </c>
      <c r="I774" s="357">
        <f t="shared" ca="1" si="361"/>
        <v>56.088956846906584</v>
      </c>
      <c r="J774" s="359">
        <f t="shared" ca="1" si="362"/>
        <v>184.26379383972827</v>
      </c>
      <c r="K774" s="360">
        <f t="shared" ca="1" si="363"/>
        <v>-7.3209953382180597</v>
      </c>
      <c r="L774" s="357">
        <f t="shared" ca="1" si="348"/>
        <v>184.40917193283011</v>
      </c>
      <c r="M774" s="359">
        <f t="shared" ca="1" si="364"/>
        <v>-1.4816899461823114</v>
      </c>
      <c r="N774" s="357">
        <f t="shared" ca="1" si="365"/>
        <v>-84.894580463212534</v>
      </c>
      <c r="O774" s="343"/>
      <c r="P774" s="363">
        <f t="shared" ca="1" si="366"/>
        <v>23</v>
      </c>
      <c r="Q774" s="357">
        <f t="shared" ca="1" si="367"/>
        <v>0</v>
      </c>
      <c r="R774" s="359">
        <f t="shared" ca="1" si="368"/>
        <v>0</v>
      </c>
      <c r="S774" s="360">
        <f t="shared" ca="1" si="369"/>
        <v>0.42898953648292248</v>
      </c>
      <c r="T774" s="357">
        <f t="shared" ca="1" si="349"/>
        <v>4.2083873528974696</v>
      </c>
      <c r="U774" s="364">
        <f t="shared" ca="1" si="350"/>
        <v>0</v>
      </c>
      <c r="V774" s="359">
        <f t="shared" ca="1" si="351"/>
        <v>1.2258971503306013</v>
      </c>
      <c r="W774" s="357">
        <f t="shared" ca="1" si="352"/>
        <v>3.3995975457414911</v>
      </c>
      <c r="X774" s="343"/>
      <c r="Y774" s="367" t="str">
        <f t="shared" ca="1" si="370"/>
        <v/>
      </c>
      <c r="Z774" s="368" t="str">
        <f t="shared" ca="1" si="371"/>
        <v/>
      </c>
      <c r="AA774" s="369" t="str">
        <f t="shared" ca="1" si="372"/>
        <v/>
      </c>
      <c r="AB774" s="344"/>
      <c r="AC774" s="363" t="e">
        <f t="shared" ca="1" si="373"/>
        <v>#N/A</v>
      </c>
      <c r="AD774" s="376" t="e">
        <f t="shared" ca="1" si="374"/>
        <v>#N/A</v>
      </c>
      <c r="AE774" s="377" t="e">
        <f t="shared" ca="1" si="353"/>
        <v>#N/A</v>
      </c>
      <c r="AF774" s="344"/>
      <c r="AG774" s="359">
        <f t="shared" ca="1" si="375"/>
        <v>1.8464724766314049</v>
      </c>
      <c r="AH774" s="357">
        <f t="shared" ca="1" si="376"/>
        <v>-7.9246064861682726</v>
      </c>
    </row>
    <row r="775" spans="1:34">
      <c r="A775" s="402">
        <f t="shared" ca="1" si="354"/>
        <v>1E-4</v>
      </c>
      <c r="B775" s="357">
        <f t="shared" ca="1" si="355"/>
        <v>16.942199999999875</v>
      </c>
      <c r="C775" s="342"/>
      <c r="D775" s="359">
        <f t="shared" ca="1" si="356"/>
        <v>-0.70520396663989371</v>
      </c>
      <c r="E775" s="360">
        <f t="shared" ca="1" si="357"/>
        <v>-1.9167768019224045</v>
      </c>
      <c r="F775" s="357">
        <f t="shared" ca="1" si="358"/>
        <v>2.0423873146277916</v>
      </c>
      <c r="G775" s="359">
        <f t="shared" ca="1" si="359"/>
        <v>4.9912022194234833</v>
      </c>
      <c r="H775" s="360">
        <f t="shared" ca="1" si="360"/>
        <v>-55.86662414486819</v>
      </c>
      <c r="I775" s="357">
        <f t="shared" ca="1" si="361"/>
        <v>56.089141488697685</v>
      </c>
      <c r="J775" s="359">
        <f t="shared" ca="1" si="362"/>
        <v>184.26379383972827</v>
      </c>
      <c r="K775" s="360">
        <f t="shared" ca="1" si="363"/>
        <v>-7.3265819910486627</v>
      </c>
      <c r="L775" s="357">
        <f t="shared" ca="1" si="348"/>
        <v>184.40939380595947</v>
      </c>
      <c r="M775" s="359">
        <f t="shared" ca="1" si="364"/>
        <v>-1.4816915025928168</v>
      </c>
      <c r="N775" s="357">
        <f t="shared" ca="1" si="365"/>
        <v>-84.894669638965681</v>
      </c>
      <c r="O775" s="343"/>
      <c r="P775" s="363">
        <f t="shared" ca="1" si="366"/>
        <v>23</v>
      </c>
      <c r="Q775" s="357">
        <f t="shared" ca="1" si="367"/>
        <v>0</v>
      </c>
      <c r="R775" s="359">
        <f t="shared" ca="1" si="368"/>
        <v>0</v>
      </c>
      <c r="S775" s="360">
        <f t="shared" ca="1" si="369"/>
        <v>0.42898953648292248</v>
      </c>
      <c r="T775" s="357">
        <f t="shared" ca="1" si="349"/>
        <v>4.2083873528974696</v>
      </c>
      <c r="U775" s="364">
        <f t="shared" ca="1" si="350"/>
        <v>0</v>
      </c>
      <c r="V775" s="359">
        <f t="shared" ca="1" si="351"/>
        <v>1.2258978351970629</v>
      </c>
      <c r="W775" s="357">
        <f t="shared" ca="1" si="352"/>
        <v>3.3996218276086752</v>
      </c>
      <c r="X775" s="343"/>
      <c r="Y775" s="367" t="str">
        <f t="shared" ca="1" si="370"/>
        <v/>
      </c>
      <c r="Z775" s="368" t="str">
        <f t="shared" ca="1" si="371"/>
        <v/>
      </c>
      <c r="AA775" s="369" t="str">
        <f t="shared" ca="1" si="372"/>
        <v/>
      </c>
      <c r="AB775" s="344"/>
      <c r="AC775" s="363" t="e">
        <f t="shared" ca="1" si="373"/>
        <v>#N/A</v>
      </c>
      <c r="AD775" s="376" t="e">
        <f t="shared" ca="1" si="374"/>
        <v>#N/A</v>
      </c>
      <c r="AE775" s="377" t="e">
        <f t="shared" ca="1" si="353"/>
        <v>#N/A</v>
      </c>
      <c r="AF775" s="344"/>
      <c r="AG775" s="359">
        <f t="shared" ca="1" si="375"/>
        <v>1.8464172315994771</v>
      </c>
      <c r="AH775" s="357">
        <f t="shared" ca="1" si="376"/>
        <v>-7.9246630899512036</v>
      </c>
    </row>
    <row r="776" spans="1:34">
      <c r="A776" s="402">
        <f t="shared" ca="1" si="354"/>
        <v>1E-4</v>
      </c>
      <c r="B776" s="357">
        <f t="shared" ca="1" si="355"/>
        <v>16.942299999999875</v>
      </c>
      <c r="C776" s="342"/>
      <c r="D776" s="359">
        <f t="shared" ca="1" si="356"/>
        <v>-0.70519671842525788</v>
      </c>
      <c r="E776" s="360">
        <f t="shared" ca="1" si="357"/>
        <v>-1.9167193264293578</v>
      </c>
      <c r="F776" s="357">
        <f t="shared" ca="1" si="358"/>
        <v>2.0423308713295123</v>
      </c>
      <c r="G776" s="359">
        <f t="shared" ca="1" si="359"/>
        <v>4.9911316997516408</v>
      </c>
      <c r="H776" s="360">
        <f t="shared" ca="1" si="360"/>
        <v>-55.86681581680083</v>
      </c>
      <c r="I776" s="357">
        <f t="shared" ca="1" si="361"/>
        <v>56.089326124964387</v>
      </c>
      <c r="J776" s="359">
        <f t="shared" ca="1" si="362"/>
        <v>184.26379383972827</v>
      </c>
      <c r="K776" s="360">
        <f t="shared" ca="1" si="363"/>
        <v>-7.3321686630467457</v>
      </c>
      <c r="L776" s="357">
        <f t="shared" ca="1" si="348"/>
        <v>184.40961584883053</v>
      </c>
      <c r="M776" s="359">
        <f t="shared" ca="1" si="364"/>
        <v>-1.4816930589710853</v>
      </c>
      <c r="N776" s="357">
        <f t="shared" ca="1" si="365"/>
        <v>-84.894758812871785</v>
      </c>
      <c r="O776" s="343"/>
      <c r="P776" s="363">
        <f t="shared" ca="1" si="366"/>
        <v>23</v>
      </c>
      <c r="Q776" s="357">
        <f t="shared" ca="1" si="367"/>
        <v>0</v>
      </c>
      <c r="R776" s="359">
        <f t="shared" ca="1" si="368"/>
        <v>0</v>
      </c>
      <c r="S776" s="360">
        <f t="shared" ca="1" si="369"/>
        <v>0.42898953648292248</v>
      </c>
      <c r="T776" s="357">
        <f t="shared" ca="1" si="349"/>
        <v>4.2083873528974696</v>
      </c>
      <c r="U776" s="364">
        <f t="shared" ca="1" si="350"/>
        <v>0</v>
      </c>
      <c r="V776" s="359">
        <f t="shared" ca="1" si="351"/>
        <v>1.2258985200662571</v>
      </c>
      <c r="W776" s="357">
        <f t="shared" ca="1" si="352"/>
        <v>3.3996461089124472</v>
      </c>
      <c r="X776" s="343"/>
      <c r="Y776" s="367" t="str">
        <f t="shared" ca="1" si="370"/>
        <v/>
      </c>
      <c r="Z776" s="368" t="str">
        <f t="shared" ca="1" si="371"/>
        <v/>
      </c>
      <c r="AA776" s="369" t="str">
        <f t="shared" ca="1" si="372"/>
        <v/>
      </c>
      <c r="AB776" s="344"/>
      <c r="AC776" s="363" t="e">
        <f t="shared" ca="1" si="373"/>
        <v>#N/A</v>
      </c>
      <c r="AD776" s="376" t="e">
        <f t="shared" ca="1" si="374"/>
        <v>#N/A</v>
      </c>
      <c r="AE776" s="377" t="e">
        <f t="shared" ca="1" si="353"/>
        <v>#N/A</v>
      </c>
      <c r="AF776" s="344"/>
      <c r="AG776" s="359">
        <f t="shared" ca="1" si="375"/>
        <v>1.8463619878290993</v>
      </c>
      <c r="AH776" s="357">
        <f t="shared" ca="1" si="376"/>
        <v>-7.9247196924207719</v>
      </c>
    </row>
    <row r="777" spans="1:34">
      <c r="A777" s="402">
        <f t="shared" ca="1" si="354"/>
        <v>1E-4</v>
      </c>
      <c r="B777" s="357">
        <f t="shared" ca="1" si="355"/>
        <v>16.942399999999875</v>
      </c>
      <c r="C777" s="342"/>
      <c r="D777" s="359">
        <f t="shared" ca="1" si="356"/>
        <v>-0.7051894701710073</v>
      </c>
      <c r="E777" s="360">
        <f t="shared" ca="1" si="357"/>
        <v>-1.9166618522706216</v>
      </c>
      <c r="F777" s="357">
        <f t="shared" ca="1" si="358"/>
        <v>2.0422744293530966</v>
      </c>
      <c r="G777" s="359">
        <f t="shared" ca="1" si="359"/>
        <v>4.9910611808046239</v>
      </c>
      <c r="H777" s="360">
        <f t="shared" ca="1" si="360"/>
        <v>-55.867007482986061</v>
      </c>
      <c r="I777" s="357">
        <f t="shared" ca="1" si="361"/>
        <v>56.089510755706861</v>
      </c>
      <c r="J777" s="359">
        <f t="shared" ca="1" si="362"/>
        <v>184.26379383972827</v>
      </c>
      <c r="K777" s="360">
        <f t="shared" ca="1" si="363"/>
        <v>-7.3377553542117351</v>
      </c>
      <c r="L777" s="357">
        <f t="shared" ca="1" si="348"/>
        <v>184.40983806144439</v>
      </c>
      <c r="M777" s="359">
        <f t="shared" ca="1" si="364"/>
        <v>-1.4816946153171178</v>
      </c>
      <c r="N777" s="357">
        <f t="shared" ca="1" si="365"/>
        <v>-84.894847984930905</v>
      </c>
      <c r="O777" s="343"/>
      <c r="P777" s="363">
        <f t="shared" ca="1" si="366"/>
        <v>23</v>
      </c>
      <c r="Q777" s="357">
        <f t="shared" ca="1" si="367"/>
        <v>0</v>
      </c>
      <c r="R777" s="359">
        <f t="shared" ca="1" si="368"/>
        <v>0</v>
      </c>
      <c r="S777" s="360">
        <f t="shared" ca="1" si="369"/>
        <v>0.42898953648292248</v>
      </c>
      <c r="T777" s="357">
        <f t="shared" ca="1" si="349"/>
        <v>4.2083873528974696</v>
      </c>
      <c r="U777" s="364">
        <f t="shared" ca="1" si="350"/>
        <v>0</v>
      </c>
      <c r="V777" s="359">
        <f t="shared" ca="1" si="351"/>
        <v>1.2258992049381836</v>
      </c>
      <c r="W777" s="357">
        <f t="shared" ca="1" si="352"/>
        <v>3.399670389652818</v>
      </c>
      <c r="X777" s="343"/>
      <c r="Y777" s="367" t="str">
        <f t="shared" ca="1" si="370"/>
        <v/>
      </c>
      <c r="Z777" s="368" t="str">
        <f t="shared" ca="1" si="371"/>
        <v/>
      </c>
      <c r="AA777" s="369" t="str">
        <f t="shared" ca="1" si="372"/>
        <v/>
      </c>
      <c r="AB777" s="344"/>
      <c r="AC777" s="363" t="e">
        <f t="shared" ca="1" si="373"/>
        <v>#N/A</v>
      </c>
      <c r="AD777" s="376" t="e">
        <f t="shared" ca="1" si="374"/>
        <v>#N/A</v>
      </c>
      <c r="AE777" s="377" t="e">
        <f t="shared" ca="1" si="353"/>
        <v>#N/A</v>
      </c>
      <c r="AF777" s="344"/>
      <c r="AG777" s="359">
        <f t="shared" ca="1" si="375"/>
        <v>1.8463067453202582</v>
      </c>
      <c r="AH777" s="357">
        <f t="shared" ca="1" si="376"/>
        <v>-7.9247762935769943</v>
      </c>
    </row>
    <row r="778" spans="1:34">
      <c r="A778" s="402">
        <f t="shared" ca="1" si="354"/>
        <v>1E-4</v>
      </c>
      <c r="B778" s="357">
        <f t="shared" ca="1" si="355"/>
        <v>16.942499999999875</v>
      </c>
      <c r="C778" s="342"/>
      <c r="D778" s="359">
        <f t="shared" ca="1" si="356"/>
        <v>-0.70518222187714885</v>
      </c>
      <c r="E778" s="360">
        <f t="shared" ca="1" si="357"/>
        <v>-1.9166043794461727</v>
      </c>
      <c r="F778" s="357">
        <f t="shared" ca="1" si="358"/>
        <v>2.042217988698523</v>
      </c>
      <c r="G778" s="359">
        <f t="shared" ca="1" si="359"/>
        <v>4.9909906625824361</v>
      </c>
      <c r="H778" s="360">
        <f t="shared" ca="1" si="360"/>
        <v>-55.867199143424003</v>
      </c>
      <c r="I778" s="357">
        <f t="shared" ca="1" si="361"/>
        <v>56.089695380925193</v>
      </c>
      <c r="J778" s="359">
        <f t="shared" ca="1" si="362"/>
        <v>184.26379383972827</v>
      </c>
      <c r="K778" s="360">
        <f t="shared" ca="1" si="363"/>
        <v>-7.3433420645430552</v>
      </c>
      <c r="L778" s="357">
        <f t="shared" ca="1" si="348"/>
        <v>184.41006044380217</v>
      </c>
      <c r="M778" s="359">
        <f t="shared" ca="1" si="364"/>
        <v>-1.4816961716309149</v>
      </c>
      <c r="N778" s="357">
        <f t="shared" ca="1" si="365"/>
        <v>-84.894937155143083</v>
      </c>
      <c r="O778" s="343"/>
      <c r="P778" s="363">
        <f t="shared" ca="1" si="366"/>
        <v>23</v>
      </c>
      <c r="Q778" s="357">
        <f t="shared" ca="1" si="367"/>
        <v>0</v>
      </c>
      <c r="R778" s="359">
        <f t="shared" ca="1" si="368"/>
        <v>0</v>
      </c>
      <c r="S778" s="360">
        <f t="shared" ca="1" si="369"/>
        <v>0.42898953648292248</v>
      </c>
      <c r="T778" s="357">
        <f t="shared" ca="1" si="349"/>
        <v>4.2083873528974696</v>
      </c>
      <c r="U778" s="364">
        <f t="shared" ca="1" si="350"/>
        <v>0</v>
      </c>
      <c r="V778" s="359">
        <f t="shared" ca="1" si="351"/>
        <v>1.2258998898128421</v>
      </c>
      <c r="W778" s="357">
        <f t="shared" ca="1" si="352"/>
        <v>3.3996946698297918</v>
      </c>
      <c r="X778" s="343"/>
      <c r="Y778" s="367" t="str">
        <f t="shared" ca="1" si="370"/>
        <v/>
      </c>
      <c r="Z778" s="368" t="str">
        <f t="shared" ca="1" si="371"/>
        <v/>
      </c>
      <c r="AA778" s="369" t="str">
        <f t="shared" ca="1" si="372"/>
        <v/>
      </c>
      <c r="AB778" s="344"/>
      <c r="AC778" s="363" t="e">
        <f t="shared" ca="1" si="373"/>
        <v>#N/A</v>
      </c>
      <c r="AD778" s="376" t="e">
        <f t="shared" ca="1" si="374"/>
        <v>#N/A</v>
      </c>
      <c r="AE778" s="377" t="e">
        <f t="shared" ca="1" si="353"/>
        <v>#N/A</v>
      </c>
      <c r="AF778" s="344"/>
      <c r="AG778" s="359">
        <f t="shared" ca="1" si="375"/>
        <v>1.8462515040729297</v>
      </c>
      <c r="AH778" s="357">
        <f t="shared" ca="1" si="376"/>
        <v>-7.9248328934198948</v>
      </c>
    </row>
    <row r="779" spans="1:34">
      <c r="A779" s="402">
        <f t="shared" ca="1" si="354"/>
        <v>1E-4</v>
      </c>
      <c r="B779" s="357">
        <f t="shared" ca="1" si="355"/>
        <v>16.942599999999874</v>
      </c>
      <c r="C779" s="342"/>
      <c r="D779" s="359">
        <f t="shared" ca="1" si="356"/>
        <v>-0.70517497354368985</v>
      </c>
      <c r="E779" s="360">
        <f t="shared" ca="1" si="357"/>
        <v>-1.9165469079560005</v>
      </c>
      <c r="F779" s="357">
        <f t="shared" ca="1" si="358"/>
        <v>2.0421615493657819</v>
      </c>
      <c r="G779" s="359">
        <f t="shared" ca="1" si="359"/>
        <v>4.9909201450850817</v>
      </c>
      <c r="H779" s="360">
        <f t="shared" ca="1" si="360"/>
        <v>-55.867390798114798</v>
      </c>
      <c r="I779" s="357">
        <f t="shared" ca="1" si="361"/>
        <v>56.089880000619523</v>
      </c>
      <c r="J779" s="359">
        <f t="shared" ca="1" si="362"/>
        <v>184.26379383972827</v>
      </c>
      <c r="K779" s="360">
        <f t="shared" ca="1" si="363"/>
        <v>-7.3489287940401322</v>
      </c>
      <c r="L779" s="357">
        <f t="shared" ca="1" si="348"/>
        <v>184.41028299590496</v>
      </c>
      <c r="M779" s="359">
        <f t="shared" ca="1" si="364"/>
        <v>-1.4816977279124779</v>
      </c>
      <c r="N779" s="357">
        <f t="shared" ca="1" si="365"/>
        <v>-84.895026323508375</v>
      </c>
      <c r="O779" s="343"/>
      <c r="P779" s="363">
        <f t="shared" ca="1" si="366"/>
        <v>23</v>
      </c>
      <c r="Q779" s="357">
        <f t="shared" ca="1" si="367"/>
        <v>0</v>
      </c>
      <c r="R779" s="359">
        <f t="shared" ca="1" si="368"/>
        <v>0</v>
      </c>
      <c r="S779" s="360">
        <f t="shared" ca="1" si="369"/>
        <v>0.42898953648292248</v>
      </c>
      <c r="T779" s="357">
        <f t="shared" ca="1" si="349"/>
        <v>4.2083873528974696</v>
      </c>
      <c r="U779" s="364">
        <f t="shared" ca="1" si="350"/>
        <v>0</v>
      </c>
      <c r="V779" s="359">
        <f t="shared" ca="1" si="351"/>
        <v>1.2259005746902334</v>
      </c>
      <c r="W779" s="357">
        <f t="shared" ca="1" si="352"/>
        <v>3.3997189494433786</v>
      </c>
      <c r="X779" s="343"/>
      <c r="Y779" s="367" t="str">
        <f t="shared" ca="1" si="370"/>
        <v/>
      </c>
      <c r="Z779" s="368" t="str">
        <f t="shared" ca="1" si="371"/>
        <v/>
      </c>
      <c r="AA779" s="369" t="str">
        <f t="shared" ca="1" si="372"/>
        <v/>
      </c>
      <c r="AB779" s="344"/>
      <c r="AC779" s="363" t="e">
        <f t="shared" ca="1" si="373"/>
        <v>#N/A</v>
      </c>
      <c r="AD779" s="376" t="e">
        <f t="shared" ca="1" si="374"/>
        <v>#N/A</v>
      </c>
      <c r="AE779" s="377" t="e">
        <f t="shared" ca="1" si="353"/>
        <v>#N/A</v>
      </c>
      <c r="AF779" s="344"/>
      <c r="AG779" s="359">
        <f t="shared" ca="1" si="375"/>
        <v>1.8461962640871059</v>
      </c>
      <c r="AH779" s="357">
        <f t="shared" ca="1" si="376"/>
        <v>-7.9248894919494832</v>
      </c>
    </row>
    <row r="780" spans="1:34">
      <c r="A780" s="402">
        <f t="shared" ca="1" si="354"/>
        <v>1E-4</v>
      </c>
      <c r="B780" s="357">
        <f t="shared" ca="1" si="355"/>
        <v>16.942699999999874</v>
      </c>
      <c r="C780" s="342"/>
      <c r="D780" s="359">
        <f t="shared" ca="1" si="356"/>
        <v>-0.70516772517063531</v>
      </c>
      <c r="E780" s="360">
        <f t="shared" ca="1" si="357"/>
        <v>-1.9164894378000792</v>
      </c>
      <c r="F780" s="357">
        <f t="shared" ca="1" si="358"/>
        <v>2.042105111354847</v>
      </c>
      <c r="G780" s="359">
        <f t="shared" ca="1" si="359"/>
        <v>4.9908496283125645</v>
      </c>
      <c r="H780" s="360">
        <f t="shared" ca="1" si="360"/>
        <v>-55.867582447058581</v>
      </c>
      <c r="I780" s="357">
        <f t="shared" ca="1" si="361"/>
        <v>56.090064614789988</v>
      </c>
      <c r="J780" s="359">
        <f t="shared" ca="1" si="362"/>
        <v>184.26379383972827</v>
      </c>
      <c r="K780" s="360">
        <f t="shared" ca="1" si="363"/>
        <v>-7.3545155427023907</v>
      </c>
      <c r="L780" s="357">
        <f t="shared" ca="1" si="348"/>
        <v>184.41050571775386</v>
      </c>
      <c r="M780" s="359">
        <f t="shared" ca="1" si="364"/>
        <v>-1.4816992841618077</v>
      </c>
      <c r="N780" s="357">
        <f t="shared" ca="1" si="365"/>
        <v>-84.895115490026853</v>
      </c>
      <c r="O780" s="343"/>
      <c r="P780" s="363">
        <f t="shared" ca="1" si="366"/>
        <v>23</v>
      </c>
      <c r="Q780" s="357">
        <f t="shared" ca="1" si="367"/>
        <v>0</v>
      </c>
      <c r="R780" s="359">
        <f t="shared" ca="1" si="368"/>
        <v>0</v>
      </c>
      <c r="S780" s="360">
        <f t="shared" ca="1" si="369"/>
        <v>0.42898953648292248</v>
      </c>
      <c r="T780" s="357">
        <f t="shared" ca="1" si="349"/>
        <v>4.2083873528974696</v>
      </c>
      <c r="U780" s="364">
        <f t="shared" ca="1" si="350"/>
        <v>0</v>
      </c>
      <c r="V780" s="359">
        <f t="shared" ca="1" si="351"/>
        <v>1.2259012595703571</v>
      </c>
      <c r="W780" s="357">
        <f t="shared" ca="1" si="352"/>
        <v>3.3997432284935862</v>
      </c>
      <c r="X780" s="343"/>
      <c r="Y780" s="367" t="str">
        <f t="shared" ca="1" si="370"/>
        <v/>
      </c>
      <c r="Z780" s="368" t="str">
        <f t="shared" ca="1" si="371"/>
        <v/>
      </c>
      <c r="AA780" s="369" t="str">
        <f t="shared" ca="1" si="372"/>
        <v/>
      </c>
      <c r="AB780" s="344"/>
      <c r="AC780" s="363" t="e">
        <f t="shared" ca="1" si="373"/>
        <v>#N/A</v>
      </c>
      <c r="AD780" s="376" t="e">
        <f t="shared" ca="1" si="374"/>
        <v>#N/A</v>
      </c>
      <c r="AE780" s="377" t="e">
        <f t="shared" ca="1" si="353"/>
        <v>#N/A</v>
      </c>
      <c r="AF780" s="344"/>
      <c r="AG780" s="359">
        <f t="shared" ca="1" si="375"/>
        <v>1.8461410253627681</v>
      </c>
      <c r="AH780" s="357">
        <f t="shared" ca="1" si="376"/>
        <v>-7.9249460891657835</v>
      </c>
    </row>
    <row r="781" spans="1:34">
      <c r="A781" s="402">
        <f t="shared" ca="1" si="354"/>
        <v>1E-4</v>
      </c>
      <c r="B781" s="357">
        <f t="shared" ca="1" si="355"/>
        <v>16.942799999999874</v>
      </c>
      <c r="C781" s="342"/>
      <c r="D781" s="359">
        <f t="shared" ca="1" si="356"/>
        <v>-0.70516047675798954</v>
      </c>
      <c r="E781" s="360">
        <f t="shared" ca="1" si="357"/>
        <v>-1.9164319689783929</v>
      </c>
      <c r="F781" s="357">
        <f t="shared" ca="1" si="358"/>
        <v>2.0420486746657032</v>
      </c>
      <c r="G781" s="359">
        <f t="shared" ca="1" si="359"/>
        <v>4.9907791122648888</v>
      </c>
      <c r="H781" s="360">
        <f t="shared" ca="1" si="360"/>
        <v>-55.86777409025548</v>
      </c>
      <c r="I781" s="357">
        <f t="shared" ca="1" si="361"/>
        <v>56.090249223436693</v>
      </c>
      <c r="J781" s="359">
        <f t="shared" ca="1" si="362"/>
        <v>184.26379383972827</v>
      </c>
      <c r="K781" s="360">
        <f t="shared" ca="1" si="363"/>
        <v>-7.360102310529256</v>
      </c>
      <c r="L781" s="357">
        <f t="shared" ca="1" si="348"/>
        <v>184.41072860935</v>
      </c>
      <c r="M781" s="359">
        <f t="shared" ca="1" si="364"/>
        <v>-1.4817008403789051</v>
      </c>
      <c r="N781" s="357">
        <f t="shared" ca="1" si="365"/>
        <v>-84.895204654698531</v>
      </c>
      <c r="O781" s="343"/>
      <c r="P781" s="363">
        <f t="shared" ca="1" si="366"/>
        <v>23</v>
      </c>
      <c r="Q781" s="357">
        <f t="shared" ca="1" si="367"/>
        <v>0</v>
      </c>
      <c r="R781" s="359">
        <f t="shared" ca="1" si="368"/>
        <v>0</v>
      </c>
      <c r="S781" s="360">
        <f t="shared" ca="1" si="369"/>
        <v>0.42898953648292248</v>
      </c>
      <c r="T781" s="357">
        <f t="shared" ca="1" si="349"/>
        <v>4.2083873528974696</v>
      </c>
      <c r="U781" s="364">
        <f t="shared" ca="1" si="350"/>
        <v>0</v>
      </c>
      <c r="V781" s="359">
        <f t="shared" ca="1" si="351"/>
        <v>1.2259019444532127</v>
      </c>
      <c r="W781" s="357">
        <f t="shared" ca="1" si="352"/>
        <v>3.3997675069804205</v>
      </c>
      <c r="X781" s="343"/>
      <c r="Y781" s="367" t="str">
        <f t="shared" ca="1" si="370"/>
        <v/>
      </c>
      <c r="Z781" s="368" t="str">
        <f t="shared" ca="1" si="371"/>
        <v/>
      </c>
      <c r="AA781" s="369" t="str">
        <f t="shared" ca="1" si="372"/>
        <v/>
      </c>
      <c r="AB781" s="344"/>
      <c r="AC781" s="363" t="e">
        <f t="shared" ca="1" si="373"/>
        <v>#N/A</v>
      </c>
      <c r="AD781" s="376" t="e">
        <f t="shared" ca="1" si="374"/>
        <v>#N/A</v>
      </c>
      <c r="AE781" s="377" t="e">
        <f t="shared" ca="1" si="353"/>
        <v>#N/A</v>
      </c>
      <c r="AF781" s="344"/>
      <c r="AG781" s="359">
        <f t="shared" ca="1" si="375"/>
        <v>1.8460857878998969</v>
      </c>
      <c r="AH781" s="357">
        <f t="shared" ca="1" si="376"/>
        <v>-7.9250026850688133</v>
      </c>
    </row>
    <row r="782" spans="1:34">
      <c r="A782" s="402">
        <f t="shared" ca="1" si="354"/>
        <v>1E-4</v>
      </c>
      <c r="B782" s="357">
        <f t="shared" ca="1" si="355"/>
        <v>16.942899999999874</v>
      </c>
      <c r="C782" s="342"/>
      <c r="D782" s="359">
        <f t="shared" ca="1" si="356"/>
        <v>-0.70515322830576033</v>
      </c>
      <c r="E782" s="360">
        <f t="shared" ca="1" si="357"/>
        <v>-1.9163745014909264</v>
      </c>
      <c r="F782" s="357">
        <f t="shared" ca="1" si="358"/>
        <v>2.0419922392983358</v>
      </c>
      <c r="G782" s="359">
        <f t="shared" ca="1" si="359"/>
        <v>4.9907085969420582</v>
      </c>
      <c r="H782" s="360">
        <f t="shared" ca="1" si="360"/>
        <v>-55.867965727705631</v>
      </c>
      <c r="I782" s="357">
        <f t="shared" ca="1" si="361"/>
        <v>56.090433826559789</v>
      </c>
      <c r="J782" s="359">
        <f t="shared" ca="1" si="362"/>
        <v>184.26379383972827</v>
      </c>
      <c r="K782" s="360">
        <f t="shared" ca="1" si="363"/>
        <v>-7.3656890975201543</v>
      </c>
      <c r="L782" s="357">
        <f t="shared" ca="1" si="348"/>
        <v>184.41095167069446</v>
      </c>
      <c r="M782" s="359">
        <f t="shared" ca="1" si="364"/>
        <v>-1.481702396563771</v>
      </c>
      <c r="N782" s="357">
        <f t="shared" ca="1" si="365"/>
        <v>-84.895293817523495</v>
      </c>
      <c r="O782" s="343"/>
      <c r="P782" s="363">
        <f t="shared" ca="1" si="366"/>
        <v>23</v>
      </c>
      <c r="Q782" s="357">
        <f t="shared" ca="1" si="367"/>
        <v>0</v>
      </c>
      <c r="R782" s="359">
        <f t="shared" ca="1" si="368"/>
        <v>0</v>
      </c>
      <c r="S782" s="360">
        <f t="shared" ca="1" si="369"/>
        <v>0.42898953648292248</v>
      </c>
      <c r="T782" s="357">
        <f t="shared" ca="1" si="349"/>
        <v>4.2083873528974696</v>
      </c>
      <c r="U782" s="364">
        <f t="shared" ca="1" si="350"/>
        <v>0</v>
      </c>
      <c r="V782" s="359">
        <f t="shared" ca="1" si="351"/>
        <v>1.2259026293388005</v>
      </c>
      <c r="W782" s="357">
        <f t="shared" ca="1" si="352"/>
        <v>3.3997917849038921</v>
      </c>
      <c r="X782" s="343"/>
      <c r="Y782" s="367" t="str">
        <f t="shared" ca="1" si="370"/>
        <v/>
      </c>
      <c r="Z782" s="368" t="str">
        <f t="shared" ca="1" si="371"/>
        <v/>
      </c>
      <c r="AA782" s="369" t="str">
        <f t="shared" ca="1" si="372"/>
        <v/>
      </c>
      <c r="AB782" s="344"/>
      <c r="AC782" s="363" t="e">
        <f t="shared" ca="1" si="373"/>
        <v>#N/A</v>
      </c>
      <c r="AD782" s="376" t="e">
        <f t="shared" ca="1" si="374"/>
        <v>#N/A</v>
      </c>
      <c r="AE782" s="377" t="e">
        <f t="shared" ca="1" si="353"/>
        <v>#N/A</v>
      </c>
      <c r="AF782" s="344"/>
      <c r="AG782" s="359">
        <f t="shared" ca="1" si="375"/>
        <v>1.8460305516984858</v>
      </c>
      <c r="AH782" s="357">
        <f t="shared" ca="1" si="376"/>
        <v>-7.9250592796585861</v>
      </c>
    </row>
    <row r="783" spans="1:34">
      <c r="A783" s="402">
        <f t="shared" ca="1" si="354"/>
        <v>1E-4</v>
      </c>
      <c r="B783" s="357">
        <f t="shared" ca="1" si="355"/>
        <v>16.942999999999873</v>
      </c>
      <c r="C783" s="342"/>
      <c r="D783" s="359">
        <f t="shared" ca="1" si="356"/>
        <v>-0.70514597981395455</v>
      </c>
      <c r="E783" s="360">
        <f t="shared" ca="1" si="357"/>
        <v>-1.916317035337654</v>
      </c>
      <c r="F783" s="357">
        <f t="shared" ca="1" si="358"/>
        <v>2.041935805252721</v>
      </c>
      <c r="G783" s="359">
        <f t="shared" ca="1" si="359"/>
        <v>4.990638082344077</v>
      </c>
      <c r="H783" s="360">
        <f t="shared" ca="1" si="360"/>
        <v>-55.868157359409167</v>
      </c>
      <c r="I783" s="357">
        <f t="shared" ca="1" si="361"/>
        <v>56.090618424159381</v>
      </c>
      <c r="J783" s="359">
        <f t="shared" ca="1" si="362"/>
        <v>184.26379383972827</v>
      </c>
      <c r="K783" s="360">
        <f t="shared" ca="1" si="363"/>
        <v>-7.3712759036745101</v>
      </c>
      <c r="L783" s="357">
        <f t="shared" ca="1" si="348"/>
        <v>184.41117490178837</v>
      </c>
      <c r="M783" s="359">
        <f t="shared" ca="1" si="364"/>
        <v>-1.4817039527164062</v>
      </c>
      <c r="N783" s="357">
        <f t="shared" ca="1" si="365"/>
        <v>-84.895382978501772</v>
      </c>
      <c r="O783" s="343"/>
      <c r="P783" s="363">
        <f t="shared" ca="1" si="366"/>
        <v>23</v>
      </c>
      <c r="Q783" s="357">
        <f t="shared" ca="1" si="367"/>
        <v>0</v>
      </c>
      <c r="R783" s="359">
        <f t="shared" ca="1" si="368"/>
        <v>0</v>
      </c>
      <c r="S783" s="360">
        <f t="shared" ca="1" si="369"/>
        <v>0.42898953648292248</v>
      </c>
      <c r="T783" s="357">
        <f t="shared" ca="1" si="349"/>
        <v>4.2083873528974696</v>
      </c>
      <c r="U783" s="364">
        <f t="shared" ca="1" si="350"/>
        <v>0</v>
      </c>
      <c r="V783" s="359">
        <f t="shared" ca="1" si="351"/>
        <v>1.2259033142271201</v>
      </c>
      <c r="W783" s="357">
        <f t="shared" ca="1" si="352"/>
        <v>3.3998160622640037</v>
      </c>
      <c r="X783" s="343"/>
      <c r="Y783" s="367" t="str">
        <f t="shared" ca="1" si="370"/>
        <v/>
      </c>
      <c r="Z783" s="368" t="str">
        <f t="shared" ca="1" si="371"/>
        <v/>
      </c>
      <c r="AA783" s="369" t="str">
        <f t="shared" ca="1" si="372"/>
        <v/>
      </c>
      <c r="AB783" s="344"/>
      <c r="AC783" s="363" t="e">
        <f t="shared" ca="1" si="373"/>
        <v>#N/A</v>
      </c>
      <c r="AD783" s="376" t="e">
        <f t="shared" ca="1" si="374"/>
        <v>#N/A</v>
      </c>
      <c r="AE783" s="377" t="e">
        <f t="shared" ca="1" si="353"/>
        <v>#N/A</v>
      </c>
      <c r="AF783" s="344"/>
      <c r="AG783" s="359">
        <f t="shared" ca="1" si="375"/>
        <v>1.8459753167585093</v>
      </c>
      <c r="AH783" s="357">
        <f t="shared" ca="1" si="376"/>
        <v>-7.9251158729351276</v>
      </c>
    </row>
    <row r="784" spans="1:34">
      <c r="A784" s="402">
        <f t="shared" ca="1" si="354"/>
        <v>1E-4</v>
      </c>
      <c r="B784" s="357">
        <f t="shared" ca="1" si="355"/>
        <v>16.943099999999873</v>
      </c>
      <c r="C784" s="342"/>
      <c r="D784" s="359">
        <f t="shared" ca="1" si="356"/>
        <v>-0.70513873128257731</v>
      </c>
      <c r="E784" s="360">
        <f t="shared" ca="1" si="357"/>
        <v>-1.9162595705185703</v>
      </c>
      <c r="F784" s="357">
        <f t="shared" ca="1" si="358"/>
        <v>2.041879372528852</v>
      </c>
      <c r="G784" s="359">
        <f t="shared" ca="1" si="359"/>
        <v>4.990567568470949</v>
      </c>
      <c r="H784" s="360">
        <f t="shared" ca="1" si="360"/>
        <v>-55.868348985366218</v>
      </c>
      <c r="I784" s="357">
        <f t="shared" ca="1" si="361"/>
        <v>56.090803016235597</v>
      </c>
      <c r="J784" s="359">
        <f t="shared" ca="1" si="362"/>
        <v>184.26379383972827</v>
      </c>
      <c r="K784" s="360">
        <f t="shared" ca="1" si="363"/>
        <v>-7.3768627289917488</v>
      </c>
      <c r="L784" s="357">
        <f t="shared" ca="1" si="348"/>
        <v>184.41139830263279</v>
      </c>
      <c r="M784" s="359">
        <f t="shared" ca="1" si="364"/>
        <v>-1.4817055088368121</v>
      </c>
      <c r="N784" s="357">
        <f t="shared" ca="1" si="365"/>
        <v>-84.895472137633433</v>
      </c>
      <c r="O784" s="343"/>
      <c r="P784" s="363">
        <f t="shared" ca="1" si="366"/>
        <v>23</v>
      </c>
      <c r="Q784" s="357">
        <f t="shared" ca="1" si="367"/>
        <v>0</v>
      </c>
      <c r="R784" s="359">
        <f t="shared" ca="1" si="368"/>
        <v>0</v>
      </c>
      <c r="S784" s="360">
        <f t="shared" ca="1" si="369"/>
        <v>0.42898953648292248</v>
      </c>
      <c r="T784" s="357">
        <f t="shared" ca="1" si="349"/>
        <v>4.2083873528974696</v>
      </c>
      <c r="U784" s="364">
        <f t="shared" ca="1" si="350"/>
        <v>0</v>
      </c>
      <c r="V784" s="359">
        <f t="shared" ca="1" si="351"/>
        <v>1.2259039991181715</v>
      </c>
      <c r="W784" s="357">
        <f t="shared" ca="1" si="352"/>
        <v>3.3998403390607654</v>
      </c>
      <c r="X784" s="343"/>
      <c r="Y784" s="367" t="str">
        <f t="shared" ca="1" si="370"/>
        <v/>
      </c>
      <c r="Z784" s="368" t="str">
        <f t="shared" ca="1" si="371"/>
        <v/>
      </c>
      <c r="AA784" s="369" t="str">
        <f t="shared" ca="1" si="372"/>
        <v/>
      </c>
      <c r="AB784" s="344"/>
      <c r="AC784" s="363" t="e">
        <f t="shared" ca="1" si="373"/>
        <v>#N/A</v>
      </c>
      <c r="AD784" s="376" t="e">
        <f t="shared" ca="1" si="374"/>
        <v>#N/A</v>
      </c>
      <c r="AE784" s="377" t="e">
        <f t="shared" ca="1" si="353"/>
        <v>#N/A</v>
      </c>
      <c r="AF784" s="344"/>
      <c r="AG784" s="359">
        <f t="shared" ca="1" si="375"/>
        <v>1.8459200830799611</v>
      </c>
      <c r="AH784" s="357">
        <f t="shared" ca="1" si="376"/>
        <v>-7.9251724648984441</v>
      </c>
    </row>
    <row r="785" spans="1:34">
      <c r="A785" s="402">
        <f t="shared" ca="1" si="354"/>
        <v>1E-4</v>
      </c>
      <c r="B785" s="357">
        <f t="shared" ca="1" si="355"/>
        <v>16.943199999999873</v>
      </c>
      <c r="C785" s="342"/>
      <c r="D785" s="359">
        <f t="shared" ca="1" si="356"/>
        <v>-0.70513148271163184</v>
      </c>
      <c r="E785" s="360">
        <f t="shared" ca="1" si="357"/>
        <v>-1.9162021070336515</v>
      </c>
      <c r="F785" s="357">
        <f t="shared" ca="1" si="358"/>
        <v>2.0418229411267057</v>
      </c>
      <c r="G785" s="359">
        <f t="shared" ca="1" si="359"/>
        <v>4.9904970553226775</v>
      </c>
      <c r="H785" s="360">
        <f t="shared" ca="1" si="360"/>
        <v>-55.868540605576925</v>
      </c>
      <c r="I785" s="357">
        <f t="shared" ca="1" si="361"/>
        <v>56.09098760278858</v>
      </c>
      <c r="J785" s="359">
        <f t="shared" ca="1" si="362"/>
        <v>184.26379383972827</v>
      </c>
      <c r="K785" s="360">
        <f t="shared" ca="1" si="363"/>
        <v>-7.3824495734712956</v>
      </c>
      <c r="L785" s="357">
        <f t="shared" ca="1" si="348"/>
        <v>184.41162187322882</v>
      </c>
      <c r="M785" s="359">
        <f t="shared" ca="1" si="364"/>
        <v>-1.481707064924989</v>
      </c>
      <c r="N785" s="357">
        <f t="shared" ca="1" si="365"/>
        <v>-84.895561294918522</v>
      </c>
      <c r="O785" s="343"/>
      <c r="P785" s="363">
        <f t="shared" ca="1" si="366"/>
        <v>23</v>
      </c>
      <c r="Q785" s="357">
        <f t="shared" ca="1" si="367"/>
        <v>0</v>
      </c>
      <c r="R785" s="359">
        <f t="shared" ca="1" si="368"/>
        <v>0</v>
      </c>
      <c r="S785" s="360">
        <f t="shared" ca="1" si="369"/>
        <v>0.42898953648292248</v>
      </c>
      <c r="T785" s="357">
        <f t="shared" ca="1" si="349"/>
        <v>4.2083873528974696</v>
      </c>
      <c r="U785" s="364">
        <f t="shared" ca="1" si="350"/>
        <v>0</v>
      </c>
      <c r="V785" s="359">
        <f t="shared" ca="1" si="351"/>
        <v>1.225904684011955</v>
      </c>
      <c r="W785" s="357">
        <f t="shared" ca="1" si="352"/>
        <v>3.3998646152941872</v>
      </c>
      <c r="X785" s="343"/>
      <c r="Y785" s="367" t="str">
        <f t="shared" ca="1" si="370"/>
        <v/>
      </c>
      <c r="Z785" s="368" t="str">
        <f t="shared" ca="1" si="371"/>
        <v/>
      </c>
      <c r="AA785" s="369" t="str">
        <f t="shared" ca="1" si="372"/>
        <v/>
      </c>
      <c r="AB785" s="344"/>
      <c r="AC785" s="363" t="e">
        <f t="shared" ca="1" si="373"/>
        <v>#N/A</v>
      </c>
      <c r="AD785" s="376" t="e">
        <f t="shared" ca="1" si="374"/>
        <v>#N/A</v>
      </c>
      <c r="AE785" s="377" t="e">
        <f t="shared" ca="1" si="353"/>
        <v>#N/A</v>
      </c>
      <c r="AF785" s="344"/>
      <c r="AG785" s="359">
        <f t="shared" ca="1" si="375"/>
        <v>1.8458648506628226</v>
      </c>
      <c r="AH785" s="357">
        <f t="shared" ca="1" si="376"/>
        <v>-7.9252290555485576</v>
      </c>
    </row>
    <row r="786" spans="1:34">
      <c r="A786" s="402">
        <f t="shared" ca="1" si="354"/>
        <v>1E-4</v>
      </c>
      <c r="B786" s="357">
        <f t="shared" ca="1" si="355"/>
        <v>16.943299999999873</v>
      </c>
      <c r="C786" s="342"/>
      <c r="D786" s="359">
        <f t="shared" ca="1" si="356"/>
        <v>-0.70512423410112846</v>
      </c>
      <c r="E786" s="360">
        <f t="shared" ca="1" si="357"/>
        <v>-1.9161446448828725</v>
      </c>
      <c r="F786" s="357">
        <f t="shared" ca="1" si="358"/>
        <v>2.0417665110462586</v>
      </c>
      <c r="G786" s="359">
        <f t="shared" ca="1" si="359"/>
        <v>4.9904265428992671</v>
      </c>
      <c r="H786" s="360">
        <f t="shared" ca="1" si="360"/>
        <v>-55.868732220041416</v>
      </c>
      <c r="I786" s="357">
        <f t="shared" ca="1" si="361"/>
        <v>56.091172183818436</v>
      </c>
      <c r="J786" s="359">
        <f t="shared" ca="1" si="362"/>
        <v>184.26379383972827</v>
      </c>
      <c r="K786" s="360">
        <f t="shared" ca="1" si="363"/>
        <v>-7.3880364371125768</v>
      </c>
      <c r="L786" s="357">
        <f t="shared" ca="1" si="348"/>
        <v>184.41184561357761</v>
      </c>
      <c r="M786" s="359">
        <f t="shared" ca="1" si="364"/>
        <v>-1.4817086209809385</v>
      </c>
      <c r="N786" s="357">
        <f t="shared" ca="1" si="365"/>
        <v>-84.89565045035711</v>
      </c>
      <c r="O786" s="343"/>
      <c r="P786" s="363">
        <f t="shared" ca="1" si="366"/>
        <v>23</v>
      </c>
      <c r="Q786" s="357">
        <f t="shared" ca="1" si="367"/>
        <v>0</v>
      </c>
      <c r="R786" s="359">
        <f t="shared" ca="1" si="368"/>
        <v>0</v>
      </c>
      <c r="S786" s="360">
        <f t="shared" ca="1" si="369"/>
        <v>0.42898953648292248</v>
      </c>
      <c r="T786" s="357">
        <f t="shared" ca="1" si="349"/>
        <v>4.2083873528974696</v>
      </c>
      <c r="U786" s="364">
        <f t="shared" ca="1" si="350"/>
        <v>0</v>
      </c>
      <c r="V786" s="359">
        <f t="shared" ca="1" si="351"/>
        <v>1.2259053689084709</v>
      </c>
      <c r="W786" s="357">
        <f t="shared" ca="1" si="352"/>
        <v>3.3998888909642755</v>
      </c>
      <c r="X786" s="343"/>
      <c r="Y786" s="367" t="str">
        <f t="shared" ca="1" si="370"/>
        <v/>
      </c>
      <c r="Z786" s="368" t="str">
        <f t="shared" ca="1" si="371"/>
        <v/>
      </c>
      <c r="AA786" s="369" t="str">
        <f t="shared" ca="1" si="372"/>
        <v/>
      </c>
      <c r="AB786" s="344"/>
      <c r="AC786" s="363" t="e">
        <f t="shared" ca="1" si="373"/>
        <v>#N/A</v>
      </c>
      <c r="AD786" s="376" t="e">
        <f t="shared" ca="1" si="374"/>
        <v>#N/A</v>
      </c>
      <c r="AE786" s="377" t="e">
        <f t="shared" ca="1" si="353"/>
        <v>#N/A</v>
      </c>
      <c r="AF786" s="344"/>
      <c r="AG786" s="359">
        <f t="shared" ca="1" si="375"/>
        <v>1.8458096195070741</v>
      </c>
      <c r="AH786" s="357">
        <f t="shared" ca="1" si="376"/>
        <v>-7.9252856448854931</v>
      </c>
    </row>
    <row r="787" spans="1:34">
      <c r="A787" s="402">
        <f t="shared" ca="1" si="354"/>
        <v>1E-4</v>
      </c>
      <c r="B787" s="357">
        <f t="shared" ca="1" si="355"/>
        <v>16.943399999999873</v>
      </c>
      <c r="C787" s="342"/>
      <c r="D787" s="359">
        <f t="shared" ca="1" si="356"/>
        <v>-0.70511698545106949</v>
      </c>
      <c r="E787" s="360">
        <f t="shared" ca="1" si="357"/>
        <v>-1.9160871840662193</v>
      </c>
      <c r="F787" s="357">
        <f t="shared" ca="1" si="358"/>
        <v>2.041710082287497</v>
      </c>
      <c r="G787" s="359">
        <f t="shared" ca="1" si="359"/>
        <v>4.9903560312007222</v>
      </c>
      <c r="H787" s="360">
        <f t="shared" ca="1" si="360"/>
        <v>-55.868923828759826</v>
      </c>
      <c r="I787" s="357">
        <f t="shared" ca="1" si="361"/>
        <v>56.091356759325308</v>
      </c>
      <c r="J787" s="359">
        <f t="shared" ca="1" si="362"/>
        <v>184.26379383972827</v>
      </c>
      <c r="K787" s="360">
        <f t="shared" ca="1" si="363"/>
        <v>-7.393623319915017</v>
      </c>
      <c r="L787" s="357">
        <f t="shared" ca="1" si="348"/>
        <v>184.41206952368023</v>
      </c>
      <c r="M787" s="359">
        <f t="shared" ca="1" si="364"/>
        <v>-1.481710177004661</v>
      </c>
      <c r="N787" s="357">
        <f t="shared" ca="1" si="365"/>
        <v>-84.895739603949238</v>
      </c>
      <c r="O787" s="343"/>
      <c r="P787" s="363">
        <f t="shared" ca="1" si="366"/>
        <v>23</v>
      </c>
      <c r="Q787" s="357">
        <f t="shared" ca="1" si="367"/>
        <v>0</v>
      </c>
      <c r="R787" s="359">
        <f t="shared" ca="1" si="368"/>
        <v>0</v>
      </c>
      <c r="S787" s="360">
        <f t="shared" ca="1" si="369"/>
        <v>0.42898953648292248</v>
      </c>
      <c r="T787" s="357">
        <f t="shared" ca="1" si="349"/>
        <v>4.2083873528974696</v>
      </c>
      <c r="U787" s="364">
        <f t="shared" ca="1" si="350"/>
        <v>0</v>
      </c>
      <c r="V787" s="359">
        <f t="shared" ca="1" si="351"/>
        <v>1.2259060538077178</v>
      </c>
      <c r="W787" s="357">
        <f t="shared" ca="1" si="352"/>
        <v>3.3999131660710362</v>
      </c>
      <c r="X787" s="343"/>
      <c r="Y787" s="367" t="str">
        <f t="shared" ca="1" si="370"/>
        <v/>
      </c>
      <c r="Z787" s="368" t="str">
        <f t="shared" ca="1" si="371"/>
        <v/>
      </c>
      <c r="AA787" s="369" t="str">
        <f t="shared" ca="1" si="372"/>
        <v/>
      </c>
      <c r="AB787" s="344"/>
      <c r="AC787" s="363" t="e">
        <f t="shared" ca="1" si="373"/>
        <v>#N/A</v>
      </c>
      <c r="AD787" s="376" t="e">
        <f t="shared" ca="1" si="374"/>
        <v>#N/A</v>
      </c>
      <c r="AE787" s="377" t="e">
        <f t="shared" ca="1" si="353"/>
        <v>#N/A</v>
      </c>
      <c r="AF787" s="344"/>
      <c r="AG787" s="359">
        <f t="shared" ca="1" si="375"/>
        <v>1.8457543896126998</v>
      </c>
      <c r="AH787" s="357">
        <f t="shared" ca="1" si="376"/>
        <v>-7.9253422329092649</v>
      </c>
    </row>
    <row r="788" spans="1:34">
      <c r="A788" s="402">
        <f t="shared" ca="1" si="354"/>
        <v>1E-4</v>
      </c>
      <c r="B788" s="357">
        <f t="shared" ca="1" si="355"/>
        <v>16.943499999999872</v>
      </c>
      <c r="C788" s="342"/>
      <c r="D788" s="359">
        <f t="shared" ca="1" si="356"/>
        <v>-0.70510973676146271</v>
      </c>
      <c r="E788" s="360">
        <f t="shared" ca="1" si="357"/>
        <v>-1.9160297245836757</v>
      </c>
      <c r="F788" s="357">
        <f t="shared" ca="1" si="358"/>
        <v>2.0416536548504047</v>
      </c>
      <c r="G788" s="359">
        <f t="shared" ca="1" si="359"/>
        <v>4.9902855202270464</v>
      </c>
      <c r="H788" s="360">
        <f t="shared" ca="1" si="360"/>
        <v>-55.869115431732283</v>
      </c>
      <c r="I788" s="357">
        <f t="shared" ca="1" si="361"/>
        <v>56.091541329309301</v>
      </c>
      <c r="J788" s="359">
        <f t="shared" ca="1" si="362"/>
        <v>184.26379383972827</v>
      </c>
      <c r="K788" s="360">
        <f t="shared" ca="1" si="363"/>
        <v>-7.3992102218780413</v>
      </c>
      <c r="L788" s="357">
        <f t="shared" ca="1" si="348"/>
        <v>184.41229360353782</v>
      </c>
      <c r="M788" s="359">
        <f t="shared" ca="1" si="364"/>
        <v>-1.4817117329961575</v>
      </c>
      <c r="N788" s="357">
        <f t="shared" ca="1" si="365"/>
        <v>-84.89582875569495</v>
      </c>
      <c r="O788" s="343"/>
      <c r="P788" s="363">
        <f t="shared" ca="1" si="366"/>
        <v>23</v>
      </c>
      <c r="Q788" s="357">
        <f t="shared" ca="1" si="367"/>
        <v>0</v>
      </c>
      <c r="R788" s="359">
        <f t="shared" ca="1" si="368"/>
        <v>0</v>
      </c>
      <c r="S788" s="360">
        <f t="shared" ca="1" si="369"/>
        <v>0.42898953648292248</v>
      </c>
      <c r="T788" s="357">
        <f t="shared" ca="1" si="349"/>
        <v>4.2083873528974696</v>
      </c>
      <c r="U788" s="364">
        <f t="shared" ca="1" si="350"/>
        <v>0</v>
      </c>
      <c r="V788" s="359">
        <f t="shared" ca="1" si="351"/>
        <v>1.2259067387096965</v>
      </c>
      <c r="W788" s="357">
        <f t="shared" ca="1" si="352"/>
        <v>3.399937440614476</v>
      </c>
      <c r="X788" s="343"/>
      <c r="Y788" s="367" t="str">
        <f t="shared" ca="1" si="370"/>
        <v/>
      </c>
      <c r="Z788" s="368" t="str">
        <f t="shared" ca="1" si="371"/>
        <v/>
      </c>
      <c r="AA788" s="369" t="str">
        <f t="shared" ca="1" si="372"/>
        <v/>
      </c>
      <c r="AB788" s="344"/>
      <c r="AC788" s="363" t="e">
        <f t="shared" ca="1" si="373"/>
        <v>#N/A</v>
      </c>
      <c r="AD788" s="376" t="e">
        <f t="shared" ca="1" si="374"/>
        <v>#N/A</v>
      </c>
      <c r="AE788" s="377" t="e">
        <f t="shared" ca="1" si="353"/>
        <v>#N/A</v>
      </c>
      <c r="AF788" s="344"/>
      <c r="AG788" s="359">
        <f t="shared" ca="1" si="375"/>
        <v>1.8456991609796907</v>
      </c>
      <c r="AH788" s="357">
        <f t="shared" ca="1" si="376"/>
        <v>-7.925398819619887</v>
      </c>
    </row>
    <row r="789" spans="1:34">
      <c r="A789" s="402">
        <f t="shared" ca="1" si="354"/>
        <v>1E-4</v>
      </c>
      <c r="B789" s="357">
        <f t="shared" ca="1" si="355"/>
        <v>16.943599999999872</v>
      </c>
      <c r="C789" s="342"/>
      <c r="D789" s="359">
        <f t="shared" ca="1" si="356"/>
        <v>-0.70510248803231401</v>
      </c>
      <c r="E789" s="360">
        <f t="shared" ca="1" si="357"/>
        <v>-1.9159722664352303</v>
      </c>
      <c r="F789" s="357">
        <f t="shared" ca="1" si="358"/>
        <v>2.0415972287349708</v>
      </c>
      <c r="G789" s="359">
        <f t="shared" ca="1" si="359"/>
        <v>4.9902150099782432</v>
      </c>
      <c r="H789" s="360">
        <f t="shared" ca="1" si="360"/>
        <v>-55.869307028958929</v>
      </c>
      <c r="I789" s="357">
        <f t="shared" ca="1" si="361"/>
        <v>56.091725893770565</v>
      </c>
      <c r="J789" s="359">
        <f t="shared" ca="1" si="362"/>
        <v>184.26379383972827</v>
      </c>
      <c r="K789" s="360">
        <f t="shared" ca="1" si="363"/>
        <v>-7.4047971430010762</v>
      </c>
      <c r="L789" s="357">
        <f t="shared" ca="1" si="348"/>
        <v>184.4125178531514</v>
      </c>
      <c r="M789" s="359">
        <f t="shared" ca="1" si="364"/>
        <v>-1.481713288955429</v>
      </c>
      <c r="N789" s="357">
        <f t="shared" ca="1" si="365"/>
        <v>-84.895917905594303</v>
      </c>
      <c r="O789" s="343"/>
      <c r="P789" s="363">
        <f t="shared" ca="1" si="366"/>
        <v>23</v>
      </c>
      <c r="Q789" s="357">
        <f t="shared" ca="1" si="367"/>
        <v>0</v>
      </c>
      <c r="R789" s="359">
        <f t="shared" ca="1" si="368"/>
        <v>0</v>
      </c>
      <c r="S789" s="360">
        <f t="shared" ca="1" si="369"/>
        <v>0.42898953648292248</v>
      </c>
      <c r="T789" s="357">
        <f t="shared" ca="1" si="349"/>
        <v>4.2083873528974696</v>
      </c>
      <c r="U789" s="364">
        <f t="shared" ca="1" si="350"/>
        <v>0</v>
      </c>
      <c r="V789" s="359">
        <f t="shared" ca="1" si="351"/>
        <v>1.225907423614407</v>
      </c>
      <c r="W789" s="357">
        <f t="shared" ca="1" si="352"/>
        <v>3.3999617145946073</v>
      </c>
      <c r="X789" s="343"/>
      <c r="Y789" s="367" t="str">
        <f t="shared" ca="1" si="370"/>
        <v/>
      </c>
      <c r="Z789" s="368" t="str">
        <f t="shared" ca="1" si="371"/>
        <v/>
      </c>
      <c r="AA789" s="369" t="str">
        <f t="shared" ca="1" si="372"/>
        <v/>
      </c>
      <c r="AB789" s="344"/>
      <c r="AC789" s="363" t="e">
        <f t="shared" ca="1" si="373"/>
        <v>#N/A</v>
      </c>
      <c r="AD789" s="376" t="e">
        <f t="shared" ca="1" si="374"/>
        <v>#N/A</v>
      </c>
      <c r="AE789" s="377" t="e">
        <f t="shared" ca="1" si="353"/>
        <v>#N/A</v>
      </c>
      <c r="AF789" s="344"/>
      <c r="AG789" s="359">
        <f t="shared" ca="1" si="375"/>
        <v>1.8456439336080308</v>
      </c>
      <c r="AH789" s="357">
        <f t="shared" ca="1" si="376"/>
        <v>-7.9254554050173738</v>
      </c>
    </row>
    <row r="790" spans="1:34">
      <c r="A790" s="402">
        <f t="shared" ca="1" si="354"/>
        <v>1E-4</v>
      </c>
      <c r="B790" s="357">
        <f t="shared" ca="1" si="355"/>
        <v>16.943699999999872</v>
      </c>
      <c r="C790" s="342"/>
      <c r="D790" s="359">
        <f t="shared" ca="1" si="356"/>
        <v>-0.70509523926363071</v>
      </c>
      <c r="E790" s="360">
        <f t="shared" ca="1" si="357"/>
        <v>-1.9159148096208494</v>
      </c>
      <c r="F790" s="357">
        <f t="shared" ca="1" si="358"/>
        <v>2.0415408039411638</v>
      </c>
      <c r="G790" s="359">
        <f t="shared" ca="1" si="359"/>
        <v>4.990144500454317</v>
      </c>
      <c r="H790" s="360">
        <f t="shared" ca="1" si="360"/>
        <v>-55.869498620439892</v>
      </c>
      <c r="I790" s="357">
        <f t="shared" ca="1" si="361"/>
        <v>56.091910452709214</v>
      </c>
      <c r="J790" s="359">
        <f t="shared" ca="1" si="362"/>
        <v>184.26379383972827</v>
      </c>
      <c r="K790" s="360">
        <f t="shared" ca="1" si="363"/>
        <v>-7.4103840832835459</v>
      </c>
      <c r="L790" s="357">
        <f t="shared" ca="1" si="348"/>
        <v>184.41274227252211</v>
      </c>
      <c r="M790" s="359">
        <f t="shared" ca="1" si="364"/>
        <v>-1.4817148448824766</v>
      </c>
      <c r="N790" s="357">
        <f t="shared" ca="1" si="365"/>
        <v>-84.896007053647352</v>
      </c>
      <c r="O790" s="343"/>
      <c r="P790" s="363">
        <f t="shared" ca="1" si="366"/>
        <v>23</v>
      </c>
      <c r="Q790" s="357">
        <f t="shared" ca="1" si="367"/>
        <v>0</v>
      </c>
      <c r="R790" s="359">
        <f t="shared" ca="1" si="368"/>
        <v>0</v>
      </c>
      <c r="S790" s="360">
        <f t="shared" ca="1" si="369"/>
        <v>0.42898953648292248</v>
      </c>
      <c r="T790" s="357">
        <f t="shared" ca="1" si="349"/>
        <v>4.2083873528974696</v>
      </c>
      <c r="U790" s="364">
        <f t="shared" ca="1" si="350"/>
        <v>0</v>
      </c>
      <c r="V790" s="359">
        <f t="shared" ca="1" si="351"/>
        <v>1.2259081085218491</v>
      </c>
      <c r="W790" s="357">
        <f t="shared" ca="1" si="352"/>
        <v>3.3999859880114345</v>
      </c>
      <c r="X790" s="343"/>
      <c r="Y790" s="367" t="str">
        <f t="shared" ca="1" si="370"/>
        <v/>
      </c>
      <c r="Z790" s="368" t="str">
        <f t="shared" ca="1" si="371"/>
        <v/>
      </c>
      <c r="AA790" s="369" t="str">
        <f t="shared" ca="1" si="372"/>
        <v/>
      </c>
      <c r="AB790" s="344"/>
      <c r="AC790" s="363" t="e">
        <f t="shared" ca="1" si="373"/>
        <v>#N/A</v>
      </c>
      <c r="AD790" s="376" t="e">
        <f t="shared" ca="1" si="374"/>
        <v>#N/A</v>
      </c>
      <c r="AE790" s="377" t="e">
        <f t="shared" ca="1" si="353"/>
        <v>#N/A</v>
      </c>
      <c r="AF790" s="344"/>
      <c r="AG790" s="359">
        <f t="shared" ca="1" si="375"/>
        <v>1.8455887074976962</v>
      </c>
      <c r="AH790" s="357">
        <f t="shared" ca="1" si="376"/>
        <v>-7.9255119891017562</v>
      </c>
    </row>
    <row r="791" spans="1:34">
      <c r="A791" s="402">
        <f t="shared" ca="1" si="354"/>
        <v>1E-4</v>
      </c>
      <c r="B791" s="357">
        <f t="shared" ca="1" si="355"/>
        <v>16.943799999999872</v>
      </c>
      <c r="C791" s="342"/>
      <c r="D791" s="359">
        <f t="shared" ca="1" si="356"/>
        <v>-0.70508799045541481</v>
      </c>
      <c r="E791" s="360">
        <f t="shared" ca="1" si="357"/>
        <v>-1.9158573541405248</v>
      </c>
      <c r="F791" s="357">
        <f t="shared" ca="1" si="358"/>
        <v>2.0414843804689733</v>
      </c>
      <c r="G791" s="359">
        <f t="shared" ca="1" si="359"/>
        <v>4.9900739916552714</v>
      </c>
      <c r="H791" s="360">
        <f t="shared" ca="1" si="360"/>
        <v>-55.869690206175306</v>
      </c>
      <c r="I791" s="357">
        <f t="shared" ca="1" si="361"/>
        <v>56.092095006125376</v>
      </c>
      <c r="J791" s="359">
        <f t="shared" ca="1" si="362"/>
        <v>184.26379383972827</v>
      </c>
      <c r="K791" s="360">
        <f t="shared" ca="1" si="363"/>
        <v>-7.4159710427248768</v>
      </c>
      <c r="L791" s="357">
        <f t="shared" ca="1" si="348"/>
        <v>184.41296686165106</v>
      </c>
      <c r="M791" s="359">
        <f t="shared" ca="1" si="364"/>
        <v>-1.4817164007773009</v>
      </c>
      <c r="N791" s="357">
        <f t="shared" ca="1" si="365"/>
        <v>-84.896096199854156</v>
      </c>
      <c r="O791" s="343"/>
      <c r="P791" s="363">
        <f t="shared" ca="1" si="366"/>
        <v>23</v>
      </c>
      <c r="Q791" s="357">
        <f t="shared" ca="1" si="367"/>
        <v>0</v>
      </c>
      <c r="R791" s="359">
        <f t="shared" ca="1" si="368"/>
        <v>0</v>
      </c>
      <c r="S791" s="360">
        <f t="shared" ca="1" si="369"/>
        <v>0.42898953648292248</v>
      </c>
      <c r="T791" s="357">
        <f t="shared" ca="1" si="349"/>
        <v>4.2083873528974696</v>
      </c>
      <c r="U791" s="364">
        <f t="shared" ca="1" si="350"/>
        <v>0</v>
      </c>
      <c r="V791" s="359">
        <f t="shared" ca="1" si="351"/>
        <v>1.2259087934320227</v>
      </c>
      <c r="W791" s="357">
        <f t="shared" ca="1" si="352"/>
        <v>3.400010260864966</v>
      </c>
      <c r="X791" s="343"/>
      <c r="Y791" s="367" t="str">
        <f t="shared" ca="1" si="370"/>
        <v/>
      </c>
      <c r="Z791" s="368" t="str">
        <f t="shared" ca="1" si="371"/>
        <v/>
      </c>
      <c r="AA791" s="369" t="str">
        <f t="shared" ca="1" si="372"/>
        <v/>
      </c>
      <c r="AB791" s="344"/>
      <c r="AC791" s="363" t="e">
        <f t="shared" ca="1" si="373"/>
        <v>#N/A</v>
      </c>
      <c r="AD791" s="376" t="e">
        <f t="shared" ca="1" si="374"/>
        <v>#N/A</v>
      </c>
      <c r="AE791" s="377" t="e">
        <f t="shared" ca="1" si="353"/>
        <v>#N/A</v>
      </c>
      <c r="AF791" s="344"/>
      <c r="AG791" s="359">
        <f t="shared" ca="1" si="375"/>
        <v>1.8455334826486771</v>
      </c>
      <c r="AH791" s="357">
        <f t="shared" ca="1" si="376"/>
        <v>-7.9255685718730424</v>
      </c>
    </row>
    <row r="792" spans="1:34">
      <c r="A792" s="402">
        <f t="shared" ca="1" si="354"/>
        <v>1E-4</v>
      </c>
      <c r="B792" s="357">
        <f t="shared" ca="1" si="355"/>
        <v>16.943899999999871</v>
      </c>
      <c r="C792" s="342"/>
      <c r="D792" s="359">
        <f t="shared" ca="1" si="356"/>
        <v>-0.70508074160767631</v>
      </c>
      <c r="E792" s="360">
        <f t="shared" ca="1" si="357"/>
        <v>-1.9157998999942363</v>
      </c>
      <c r="F792" s="357">
        <f t="shared" ca="1" si="358"/>
        <v>2.0414279583183816</v>
      </c>
      <c r="G792" s="359">
        <f t="shared" ca="1" si="359"/>
        <v>4.9900034835811109</v>
      </c>
      <c r="H792" s="360">
        <f t="shared" ca="1" si="360"/>
        <v>-55.869881786165308</v>
      </c>
      <c r="I792" s="357">
        <f t="shared" ca="1" si="361"/>
        <v>56.092279554019179</v>
      </c>
      <c r="J792" s="359">
        <f t="shared" ca="1" si="362"/>
        <v>184.26379383972827</v>
      </c>
      <c r="K792" s="360">
        <f t="shared" ca="1" si="363"/>
        <v>-7.4215580213244943</v>
      </c>
      <c r="L792" s="357">
        <f t="shared" ca="1" si="348"/>
        <v>184.41319162053935</v>
      </c>
      <c r="M792" s="359">
        <f t="shared" ca="1" si="364"/>
        <v>-1.481717956639903</v>
      </c>
      <c r="N792" s="357">
        <f t="shared" ca="1" si="365"/>
        <v>-84.896185344214757</v>
      </c>
      <c r="O792" s="343"/>
      <c r="P792" s="363">
        <f t="shared" ca="1" si="366"/>
        <v>23</v>
      </c>
      <c r="Q792" s="357">
        <f t="shared" ca="1" si="367"/>
        <v>0</v>
      </c>
      <c r="R792" s="359">
        <f t="shared" ca="1" si="368"/>
        <v>0</v>
      </c>
      <c r="S792" s="360">
        <f t="shared" ca="1" si="369"/>
        <v>0.42898953648292248</v>
      </c>
      <c r="T792" s="357">
        <f t="shared" ca="1" si="349"/>
        <v>4.2083873528974696</v>
      </c>
      <c r="U792" s="364">
        <f t="shared" ca="1" si="350"/>
        <v>0</v>
      </c>
      <c r="V792" s="359">
        <f t="shared" ca="1" si="351"/>
        <v>1.2259094783449276</v>
      </c>
      <c r="W792" s="357">
        <f t="shared" ca="1" si="352"/>
        <v>3.4000345331552086</v>
      </c>
      <c r="X792" s="343"/>
      <c r="Y792" s="367" t="str">
        <f t="shared" ca="1" si="370"/>
        <v/>
      </c>
      <c r="Z792" s="368" t="str">
        <f t="shared" ca="1" si="371"/>
        <v/>
      </c>
      <c r="AA792" s="369" t="str">
        <f t="shared" ca="1" si="372"/>
        <v/>
      </c>
      <c r="AB792" s="344"/>
      <c r="AC792" s="363" t="e">
        <f t="shared" ca="1" si="373"/>
        <v>#N/A</v>
      </c>
      <c r="AD792" s="376" t="e">
        <f t="shared" ca="1" si="374"/>
        <v>#N/A</v>
      </c>
      <c r="AE792" s="377" t="e">
        <f t="shared" ca="1" si="353"/>
        <v>#N/A</v>
      </c>
      <c r="AF792" s="344"/>
      <c r="AG792" s="359">
        <f t="shared" ca="1" si="375"/>
        <v>1.8454782590609575</v>
      </c>
      <c r="AH792" s="357">
        <f t="shared" ca="1" si="376"/>
        <v>-7.9256251533312536</v>
      </c>
    </row>
    <row r="793" spans="1:34">
      <c r="A793" s="402">
        <f t="shared" ca="1" si="354"/>
        <v>1E-4</v>
      </c>
      <c r="B793" s="357">
        <f t="shared" ca="1" si="355"/>
        <v>16.943999999999871</v>
      </c>
      <c r="C793" s="342"/>
      <c r="D793" s="359">
        <f t="shared" ca="1" si="356"/>
        <v>-0.7050734927204193</v>
      </c>
      <c r="E793" s="360">
        <f t="shared" ca="1" si="357"/>
        <v>-1.915742447181966</v>
      </c>
      <c r="F793" s="357">
        <f t="shared" ca="1" si="358"/>
        <v>2.0413715374893711</v>
      </c>
      <c r="G793" s="359">
        <f t="shared" ca="1" si="359"/>
        <v>4.989932976231839</v>
      </c>
      <c r="H793" s="360">
        <f t="shared" ca="1" si="360"/>
        <v>-55.870073360410025</v>
      </c>
      <c r="I793" s="357">
        <f t="shared" ca="1" si="361"/>
        <v>56.092464096390735</v>
      </c>
      <c r="J793" s="359">
        <f t="shared" ca="1" si="362"/>
        <v>184.26379383972827</v>
      </c>
      <c r="K793" s="360">
        <f t="shared" ca="1" si="363"/>
        <v>-7.4271450190818227</v>
      </c>
      <c r="L793" s="357">
        <f t="shared" ca="1" si="348"/>
        <v>184.41341654918807</v>
      </c>
      <c r="M793" s="359">
        <f t="shared" ca="1" si="364"/>
        <v>-1.481719512470284</v>
      </c>
      <c r="N793" s="357">
        <f t="shared" ca="1" si="365"/>
        <v>-84.896274486729226</v>
      </c>
      <c r="O793" s="343"/>
      <c r="P793" s="363">
        <f t="shared" ca="1" si="366"/>
        <v>23</v>
      </c>
      <c r="Q793" s="357">
        <f t="shared" ca="1" si="367"/>
        <v>0</v>
      </c>
      <c r="R793" s="359">
        <f t="shared" ca="1" si="368"/>
        <v>0</v>
      </c>
      <c r="S793" s="360">
        <f t="shared" ca="1" si="369"/>
        <v>0.42898953648292248</v>
      </c>
      <c r="T793" s="357">
        <f t="shared" ca="1" si="349"/>
        <v>4.2083873528974696</v>
      </c>
      <c r="U793" s="364">
        <f t="shared" ca="1" si="350"/>
        <v>0</v>
      </c>
      <c r="V793" s="359">
        <f t="shared" ca="1" si="351"/>
        <v>1.225910163260564</v>
      </c>
      <c r="W793" s="357">
        <f t="shared" ca="1" si="352"/>
        <v>3.4000588048821694</v>
      </c>
      <c r="X793" s="343"/>
      <c r="Y793" s="367" t="str">
        <f t="shared" ca="1" si="370"/>
        <v/>
      </c>
      <c r="Z793" s="368" t="str">
        <f t="shared" ca="1" si="371"/>
        <v/>
      </c>
      <c r="AA793" s="369" t="str">
        <f t="shared" ca="1" si="372"/>
        <v/>
      </c>
      <c r="AB793" s="344"/>
      <c r="AC793" s="363" t="e">
        <f t="shared" ca="1" si="373"/>
        <v>#N/A</v>
      </c>
      <c r="AD793" s="376" t="e">
        <f t="shared" ca="1" si="374"/>
        <v>#N/A</v>
      </c>
      <c r="AE793" s="377" t="e">
        <f t="shared" ca="1" si="353"/>
        <v>#N/A</v>
      </c>
      <c r="AF793" s="344"/>
      <c r="AG793" s="359">
        <f t="shared" ca="1" si="375"/>
        <v>1.8454230367345223</v>
      </c>
      <c r="AH793" s="357">
        <f t="shared" ca="1" si="376"/>
        <v>-7.9256817334764049</v>
      </c>
    </row>
    <row r="794" spans="1:34">
      <c r="A794" s="402">
        <f t="shared" ca="1" si="354"/>
        <v>1E-4</v>
      </c>
      <c r="B794" s="357">
        <f t="shared" ca="1" si="355"/>
        <v>16.944099999999871</v>
      </c>
      <c r="C794" s="342"/>
      <c r="D794" s="359">
        <f t="shared" ca="1" si="356"/>
        <v>-0.70506624379364824</v>
      </c>
      <c r="E794" s="360">
        <f t="shared" ca="1" si="357"/>
        <v>-1.9156849957036988</v>
      </c>
      <c r="F794" s="357">
        <f t="shared" ca="1" si="358"/>
        <v>2.041315117981926</v>
      </c>
      <c r="G794" s="359">
        <f t="shared" ca="1" si="359"/>
        <v>4.9898624696074592</v>
      </c>
      <c r="H794" s="360">
        <f t="shared" ca="1" si="360"/>
        <v>-55.870264928909599</v>
      </c>
      <c r="I794" s="357">
        <f t="shared" ca="1" si="361"/>
        <v>56.092648633240188</v>
      </c>
      <c r="J794" s="359">
        <f t="shared" ca="1" si="362"/>
        <v>184.26379383972827</v>
      </c>
      <c r="K794" s="360">
        <f t="shared" ca="1" si="363"/>
        <v>-7.4327320359962883</v>
      </c>
      <c r="L794" s="357">
        <f t="shared" ca="1" si="348"/>
        <v>184.41364164759833</v>
      </c>
      <c r="M794" s="359">
        <f t="shared" ca="1" si="364"/>
        <v>-1.4817210682684443</v>
      </c>
      <c r="N794" s="357">
        <f t="shared" ca="1" si="365"/>
        <v>-84.896363627397591</v>
      </c>
      <c r="O794" s="343"/>
      <c r="P794" s="363">
        <f t="shared" ca="1" si="366"/>
        <v>23</v>
      </c>
      <c r="Q794" s="357">
        <f t="shared" ca="1" si="367"/>
        <v>0</v>
      </c>
      <c r="R794" s="359">
        <f t="shared" ca="1" si="368"/>
        <v>0</v>
      </c>
      <c r="S794" s="360">
        <f t="shared" ca="1" si="369"/>
        <v>0.42898953648292248</v>
      </c>
      <c r="T794" s="357">
        <f t="shared" ca="1" si="349"/>
        <v>4.2083873528974696</v>
      </c>
      <c r="U794" s="364">
        <f t="shared" ca="1" si="350"/>
        <v>0</v>
      </c>
      <c r="V794" s="359">
        <f t="shared" ca="1" si="351"/>
        <v>1.2259108481789316</v>
      </c>
      <c r="W794" s="357">
        <f t="shared" ca="1" si="352"/>
        <v>3.4000830760458576</v>
      </c>
      <c r="X794" s="343"/>
      <c r="Y794" s="367" t="str">
        <f t="shared" ca="1" si="370"/>
        <v/>
      </c>
      <c r="Z794" s="368" t="str">
        <f t="shared" ca="1" si="371"/>
        <v/>
      </c>
      <c r="AA794" s="369" t="str">
        <f t="shared" ca="1" si="372"/>
        <v/>
      </c>
      <c r="AB794" s="344"/>
      <c r="AC794" s="363" t="e">
        <f t="shared" ca="1" si="373"/>
        <v>#N/A</v>
      </c>
      <c r="AD794" s="376" t="e">
        <f t="shared" ca="1" si="374"/>
        <v>#N/A</v>
      </c>
      <c r="AE794" s="377" t="e">
        <f t="shared" ca="1" si="353"/>
        <v>#N/A</v>
      </c>
      <c r="AF794" s="344"/>
      <c r="AG794" s="359">
        <f t="shared" ca="1" si="375"/>
        <v>1.84536781566936</v>
      </c>
      <c r="AH794" s="357">
        <f t="shared" ca="1" si="376"/>
        <v>-7.9257383123085132</v>
      </c>
    </row>
    <row r="795" spans="1:34">
      <c r="A795" s="402">
        <f t="shared" ca="1" si="354"/>
        <v>1E-4</v>
      </c>
      <c r="B795" s="357">
        <f t="shared" ca="1" si="355"/>
        <v>16.944199999999871</v>
      </c>
      <c r="C795" s="342"/>
      <c r="D795" s="359">
        <f t="shared" ca="1" si="356"/>
        <v>-0.70505899482737333</v>
      </c>
      <c r="E795" s="360">
        <f t="shared" ca="1" si="357"/>
        <v>-1.9156275455594125</v>
      </c>
      <c r="F795" s="357">
        <f t="shared" ca="1" si="358"/>
        <v>2.0412586997960265</v>
      </c>
      <c r="G795" s="359">
        <f t="shared" ca="1" si="359"/>
        <v>4.9897919637079768</v>
      </c>
      <c r="H795" s="360">
        <f t="shared" ca="1" si="360"/>
        <v>-55.870456491664157</v>
      </c>
      <c r="I795" s="357">
        <f t="shared" ca="1" si="361"/>
        <v>56.092833164567665</v>
      </c>
      <c r="J795" s="359">
        <f t="shared" ca="1" si="362"/>
        <v>184.26379383972827</v>
      </c>
      <c r="K795" s="360">
        <f t="shared" ca="1" si="363"/>
        <v>-7.4383190720673174</v>
      </c>
      <c r="L795" s="357">
        <f t="shared" ca="1" si="348"/>
        <v>184.41386691577117</v>
      </c>
      <c r="M795" s="359">
        <f t="shared" ca="1" si="364"/>
        <v>-1.4817226240343855</v>
      </c>
      <c r="N795" s="357">
        <f t="shared" ca="1" si="365"/>
        <v>-84.896452766219923</v>
      </c>
      <c r="O795" s="343"/>
      <c r="P795" s="363">
        <f t="shared" ca="1" si="366"/>
        <v>23</v>
      </c>
      <c r="Q795" s="357">
        <f t="shared" ca="1" si="367"/>
        <v>0</v>
      </c>
      <c r="R795" s="359">
        <f t="shared" ca="1" si="368"/>
        <v>0</v>
      </c>
      <c r="S795" s="360">
        <f t="shared" ca="1" si="369"/>
        <v>0.42898953648292248</v>
      </c>
      <c r="T795" s="357">
        <f t="shared" ca="1" si="349"/>
        <v>4.2083873528974696</v>
      </c>
      <c r="U795" s="364">
        <f t="shared" ca="1" si="350"/>
        <v>0</v>
      </c>
      <c r="V795" s="359">
        <f t="shared" ca="1" si="351"/>
        <v>1.2259115331000308</v>
      </c>
      <c r="W795" s="357">
        <f t="shared" ca="1" si="352"/>
        <v>3.400107346646283</v>
      </c>
      <c r="X795" s="343"/>
      <c r="Y795" s="367" t="str">
        <f t="shared" ca="1" si="370"/>
        <v/>
      </c>
      <c r="Z795" s="368" t="str">
        <f t="shared" ca="1" si="371"/>
        <v/>
      </c>
      <c r="AA795" s="369" t="str">
        <f t="shared" ca="1" si="372"/>
        <v/>
      </c>
      <c r="AB795" s="344"/>
      <c r="AC795" s="363" t="e">
        <f t="shared" ca="1" si="373"/>
        <v>#N/A</v>
      </c>
      <c r="AD795" s="376" t="e">
        <f t="shared" ca="1" si="374"/>
        <v>#N/A</v>
      </c>
      <c r="AE795" s="377" t="e">
        <f t="shared" ca="1" si="353"/>
        <v>#N/A</v>
      </c>
      <c r="AF795" s="344"/>
      <c r="AG795" s="359">
        <f t="shared" ca="1" si="375"/>
        <v>1.8453125958654493</v>
      </c>
      <c r="AH795" s="357">
        <f t="shared" ca="1" si="376"/>
        <v>-7.9257948898275998</v>
      </c>
    </row>
    <row r="796" spans="1:34">
      <c r="A796" s="402">
        <f t="shared" ca="1" si="354"/>
        <v>1E-4</v>
      </c>
      <c r="B796" s="357">
        <f t="shared" ca="1" si="355"/>
        <v>16.94429999999987</v>
      </c>
      <c r="C796" s="342"/>
      <c r="D796" s="359">
        <f t="shared" ca="1" si="356"/>
        <v>-0.70505174582159558</v>
      </c>
      <c r="E796" s="360">
        <f t="shared" ca="1" si="357"/>
        <v>-1.915570096749085</v>
      </c>
      <c r="F796" s="357">
        <f t="shared" ca="1" si="358"/>
        <v>2.0412022829316498</v>
      </c>
      <c r="G796" s="359">
        <f t="shared" ca="1" si="359"/>
        <v>4.9897214585333947</v>
      </c>
      <c r="H796" s="360">
        <f t="shared" ca="1" si="360"/>
        <v>-55.870648048673836</v>
      </c>
      <c r="I796" s="357">
        <f t="shared" ca="1" si="361"/>
        <v>56.093017690373287</v>
      </c>
      <c r="J796" s="359">
        <f t="shared" ca="1" si="362"/>
        <v>184.26379383972827</v>
      </c>
      <c r="K796" s="360">
        <f t="shared" ca="1" si="363"/>
        <v>-7.4439061272943343</v>
      </c>
      <c r="L796" s="357">
        <f t="shared" ca="1" si="348"/>
        <v>184.41409235370776</v>
      </c>
      <c r="M796" s="359">
        <f t="shared" ca="1" si="364"/>
        <v>-1.4817241797681078</v>
      </c>
      <c r="N796" s="357">
        <f t="shared" ca="1" si="365"/>
        <v>-84.896541903196265</v>
      </c>
      <c r="O796" s="343"/>
      <c r="P796" s="363">
        <f t="shared" ca="1" si="366"/>
        <v>23</v>
      </c>
      <c r="Q796" s="357">
        <f t="shared" ca="1" si="367"/>
        <v>0</v>
      </c>
      <c r="R796" s="359">
        <f t="shared" ca="1" si="368"/>
        <v>0</v>
      </c>
      <c r="S796" s="360">
        <f t="shared" ca="1" si="369"/>
        <v>0.42898953648292248</v>
      </c>
      <c r="T796" s="357">
        <f t="shared" ca="1" si="349"/>
        <v>4.2083873528974696</v>
      </c>
      <c r="U796" s="364">
        <f t="shared" ca="1" si="350"/>
        <v>0</v>
      </c>
      <c r="V796" s="359">
        <f t="shared" ca="1" si="351"/>
        <v>1.2259122180238604</v>
      </c>
      <c r="W796" s="357">
        <f t="shared" ca="1" si="352"/>
        <v>3.4001316166834492</v>
      </c>
      <c r="X796" s="343"/>
      <c r="Y796" s="367" t="str">
        <f t="shared" ca="1" si="370"/>
        <v/>
      </c>
      <c r="Z796" s="368" t="str">
        <f t="shared" ca="1" si="371"/>
        <v/>
      </c>
      <c r="AA796" s="369" t="str">
        <f t="shared" ca="1" si="372"/>
        <v/>
      </c>
      <c r="AB796" s="344"/>
      <c r="AC796" s="363" t="e">
        <f t="shared" ca="1" si="373"/>
        <v>#N/A</v>
      </c>
      <c r="AD796" s="376" t="e">
        <f t="shared" ca="1" si="374"/>
        <v>#N/A</v>
      </c>
      <c r="AE796" s="377" t="e">
        <f t="shared" ca="1" si="353"/>
        <v>#N/A</v>
      </c>
      <c r="AF796" s="344"/>
      <c r="AG796" s="359">
        <f t="shared" ca="1" si="375"/>
        <v>1.8452573773227678</v>
      </c>
      <c r="AH796" s="357">
        <f t="shared" ca="1" si="376"/>
        <v>-7.925851466033687</v>
      </c>
    </row>
    <row r="797" spans="1:34">
      <c r="A797" s="402">
        <f t="shared" ca="1" si="354"/>
        <v>1E-4</v>
      </c>
      <c r="B797" s="357">
        <f t="shared" ca="1" si="355"/>
        <v>16.94439999999987</v>
      </c>
      <c r="C797" s="342"/>
      <c r="D797" s="359">
        <f t="shared" ca="1" si="356"/>
        <v>-0.70504449677632608</v>
      </c>
      <c r="E797" s="360">
        <f t="shared" ca="1" si="357"/>
        <v>-1.9155126492727064</v>
      </c>
      <c r="F797" s="357">
        <f t="shared" ca="1" si="358"/>
        <v>2.0411458673887872</v>
      </c>
      <c r="G797" s="359">
        <f t="shared" ca="1" si="359"/>
        <v>4.9896509540837171</v>
      </c>
      <c r="H797" s="360">
        <f t="shared" ca="1" si="360"/>
        <v>-55.870839599938762</v>
      </c>
      <c r="I797" s="357">
        <f t="shared" ca="1" si="361"/>
        <v>56.093202210657161</v>
      </c>
      <c r="J797" s="359">
        <f t="shared" ca="1" si="362"/>
        <v>184.26379383972827</v>
      </c>
      <c r="K797" s="360">
        <f t="shared" ca="1" si="363"/>
        <v>-7.4494932016767645</v>
      </c>
      <c r="L797" s="357">
        <f t="shared" ca="1" si="348"/>
        <v>184.41431796140915</v>
      </c>
      <c r="M797" s="359">
        <f t="shared" ca="1" si="364"/>
        <v>-1.4817257354696127</v>
      </c>
      <c r="N797" s="357">
        <f t="shared" ca="1" si="365"/>
        <v>-84.896631038326674</v>
      </c>
      <c r="O797" s="343"/>
      <c r="P797" s="363">
        <f t="shared" ca="1" si="366"/>
        <v>23</v>
      </c>
      <c r="Q797" s="357">
        <f t="shared" ca="1" si="367"/>
        <v>0</v>
      </c>
      <c r="R797" s="359">
        <f t="shared" ca="1" si="368"/>
        <v>0</v>
      </c>
      <c r="S797" s="360">
        <f t="shared" ca="1" si="369"/>
        <v>0.42898953648292248</v>
      </c>
      <c r="T797" s="357">
        <f t="shared" ca="1" si="349"/>
        <v>4.2083873528974696</v>
      </c>
      <c r="U797" s="364">
        <f t="shared" ca="1" si="350"/>
        <v>0</v>
      </c>
      <c r="V797" s="359">
        <f t="shared" ca="1" si="351"/>
        <v>1.2259129029504214</v>
      </c>
      <c r="W797" s="357">
        <f t="shared" ca="1" si="352"/>
        <v>3.4001558861573633</v>
      </c>
      <c r="X797" s="343"/>
      <c r="Y797" s="367" t="str">
        <f t="shared" ca="1" si="370"/>
        <v/>
      </c>
      <c r="Z797" s="368" t="str">
        <f t="shared" ca="1" si="371"/>
        <v/>
      </c>
      <c r="AA797" s="369" t="str">
        <f t="shared" ca="1" si="372"/>
        <v/>
      </c>
      <c r="AB797" s="344"/>
      <c r="AC797" s="363" t="e">
        <f t="shared" ca="1" si="373"/>
        <v>#N/A</v>
      </c>
      <c r="AD797" s="376" t="e">
        <f t="shared" ca="1" si="374"/>
        <v>#N/A</v>
      </c>
      <c r="AE797" s="377" t="e">
        <f t="shared" ca="1" si="353"/>
        <v>#N/A</v>
      </c>
      <c r="AF797" s="344"/>
      <c r="AG797" s="359">
        <f t="shared" ca="1" si="375"/>
        <v>1.845202160041314</v>
      </c>
      <c r="AH797" s="357">
        <f t="shared" ca="1" si="376"/>
        <v>-7.9259080409267835</v>
      </c>
    </row>
    <row r="798" spans="1:34">
      <c r="A798" s="402">
        <f t="shared" ca="1" si="354"/>
        <v>1E-4</v>
      </c>
      <c r="B798" s="357">
        <f t="shared" ca="1" si="355"/>
        <v>16.94449999999987</v>
      </c>
      <c r="C798" s="342"/>
      <c r="D798" s="359">
        <f t="shared" ca="1" si="356"/>
        <v>-0.70503724769156539</v>
      </c>
      <c r="E798" s="360">
        <f t="shared" ca="1" si="357"/>
        <v>-1.9154552031302581</v>
      </c>
      <c r="F798" s="357">
        <f t="shared" ca="1" si="358"/>
        <v>2.0410894531674195</v>
      </c>
      <c r="G798" s="359">
        <f t="shared" ca="1" si="359"/>
        <v>4.9895804503589476</v>
      </c>
      <c r="H798" s="360">
        <f t="shared" ca="1" si="360"/>
        <v>-55.871031145459078</v>
      </c>
      <c r="I798" s="357">
        <f t="shared" ca="1" si="361"/>
        <v>56.09338672541945</v>
      </c>
      <c r="J798" s="359">
        <f t="shared" ca="1" si="362"/>
        <v>184.26379383972827</v>
      </c>
      <c r="K798" s="360">
        <f t="shared" ca="1" si="363"/>
        <v>-7.4550802952140343</v>
      </c>
      <c r="L798" s="357">
        <f t="shared" ca="1" si="348"/>
        <v>184.41454373887643</v>
      </c>
      <c r="M798" s="359">
        <f t="shared" ca="1" si="364"/>
        <v>-1.481727291138901</v>
      </c>
      <c r="N798" s="357">
        <f t="shared" ca="1" si="365"/>
        <v>-84.896720171611207</v>
      </c>
      <c r="O798" s="343"/>
      <c r="P798" s="363">
        <f t="shared" ca="1" si="366"/>
        <v>23</v>
      </c>
      <c r="Q798" s="357">
        <f t="shared" ca="1" si="367"/>
        <v>0</v>
      </c>
      <c r="R798" s="359">
        <f t="shared" ca="1" si="368"/>
        <v>0</v>
      </c>
      <c r="S798" s="360">
        <f t="shared" ca="1" si="369"/>
        <v>0.42898953648292248</v>
      </c>
      <c r="T798" s="357">
        <f t="shared" ca="1" si="349"/>
        <v>4.2083873528974696</v>
      </c>
      <c r="U798" s="364">
        <f t="shared" ca="1" si="350"/>
        <v>0</v>
      </c>
      <c r="V798" s="359">
        <f t="shared" ca="1" si="351"/>
        <v>1.2259135878797138</v>
      </c>
      <c r="W798" s="357">
        <f t="shared" ca="1" si="352"/>
        <v>3.4001801550680382</v>
      </c>
      <c r="X798" s="343"/>
      <c r="Y798" s="367" t="str">
        <f t="shared" ca="1" si="370"/>
        <v/>
      </c>
      <c r="Z798" s="368" t="str">
        <f t="shared" ca="1" si="371"/>
        <v/>
      </c>
      <c r="AA798" s="369" t="str">
        <f t="shared" ca="1" si="372"/>
        <v/>
      </c>
      <c r="AB798" s="344"/>
      <c r="AC798" s="363" t="e">
        <f t="shared" ca="1" si="373"/>
        <v>#N/A</v>
      </c>
      <c r="AD798" s="376" t="e">
        <f t="shared" ca="1" si="374"/>
        <v>#N/A</v>
      </c>
      <c r="AE798" s="377" t="e">
        <f t="shared" ca="1" si="353"/>
        <v>#N/A</v>
      </c>
      <c r="AF798" s="344"/>
      <c r="AG798" s="359">
        <f t="shared" ca="1" si="375"/>
        <v>1.8451469440210682</v>
      </c>
      <c r="AH798" s="357">
        <f t="shared" ca="1" si="376"/>
        <v>-7.9259646145069071</v>
      </c>
    </row>
    <row r="799" spans="1:34">
      <c r="A799" s="402">
        <f t="shared" ca="1" si="354"/>
        <v>1E-4</v>
      </c>
      <c r="B799" s="357">
        <f t="shared" ca="1" si="355"/>
        <v>16.94459999999987</v>
      </c>
      <c r="C799" s="342"/>
      <c r="D799" s="359">
        <f t="shared" ca="1" si="356"/>
        <v>-0.70502999856732274</v>
      </c>
      <c r="E799" s="360">
        <f t="shared" ca="1" si="357"/>
        <v>-1.9153977583217134</v>
      </c>
      <c r="F799" s="357">
        <f t="shared" ca="1" si="358"/>
        <v>2.0410330402675223</v>
      </c>
      <c r="G799" s="359">
        <f t="shared" ca="1" si="359"/>
        <v>4.9895099473590907</v>
      </c>
      <c r="H799" s="360">
        <f t="shared" ca="1" si="360"/>
        <v>-55.871222685234912</v>
      </c>
      <c r="I799" s="357">
        <f t="shared" ca="1" si="361"/>
        <v>56.093571234660246</v>
      </c>
      <c r="J799" s="359">
        <f t="shared" ca="1" si="362"/>
        <v>184.26379383972827</v>
      </c>
      <c r="K799" s="360">
        <f t="shared" ca="1" si="363"/>
        <v>-7.4606674079055688</v>
      </c>
      <c r="L799" s="357">
        <f t="shared" ca="1" si="348"/>
        <v>184.41476968611073</v>
      </c>
      <c r="M799" s="359">
        <f t="shared" ca="1" si="364"/>
        <v>-1.4817288467759733</v>
      </c>
      <c r="N799" s="357">
        <f t="shared" ca="1" si="365"/>
        <v>-84.896809303049906</v>
      </c>
      <c r="O799" s="343"/>
      <c r="P799" s="363">
        <f t="shared" ca="1" si="366"/>
        <v>23</v>
      </c>
      <c r="Q799" s="357">
        <f t="shared" ca="1" si="367"/>
        <v>0</v>
      </c>
      <c r="R799" s="359">
        <f t="shared" ca="1" si="368"/>
        <v>0</v>
      </c>
      <c r="S799" s="360">
        <f t="shared" ca="1" si="369"/>
        <v>0.42898953648292248</v>
      </c>
      <c r="T799" s="357">
        <f t="shared" ca="1" si="349"/>
        <v>4.2083873528974696</v>
      </c>
      <c r="U799" s="364">
        <f t="shared" ca="1" si="350"/>
        <v>0</v>
      </c>
      <c r="V799" s="359">
        <f t="shared" ca="1" si="351"/>
        <v>1.2259142728117367</v>
      </c>
      <c r="W799" s="357">
        <f t="shared" ca="1" si="352"/>
        <v>3.4002044234154756</v>
      </c>
      <c r="X799" s="343"/>
      <c r="Y799" s="367" t="str">
        <f t="shared" ca="1" si="370"/>
        <v/>
      </c>
      <c r="Z799" s="368" t="str">
        <f t="shared" ca="1" si="371"/>
        <v/>
      </c>
      <c r="AA799" s="369" t="str">
        <f t="shared" ca="1" si="372"/>
        <v/>
      </c>
      <c r="AB799" s="344"/>
      <c r="AC799" s="363" t="e">
        <f t="shared" ca="1" si="373"/>
        <v>#N/A</v>
      </c>
      <c r="AD799" s="376" t="e">
        <f t="shared" ca="1" si="374"/>
        <v>#N/A</v>
      </c>
      <c r="AE799" s="377" t="e">
        <f t="shared" ca="1" si="353"/>
        <v>#N/A</v>
      </c>
      <c r="AF799" s="344"/>
      <c r="AG799" s="359">
        <f t="shared" ca="1" si="375"/>
        <v>1.8450917292620099</v>
      </c>
      <c r="AH799" s="357">
        <f t="shared" ca="1" si="376"/>
        <v>-7.9260211867740855</v>
      </c>
    </row>
    <row r="800" spans="1:34">
      <c r="A800" s="402">
        <f t="shared" ca="1" si="354"/>
        <v>1E-4</v>
      </c>
      <c r="B800" s="357">
        <f t="shared" ca="1" si="355"/>
        <v>16.94469999999987</v>
      </c>
      <c r="C800" s="342"/>
      <c r="D800" s="359">
        <f t="shared" ca="1" si="356"/>
        <v>-0.70502274940360488</v>
      </c>
      <c r="E800" s="360">
        <f t="shared" ca="1" si="357"/>
        <v>-1.9153403148470654</v>
      </c>
      <c r="F800" s="357">
        <f t="shared" ca="1" si="358"/>
        <v>2.0409766286890876</v>
      </c>
      <c r="G800" s="359">
        <f t="shared" ca="1" si="359"/>
        <v>4.9894394450841499</v>
      </c>
      <c r="H800" s="360">
        <f t="shared" ca="1" si="360"/>
        <v>-55.871414219266399</v>
      </c>
      <c r="I800" s="357">
        <f t="shared" ca="1" si="361"/>
        <v>56.093755738379699</v>
      </c>
      <c r="J800" s="359">
        <f t="shared" ca="1" si="362"/>
        <v>184.26379383972827</v>
      </c>
      <c r="K800" s="360">
        <f t="shared" ca="1" si="363"/>
        <v>-7.4662545397507936</v>
      </c>
      <c r="L800" s="357">
        <f t="shared" ca="1" si="348"/>
        <v>184.41499580311313</v>
      </c>
      <c r="M800" s="359">
        <f t="shared" ca="1" si="364"/>
        <v>-1.4817304023808309</v>
      </c>
      <c r="N800" s="357">
        <f t="shared" ca="1" si="365"/>
        <v>-84.896898432642843</v>
      </c>
      <c r="O800" s="343"/>
      <c r="P800" s="363">
        <f t="shared" ca="1" si="366"/>
        <v>23</v>
      </c>
      <c r="Q800" s="357">
        <f t="shared" ca="1" si="367"/>
        <v>0</v>
      </c>
      <c r="R800" s="359">
        <f t="shared" ca="1" si="368"/>
        <v>0</v>
      </c>
      <c r="S800" s="360">
        <f t="shared" ca="1" si="369"/>
        <v>0.42898953648292248</v>
      </c>
      <c r="T800" s="357">
        <f t="shared" ca="1" si="349"/>
        <v>4.2083873528974696</v>
      </c>
      <c r="U800" s="364">
        <f t="shared" ca="1" si="350"/>
        <v>0</v>
      </c>
      <c r="V800" s="359">
        <f t="shared" ca="1" si="351"/>
        <v>1.225914957746491</v>
      </c>
      <c r="W800" s="357">
        <f t="shared" ca="1" si="352"/>
        <v>3.4002286911996884</v>
      </c>
      <c r="X800" s="343"/>
      <c r="Y800" s="367" t="str">
        <f t="shared" ca="1" si="370"/>
        <v/>
      </c>
      <c r="Z800" s="368" t="str">
        <f t="shared" ca="1" si="371"/>
        <v/>
      </c>
      <c r="AA800" s="369" t="str">
        <f t="shared" ca="1" si="372"/>
        <v/>
      </c>
      <c r="AB800" s="344"/>
      <c r="AC800" s="363" t="e">
        <f t="shared" ca="1" si="373"/>
        <v>#N/A</v>
      </c>
      <c r="AD800" s="376" t="e">
        <f t="shared" ca="1" si="374"/>
        <v>#N/A</v>
      </c>
      <c r="AE800" s="377" t="e">
        <f t="shared" ca="1" si="353"/>
        <v>#N/A</v>
      </c>
      <c r="AF800" s="344"/>
      <c r="AG800" s="359">
        <f t="shared" ca="1" si="375"/>
        <v>1.8450365157641295</v>
      </c>
      <c r="AH800" s="357">
        <f t="shared" ca="1" si="376"/>
        <v>-7.9260777577283248</v>
      </c>
    </row>
    <row r="801" spans="1:34">
      <c r="A801" s="402">
        <f t="shared" ca="1" si="354"/>
        <v>1E-4</v>
      </c>
      <c r="B801" s="357">
        <f t="shared" ca="1" si="355"/>
        <v>16.944799999999869</v>
      </c>
      <c r="C801" s="342"/>
      <c r="D801" s="359">
        <f t="shared" ca="1" si="356"/>
        <v>-0.70501550020041559</v>
      </c>
      <c r="E801" s="360">
        <f t="shared" ca="1" si="357"/>
        <v>-1.9152828727062836</v>
      </c>
      <c r="F801" s="357">
        <f t="shared" ca="1" si="358"/>
        <v>2.0409202184320865</v>
      </c>
      <c r="G801" s="359">
        <f t="shared" ca="1" si="359"/>
        <v>4.9893689435341297</v>
      </c>
      <c r="H801" s="360">
        <f t="shared" ca="1" si="360"/>
        <v>-55.871605747553666</v>
      </c>
      <c r="I801" s="357">
        <f t="shared" ca="1" si="361"/>
        <v>56.093940236577915</v>
      </c>
      <c r="J801" s="359">
        <f t="shared" ca="1" si="362"/>
        <v>184.26379383972827</v>
      </c>
      <c r="K801" s="360">
        <f t="shared" ca="1" si="363"/>
        <v>-7.4718416907491347</v>
      </c>
      <c r="L801" s="357">
        <f t="shared" ca="1" si="348"/>
        <v>184.41522208988471</v>
      </c>
      <c r="M801" s="359">
        <f t="shared" ca="1" si="364"/>
        <v>-1.4817319579534745</v>
      </c>
      <c r="N801" s="357">
        <f t="shared" ca="1" si="365"/>
        <v>-84.896987560390045</v>
      </c>
      <c r="O801" s="343"/>
      <c r="P801" s="363">
        <f t="shared" ca="1" si="366"/>
        <v>23</v>
      </c>
      <c r="Q801" s="357">
        <f t="shared" ca="1" si="367"/>
        <v>0</v>
      </c>
      <c r="R801" s="359">
        <f t="shared" ca="1" si="368"/>
        <v>0</v>
      </c>
      <c r="S801" s="360">
        <f t="shared" ca="1" si="369"/>
        <v>0.42898953648292248</v>
      </c>
      <c r="T801" s="357">
        <f t="shared" ca="1" si="349"/>
        <v>4.2083873528974696</v>
      </c>
      <c r="U801" s="364">
        <f t="shared" ca="1" si="350"/>
        <v>0</v>
      </c>
      <c r="V801" s="359">
        <f t="shared" ca="1" si="351"/>
        <v>1.2259156426839759</v>
      </c>
      <c r="W801" s="357">
        <f t="shared" ca="1" si="352"/>
        <v>3.4002529584206793</v>
      </c>
      <c r="X801" s="343"/>
      <c r="Y801" s="367" t="str">
        <f t="shared" ca="1" si="370"/>
        <v/>
      </c>
      <c r="Z801" s="368" t="str">
        <f t="shared" ca="1" si="371"/>
        <v/>
      </c>
      <c r="AA801" s="369" t="str">
        <f t="shared" ca="1" si="372"/>
        <v/>
      </c>
      <c r="AB801" s="344"/>
      <c r="AC801" s="363" t="e">
        <f t="shared" ca="1" si="373"/>
        <v>#N/A</v>
      </c>
      <c r="AD801" s="376" t="e">
        <f t="shared" ca="1" si="374"/>
        <v>#N/A</v>
      </c>
      <c r="AE801" s="377" t="e">
        <f t="shared" ca="1" si="353"/>
        <v>#N/A</v>
      </c>
      <c r="AF801" s="344"/>
      <c r="AG801" s="359">
        <f t="shared" ca="1" si="375"/>
        <v>1.844981303527403</v>
      </c>
      <c r="AH801" s="357">
        <f t="shared" ca="1" si="376"/>
        <v>-7.9261343273696543</v>
      </c>
    </row>
    <row r="802" spans="1:34">
      <c r="A802" s="402">
        <f t="shared" ca="1" si="354"/>
        <v>1E-4</v>
      </c>
      <c r="B802" s="357">
        <f t="shared" ca="1" si="355"/>
        <v>16.944899999999869</v>
      </c>
      <c r="C802" s="342"/>
      <c r="D802" s="359">
        <f t="shared" ca="1" si="356"/>
        <v>-0.70500825095776154</v>
      </c>
      <c r="E802" s="360">
        <f t="shared" ca="1" si="357"/>
        <v>-1.9152254318993638</v>
      </c>
      <c r="F802" s="357">
        <f t="shared" ca="1" si="358"/>
        <v>2.0408638094965146</v>
      </c>
      <c r="G802" s="359">
        <f t="shared" ca="1" si="359"/>
        <v>4.9892984427090337</v>
      </c>
      <c r="H802" s="360">
        <f t="shared" ca="1" si="360"/>
        <v>-55.871797270096856</v>
      </c>
      <c r="I802" s="357">
        <f t="shared" ca="1" si="361"/>
        <v>56.094124729255036</v>
      </c>
      <c r="J802" s="359">
        <f t="shared" ca="1" si="362"/>
        <v>184.26379383972827</v>
      </c>
      <c r="K802" s="360">
        <f t="shared" ca="1" si="363"/>
        <v>-7.4774288609000177</v>
      </c>
      <c r="L802" s="357">
        <f t="shared" ca="1" si="348"/>
        <v>184.41544854642657</v>
      </c>
      <c r="M802" s="359">
        <f t="shared" ca="1" si="364"/>
        <v>-1.4817335134939051</v>
      </c>
      <c r="N802" s="357">
        <f t="shared" ca="1" si="365"/>
        <v>-84.897076686291584</v>
      </c>
      <c r="O802" s="343"/>
      <c r="P802" s="363">
        <f t="shared" ca="1" si="366"/>
        <v>23</v>
      </c>
      <c r="Q802" s="357">
        <f t="shared" ca="1" si="367"/>
        <v>0</v>
      </c>
      <c r="R802" s="359">
        <f t="shared" ca="1" si="368"/>
        <v>0</v>
      </c>
      <c r="S802" s="360">
        <f t="shared" ca="1" si="369"/>
        <v>0.42898953648292248</v>
      </c>
      <c r="T802" s="357">
        <f t="shared" ca="1" si="349"/>
        <v>4.2083873528974696</v>
      </c>
      <c r="U802" s="364">
        <f t="shared" ca="1" si="350"/>
        <v>0</v>
      </c>
      <c r="V802" s="359">
        <f t="shared" ca="1" si="351"/>
        <v>1.2259163276241916</v>
      </c>
      <c r="W802" s="357">
        <f t="shared" ca="1" si="352"/>
        <v>3.4002772250784599</v>
      </c>
      <c r="X802" s="343"/>
      <c r="Y802" s="367" t="str">
        <f t="shared" ca="1" si="370"/>
        <v/>
      </c>
      <c r="Z802" s="368" t="str">
        <f t="shared" ca="1" si="371"/>
        <v/>
      </c>
      <c r="AA802" s="369" t="str">
        <f t="shared" ca="1" si="372"/>
        <v/>
      </c>
      <c r="AB802" s="344"/>
      <c r="AC802" s="363" t="e">
        <f t="shared" ca="1" si="373"/>
        <v>#N/A</v>
      </c>
      <c r="AD802" s="376" t="e">
        <f t="shared" ca="1" si="374"/>
        <v>#N/A</v>
      </c>
      <c r="AE802" s="377" t="e">
        <f t="shared" ca="1" si="353"/>
        <v>#N/A</v>
      </c>
      <c r="AF802" s="344"/>
      <c r="AG802" s="359">
        <f t="shared" ca="1" si="375"/>
        <v>1.8449260925518285</v>
      </c>
      <c r="AH802" s="357">
        <f t="shared" ca="1" si="376"/>
        <v>-7.9261908956980793</v>
      </c>
    </row>
    <row r="803" spans="1:34">
      <c r="A803" s="402">
        <f t="shared" ca="1" si="354"/>
        <v>1E-4</v>
      </c>
      <c r="B803" s="357">
        <f t="shared" ca="1" si="355"/>
        <v>16.944999999999869</v>
      </c>
      <c r="C803" s="342"/>
      <c r="D803" s="359">
        <f t="shared" ca="1" si="356"/>
        <v>-0.70500100167564839</v>
      </c>
      <c r="E803" s="360">
        <f t="shared" ca="1" si="357"/>
        <v>-1.9151679924262757</v>
      </c>
      <c r="F803" s="357">
        <f t="shared" ca="1" si="358"/>
        <v>2.040807401882343</v>
      </c>
      <c r="G803" s="359">
        <f t="shared" ca="1" si="359"/>
        <v>4.9892279426088662</v>
      </c>
      <c r="H803" s="360">
        <f t="shared" ca="1" si="360"/>
        <v>-55.871988786896097</v>
      </c>
      <c r="I803" s="357">
        <f t="shared" ca="1" si="361"/>
        <v>56.094309216411183</v>
      </c>
      <c r="J803" s="359">
        <f t="shared" ca="1" si="362"/>
        <v>184.26379383972827</v>
      </c>
      <c r="K803" s="360">
        <f t="shared" ca="1" si="363"/>
        <v>-7.4830160502028678</v>
      </c>
      <c r="L803" s="357">
        <f t="shared" ca="1" si="348"/>
        <v>184.41567517273978</v>
      </c>
      <c r="M803" s="359">
        <f t="shared" ca="1" si="364"/>
        <v>-1.4817350690021238</v>
      </c>
      <c r="N803" s="357">
        <f t="shared" ca="1" si="365"/>
        <v>-84.897165810347502</v>
      </c>
      <c r="O803" s="343"/>
      <c r="P803" s="363">
        <f t="shared" ca="1" si="366"/>
        <v>23</v>
      </c>
      <c r="Q803" s="357">
        <f t="shared" ca="1" si="367"/>
        <v>0</v>
      </c>
      <c r="R803" s="359">
        <f t="shared" ca="1" si="368"/>
        <v>0</v>
      </c>
      <c r="S803" s="360">
        <f t="shared" ca="1" si="369"/>
        <v>0.42898953648292248</v>
      </c>
      <c r="T803" s="357">
        <f t="shared" ca="1" si="349"/>
        <v>4.2083873528974696</v>
      </c>
      <c r="U803" s="364">
        <f t="shared" ca="1" si="350"/>
        <v>0</v>
      </c>
      <c r="V803" s="359">
        <f t="shared" ca="1" si="351"/>
        <v>1.2259170125671379</v>
      </c>
      <c r="W803" s="357">
        <f t="shared" ca="1" si="352"/>
        <v>3.4003014911730358</v>
      </c>
      <c r="X803" s="343"/>
      <c r="Y803" s="367" t="str">
        <f t="shared" ca="1" si="370"/>
        <v/>
      </c>
      <c r="Z803" s="368" t="str">
        <f t="shared" ca="1" si="371"/>
        <v/>
      </c>
      <c r="AA803" s="369" t="str">
        <f t="shared" ca="1" si="372"/>
        <v/>
      </c>
      <c r="AB803" s="344"/>
      <c r="AC803" s="363" t="e">
        <f t="shared" ca="1" si="373"/>
        <v>#N/A</v>
      </c>
      <c r="AD803" s="376" t="e">
        <f t="shared" ca="1" si="374"/>
        <v>#N/A</v>
      </c>
      <c r="AE803" s="377" t="e">
        <f t="shared" ca="1" si="353"/>
        <v>#N/A</v>
      </c>
      <c r="AF803" s="344"/>
      <c r="AG803" s="359">
        <f t="shared" ca="1" si="375"/>
        <v>1.8448708828373777</v>
      </c>
      <c r="AH803" s="357">
        <f t="shared" ca="1" si="376"/>
        <v>-7.9262474627136283</v>
      </c>
    </row>
    <row r="804" spans="1:34">
      <c r="A804" s="402">
        <f t="shared" ca="1" si="354"/>
        <v>1E-4</v>
      </c>
      <c r="B804" s="357">
        <f t="shared" ca="1" si="355"/>
        <v>16.945099999999869</v>
      </c>
      <c r="C804" s="342"/>
      <c r="D804" s="359">
        <f t="shared" ca="1" si="356"/>
        <v>-0.70499375235408168</v>
      </c>
      <c r="E804" s="360">
        <f t="shared" ca="1" si="357"/>
        <v>-1.9151105542870086</v>
      </c>
      <c r="F804" s="357">
        <f t="shared" ca="1" si="358"/>
        <v>2.0407509955895602</v>
      </c>
      <c r="G804" s="359">
        <f t="shared" ca="1" si="359"/>
        <v>4.9891574432336308</v>
      </c>
      <c r="H804" s="360">
        <f t="shared" ca="1" si="360"/>
        <v>-55.872180297951523</v>
      </c>
      <c r="I804" s="357">
        <f t="shared" ca="1" si="361"/>
        <v>56.094493698046477</v>
      </c>
      <c r="J804" s="359">
        <f t="shared" ca="1" si="362"/>
        <v>184.26379383972827</v>
      </c>
      <c r="K804" s="360">
        <f t="shared" ca="1" si="363"/>
        <v>-7.4886032586571103</v>
      </c>
      <c r="L804" s="357">
        <f t="shared" ca="1" si="348"/>
        <v>184.41590196882549</v>
      </c>
      <c r="M804" s="359">
        <f t="shared" ca="1" si="364"/>
        <v>-1.4817366244781311</v>
      </c>
      <c r="N804" s="357">
        <f t="shared" ca="1" si="365"/>
        <v>-84.897254932557857</v>
      </c>
      <c r="O804" s="343"/>
      <c r="P804" s="363">
        <f t="shared" ca="1" si="366"/>
        <v>23</v>
      </c>
      <c r="Q804" s="357">
        <f t="shared" ca="1" si="367"/>
        <v>0</v>
      </c>
      <c r="R804" s="359">
        <f t="shared" ca="1" si="368"/>
        <v>0</v>
      </c>
      <c r="S804" s="360">
        <f t="shared" ca="1" si="369"/>
        <v>0.42898953648292248</v>
      </c>
      <c r="T804" s="357">
        <f t="shared" ca="1" si="349"/>
        <v>4.2083873528974696</v>
      </c>
      <c r="U804" s="364">
        <f t="shared" ca="1" si="350"/>
        <v>0</v>
      </c>
      <c r="V804" s="359">
        <f t="shared" ca="1" si="351"/>
        <v>1.225917697512815</v>
      </c>
      <c r="W804" s="357">
        <f t="shared" ca="1" si="352"/>
        <v>3.4003257567044147</v>
      </c>
      <c r="X804" s="343"/>
      <c r="Y804" s="367" t="str">
        <f t="shared" ca="1" si="370"/>
        <v/>
      </c>
      <c r="Z804" s="368" t="str">
        <f t="shared" ca="1" si="371"/>
        <v/>
      </c>
      <c r="AA804" s="369" t="str">
        <f t="shared" ca="1" si="372"/>
        <v/>
      </c>
      <c r="AB804" s="344"/>
      <c r="AC804" s="363" t="e">
        <f t="shared" ca="1" si="373"/>
        <v>#N/A</v>
      </c>
      <c r="AD804" s="376" t="e">
        <f t="shared" ca="1" si="374"/>
        <v>#N/A</v>
      </c>
      <c r="AE804" s="377" t="e">
        <f t="shared" ca="1" si="353"/>
        <v>#N/A</v>
      </c>
      <c r="AF804" s="344"/>
      <c r="AG804" s="359">
        <f t="shared" ca="1" si="375"/>
        <v>1.844815674384038</v>
      </c>
      <c r="AH804" s="357">
        <f t="shared" ca="1" si="376"/>
        <v>-7.9263040284163138</v>
      </c>
    </row>
    <row r="805" spans="1:34">
      <c r="A805" s="402">
        <f t="shared" ca="1" si="354"/>
        <v>1E-4</v>
      </c>
      <c r="B805" s="357">
        <f t="shared" ca="1" si="355"/>
        <v>16.945199999999868</v>
      </c>
      <c r="C805" s="342"/>
      <c r="D805" s="359">
        <f t="shared" ca="1" si="356"/>
        <v>-0.70498650299306975</v>
      </c>
      <c r="E805" s="360">
        <f t="shared" ca="1" si="357"/>
        <v>-1.9150531174815422</v>
      </c>
      <c r="F805" s="357">
        <f t="shared" ca="1" si="358"/>
        <v>2.040694590618148</v>
      </c>
      <c r="G805" s="359">
        <f t="shared" ca="1" si="359"/>
        <v>4.989086944583331</v>
      </c>
      <c r="H805" s="360">
        <f t="shared" ca="1" si="360"/>
        <v>-55.87237180326327</v>
      </c>
      <c r="I805" s="357">
        <f t="shared" ca="1" si="361"/>
        <v>56.094678174161054</v>
      </c>
      <c r="J805" s="359">
        <f t="shared" ca="1" si="362"/>
        <v>184.26379383972827</v>
      </c>
      <c r="K805" s="360">
        <f t="shared" ca="1" si="363"/>
        <v>-7.4941904862621707</v>
      </c>
      <c r="L805" s="357">
        <f t="shared" ca="1" si="348"/>
        <v>184.41612893468474</v>
      </c>
      <c r="M805" s="359">
        <f t="shared" ca="1" si="364"/>
        <v>-1.4817381799219285</v>
      </c>
      <c r="N805" s="357">
        <f t="shared" ca="1" si="365"/>
        <v>-84.897344052922719</v>
      </c>
      <c r="O805" s="343"/>
      <c r="P805" s="363">
        <f t="shared" ca="1" si="366"/>
        <v>23</v>
      </c>
      <c r="Q805" s="357">
        <f t="shared" ca="1" si="367"/>
        <v>0</v>
      </c>
      <c r="R805" s="359">
        <f t="shared" ca="1" si="368"/>
        <v>0</v>
      </c>
      <c r="S805" s="360">
        <f t="shared" ca="1" si="369"/>
        <v>0.42898953648292248</v>
      </c>
      <c r="T805" s="357">
        <f t="shared" ca="1" si="349"/>
        <v>4.2083873528974696</v>
      </c>
      <c r="U805" s="364">
        <f t="shared" ca="1" si="350"/>
        <v>0</v>
      </c>
      <c r="V805" s="359">
        <f t="shared" ca="1" si="351"/>
        <v>1.2259183824612223</v>
      </c>
      <c r="W805" s="357">
        <f t="shared" ca="1" si="352"/>
        <v>3.400350021672605</v>
      </c>
      <c r="X805" s="343"/>
      <c r="Y805" s="367" t="str">
        <f t="shared" ca="1" si="370"/>
        <v/>
      </c>
      <c r="Z805" s="368" t="str">
        <f t="shared" ca="1" si="371"/>
        <v/>
      </c>
      <c r="AA805" s="369" t="str">
        <f t="shared" ca="1" si="372"/>
        <v/>
      </c>
      <c r="AB805" s="344"/>
      <c r="AC805" s="363" t="e">
        <f t="shared" ca="1" si="373"/>
        <v>#N/A</v>
      </c>
      <c r="AD805" s="376" t="e">
        <f t="shared" ca="1" si="374"/>
        <v>#N/A</v>
      </c>
      <c r="AE805" s="377" t="e">
        <f t="shared" ca="1" si="353"/>
        <v>#N/A</v>
      </c>
      <c r="AF805" s="344"/>
      <c r="AG805" s="359">
        <f t="shared" ca="1" si="375"/>
        <v>1.8447604671917981</v>
      </c>
      <c r="AH805" s="357">
        <f t="shared" ca="1" si="376"/>
        <v>-7.9263605928061542</v>
      </c>
    </row>
    <row r="806" spans="1:34">
      <c r="A806" s="402">
        <f t="shared" ca="1" si="354"/>
        <v>1E-4</v>
      </c>
      <c r="B806" s="357">
        <f t="shared" ca="1" si="355"/>
        <v>16.945299999999868</v>
      </c>
      <c r="C806" s="342"/>
      <c r="D806" s="359">
        <f t="shared" ca="1" si="356"/>
        <v>-0.70497925359261515</v>
      </c>
      <c r="E806" s="360">
        <f t="shared" ca="1" si="357"/>
        <v>-1.9149956820098568</v>
      </c>
      <c r="F806" s="357">
        <f t="shared" ca="1" si="358"/>
        <v>2.0406381869680863</v>
      </c>
      <c r="G806" s="359">
        <f t="shared" ca="1" si="359"/>
        <v>4.9890164466579714</v>
      </c>
      <c r="H806" s="360">
        <f t="shared" ca="1" si="360"/>
        <v>-55.872563302831473</v>
      </c>
      <c r="I806" s="357">
        <f t="shared" ca="1" si="361"/>
        <v>56.09486264475504</v>
      </c>
      <c r="J806" s="359">
        <f t="shared" ca="1" si="362"/>
        <v>184.26379383972827</v>
      </c>
      <c r="K806" s="360">
        <f t="shared" ca="1" si="363"/>
        <v>-7.4997777330174751</v>
      </c>
      <c r="L806" s="357">
        <f t="shared" ca="1" si="348"/>
        <v>184.41635607031864</v>
      </c>
      <c r="M806" s="359">
        <f t="shared" ca="1" si="364"/>
        <v>-1.4817397353335162</v>
      </c>
      <c r="N806" s="357">
        <f t="shared" ca="1" si="365"/>
        <v>-84.897433171442103</v>
      </c>
      <c r="O806" s="343"/>
      <c r="P806" s="363">
        <f t="shared" ca="1" si="366"/>
        <v>23</v>
      </c>
      <c r="Q806" s="357">
        <f t="shared" ca="1" si="367"/>
        <v>0</v>
      </c>
      <c r="R806" s="359">
        <f t="shared" ca="1" si="368"/>
        <v>0</v>
      </c>
      <c r="S806" s="360">
        <f t="shared" ca="1" si="369"/>
        <v>0.42898953648292248</v>
      </c>
      <c r="T806" s="357">
        <f t="shared" ca="1" si="349"/>
        <v>4.2083873528974696</v>
      </c>
      <c r="U806" s="364">
        <f t="shared" ca="1" si="350"/>
        <v>0</v>
      </c>
      <c r="V806" s="359">
        <f t="shared" ca="1" si="351"/>
        <v>1.2259190674123606</v>
      </c>
      <c r="W806" s="357">
        <f t="shared" ca="1" si="352"/>
        <v>3.4003742860776156</v>
      </c>
      <c r="X806" s="343"/>
      <c r="Y806" s="367" t="str">
        <f t="shared" ca="1" si="370"/>
        <v/>
      </c>
      <c r="Z806" s="368" t="str">
        <f t="shared" ca="1" si="371"/>
        <v/>
      </c>
      <c r="AA806" s="369" t="str">
        <f t="shared" ca="1" si="372"/>
        <v/>
      </c>
      <c r="AB806" s="344"/>
      <c r="AC806" s="363" t="e">
        <f t="shared" ca="1" si="373"/>
        <v>#N/A</v>
      </c>
      <c r="AD806" s="376" t="e">
        <f t="shared" ca="1" si="374"/>
        <v>#N/A</v>
      </c>
      <c r="AE806" s="377" t="e">
        <f t="shared" ca="1" si="353"/>
        <v>#N/A</v>
      </c>
      <c r="AF806" s="344"/>
      <c r="AG806" s="359">
        <f t="shared" ca="1" si="375"/>
        <v>1.8447052612606427</v>
      </c>
      <c r="AH806" s="357">
        <f t="shared" ca="1" si="376"/>
        <v>-7.9264171558831684</v>
      </c>
    </row>
    <row r="807" spans="1:34">
      <c r="A807" s="402">
        <f t="shared" ca="1" si="354"/>
        <v>1E-4</v>
      </c>
      <c r="B807" s="357">
        <f t="shared" ca="1" si="355"/>
        <v>16.945399999999868</v>
      </c>
      <c r="C807" s="342"/>
      <c r="D807" s="359">
        <f t="shared" ca="1" si="356"/>
        <v>-0.70497200415272787</v>
      </c>
      <c r="E807" s="360">
        <f t="shared" ca="1" si="357"/>
        <v>-1.914938247871933</v>
      </c>
      <c r="F807" s="357">
        <f t="shared" ca="1" si="358"/>
        <v>2.040581784639357</v>
      </c>
      <c r="G807" s="359">
        <f t="shared" ca="1" si="359"/>
        <v>4.9889459494575563</v>
      </c>
      <c r="H807" s="360">
        <f t="shared" ca="1" si="360"/>
        <v>-55.87275479665626</v>
      </c>
      <c r="I807" s="357">
        <f t="shared" ca="1" si="361"/>
        <v>56.095047109828549</v>
      </c>
      <c r="J807" s="359">
        <f t="shared" ca="1" si="362"/>
        <v>184.26379383972827</v>
      </c>
      <c r="K807" s="360">
        <f t="shared" ca="1" si="363"/>
        <v>-7.5053649989224498</v>
      </c>
      <c r="L807" s="357">
        <f t="shared" ca="1" si="348"/>
        <v>184.41658337572827</v>
      </c>
      <c r="M807" s="359">
        <f t="shared" ca="1" si="364"/>
        <v>-1.4817412907128957</v>
      </c>
      <c r="N807" s="357">
        <f t="shared" ca="1" si="365"/>
        <v>-84.897522288116093</v>
      </c>
      <c r="O807" s="343"/>
      <c r="P807" s="363">
        <f t="shared" ca="1" si="366"/>
        <v>23</v>
      </c>
      <c r="Q807" s="357">
        <f t="shared" ca="1" si="367"/>
        <v>0</v>
      </c>
      <c r="R807" s="359">
        <f t="shared" ca="1" si="368"/>
        <v>0</v>
      </c>
      <c r="S807" s="360">
        <f t="shared" ca="1" si="369"/>
        <v>0.42898953648292248</v>
      </c>
      <c r="T807" s="357">
        <f t="shared" ca="1" si="349"/>
        <v>4.2083873528974696</v>
      </c>
      <c r="U807" s="364">
        <f t="shared" ca="1" si="350"/>
        <v>0</v>
      </c>
      <c r="V807" s="359">
        <f t="shared" ca="1" si="351"/>
        <v>1.2259197523662291</v>
      </c>
      <c r="W807" s="357">
        <f t="shared" ca="1" si="352"/>
        <v>3.4003985499194518</v>
      </c>
      <c r="X807" s="343"/>
      <c r="Y807" s="367" t="str">
        <f t="shared" ca="1" si="370"/>
        <v/>
      </c>
      <c r="Z807" s="368" t="str">
        <f t="shared" ca="1" si="371"/>
        <v/>
      </c>
      <c r="AA807" s="369" t="str">
        <f t="shared" ca="1" si="372"/>
        <v/>
      </c>
      <c r="AB807" s="344"/>
      <c r="AC807" s="363" t="e">
        <f t="shared" ca="1" si="373"/>
        <v>#N/A</v>
      </c>
      <c r="AD807" s="376" t="e">
        <f t="shared" ca="1" si="374"/>
        <v>#N/A</v>
      </c>
      <c r="AE807" s="377" t="e">
        <f t="shared" ca="1" si="353"/>
        <v>#N/A</v>
      </c>
      <c r="AF807" s="344"/>
      <c r="AG807" s="359">
        <f t="shared" ca="1" si="375"/>
        <v>1.8446500565905461</v>
      </c>
      <c r="AH807" s="357">
        <f t="shared" ca="1" si="376"/>
        <v>-7.9264737176473767</v>
      </c>
    </row>
    <row r="808" spans="1:34">
      <c r="A808" s="402">
        <f t="shared" ca="1" si="354"/>
        <v>1E-4</v>
      </c>
      <c r="B808" s="357">
        <f t="shared" ca="1" si="355"/>
        <v>16.945499999999868</v>
      </c>
      <c r="C808" s="342"/>
      <c r="D808" s="359">
        <f t="shared" ca="1" si="356"/>
        <v>-0.70496475467341013</v>
      </c>
      <c r="E808" s="360">
        <f t="shared" ca="1" si="357"/>
        <v>-1.9148808150677565</v>
      </c>
      <c r="F808" s="357">
        <f t="shared" ca="1" si="358"/>
        <v>2.040525383631945</v>
      </c>
      <c r="G808" s="359">
        <f t="shared" ca="1" si="359"/>
        <v>4.9888754529820893</v>
      </c>
      <c r="H808" s="360">
        <f t="shared" ca="1" si="360"/>
        <v>-55.872946284737765</v>
      </c>
      <c r="I808" s="357">
        <f t="shared" ca="1" si="361"/>
        <v>56.095231569381717</v>
      </c>
      <c r="J808" s="359">
        <f t="shared" ca="1" si="362"/>
        <v>184.26379383972827</v>
      </c>
      <c r="K808" s="360">
        <f t="shared" ca="1" si="363"/>
        <v>-7.5109522839765193</v>
      </c>
      <c r="L808" s="357">
        <f t="shared" ca="1" si="348"/>
        <v>184.41681085091471</v>
      </c>
      <c r="M808" s="359">
        <f t="shared" ca="1" si="364"/>
        <v>-1.4817428460600679</v>
      </c>
      <c r="N808" s="357">
        <f t="shared" ca="1" si="365"/>
        <v>-84.897611402944733</v>
      </c>
      <c r="O808" s="343"/>
      <c r="P808" s="363">
        <f t="shared" ca="1" si="366"/>
        <v>23</v>
      </c>
      <c r="Q808" s="357">
        <f t="shared" ca="1" si="367"/>
        <v>0</v>
      </c>
      <c r="R808" s="359">
        <f t="shared" ca="1" si="368"/>
        <v>0</v>
      </c>
      <c r="S808" s="360">
        <f t="shared" ca="1" si="369"/>
        <v>0.42898953648292248</v>
      </c>
      <c r="T808" s="357">
        <f t="shared" ca="1" si="349"/>
        <v>4.2083873528974696</v>
      </c>
      <c r="U808" s="364">
        <f t="shared" ca="1" si="350"/>
        <v>0</v>
      </c>
      <c r="V808" s="359">
        <f t="shared" ca="1" si="351"/>
        <v>1.2259204373228278</v>
      </c>
      <c r="W808" s="357">
        <f t="shared" ca="1" si="352"/>
        <v>3.4004228131981207</v>
      </c>
      <c r="X808" s="343"/>
      <c r="Y808" s="367" t="str">
        <f t="shared" ca="1" si="370"/>
        <v/>
      </c>
      <c r="Z808" s="368" t="str">
        <f t="shared" ca="1" si="371"/>
        <v/>
      </c>
      <c r="AA808" s="369" t="str">
        <f t="shared" ca="1" si="372"/>
        <v/>
      </c>
      <c r="AB808" s="344"/>
      <c r="AC808" s="363" t="e">
        <f t="shared" ca="1" si="373"/>
        <v>#N/A</v>
      </c>
      <c r="AD808" s="376" t="e">
        <f t="shared" ca="1" si="374"/>
        <v>#N/A</v>
      </c>
      <c r="AE808" s="377" t="e">
        <f t="shared" ca="1" si="353"/>
        <v>#N/A</v>
      </c>
      <c r="AF808" s="344"/>
      <c r="AG808" s="359">
        <f t="shared" ca="1" si="375"/>
        <v>1.8445948531815057</v>
      </c>
      <c r="AH808" s="357">
        <f t="shared" ca="1" si="376"/>
        <v>-7.9265302780987925</v>
      </c>
    </row>
    <row r="809" spans="1:34">
      <c r="A809" s="402">
        <f t="shared" ca="1" si="354"/>
        <v>1E-4</v>
      </c>
      <c r="B809" s="357">
        <f t="shared" ca="1" si="355"/>
        <v>16.945599999999867</v>
      </c>
      <c r="C809" s="342"/>
      <c r="D809" s="359">
        <f t="shared" ca="1" si="356"/>
        <v>-0.70495750515466826</v>
      </c>
      <c r="E809" s="360">
        <f t="shared" ca="1" si="357"/>
        <v>-1.9148233835973105</v>
      </c>
      <c r="F809" s="357">
        <f t="shared" ca="1" si="358"/>
        <v>2.0404689839458348</v>
      </c>
      <c r="G809" s="359">
        <f t="shared" ca="1" si="359"/>
        <v>4.988804957231574</v>
      </c>
      <c r="H809" s="360">
        <f t="shared" ca="1" si="360"/>
        <v>-55.873137767076123</v>
      </c>
      <c r="I809" s="357">
        <f t="shared" ca="1" si="361"/>
        <v>56.095416023414664</v>
      </c>
      <c r="J809" s="359">
        <f t="shared" ca="1" si="362"/>
        <v>184.26379383972827</v>
      </c>
      <c r="K809" s="360">
        <f t="shared" ca="1" si="363"/>
        <v>-7.5165395881791097</v>
      </c>
      <c r="L809" s="357">
        <f t="shared" ca="1" si="348"/>
        <v>184.41703849587907</v>
      </c>
      <c r="M809" s="359">
        <f t="shared" ca="1" si="364"/>
        <v>-1.4817444013750334</v>
      </c>
      <c r="N809" s="357">
        <f t="shared" ca="1" si="365"/>
        <v>-84.897700515928065</v>
      </c>
      <c r="O809" s="343"/>
      <c r="P809" s="363">
        <f t="shared" ca="1" si="366"/>
        <v>23</v>
      </c>
      <c r="Q809" s="357">
        <f t="shared" ca="1" si="367"/>
        <v>0</v>
      </c>
      <c r="R809" s="359">
        <f t="shared" ca="1" si="368"/>
        <v>0</v>
      </c>
      <c r="S809" s="360">
        <f t="shared" ca="1" si="369"/>
        <v>0.42898953648292248</v>
      </c>
      <c r="T809" s="357">
        <f t="shared" ca="1" si="349"/>
        <v>4.2083873528974696</v>
      </c>
      <c r="U809" s="364">
        <f t="shared" ca="1" si="350"/>
        <v>0</v>
      </c>
      <c r="V809" s="359">
        <f t="shared" ca="1" si="351"/>
        <v>1.2259211222821569</v>
      </c>
      <c r="W809" s="357">
        <f t="shared" ca="1" si="352"/>
        <v>3.400447075913632</v>
      </c>
      <c r="X809" s="343"/>
      <c r="Y809" s="367" t="str">
        <f t="shared" ca="1" si="370"/>
        <v/>
      </c>
      <c r="Z809" s="368" t="str">
        <f t="shared" ca="1" si="371"/>
        <v/>
      </c>
      <c r="AA809" s="369" t="str">
        <f t="shared" ca="1" si="372"/>
        <v/>
      </c>
      <c r="AB809" s="344"/>
      <c r="AC809" s="363" t="e">
        <f t="shared" ca="1" si="373"/>
        <v>#N/A</v>
      </c>
      <c r="AD809" s="376" t="e">
        <f t="shared" ca="1" si="374"/>
        <v>#N/A</v>
      </c>
      <c r="AE809" s="377" t="e">
        <f t="shared" ca="1" si="353"/>
        <v>#N/A</v>
      </c>
      <c r="AF809" s="344"/>
      <c r="AG809" s="359">
        <f t="shared" ca="1" si="375"/>
        <v>1.8445396510334993</v>
      </c>
      <c r="AH809" s="357">
        <f t="shared" ca="1" si="376"/>
        <v>-7.9265868372374326</v>
      </c>
    </row>
    <row r="810" spans="1:34">
      <c r="A810" s="402">
        <f t="shared" ca="1" si="354"/>
        <v>1E-4</v>
      </c>
      <c r="B810" s="357">
        <f t="shared" ca="1" si="355"/>
        <v>16.945699999999867</v>
      </c>
      <c r="C810" s="342"/>
      <c r="D810" s="359">
        <f t="shared" ca="1" si="356"/>
        <v>-0.70495025559651048</v>
      </c>
      <c r="E810" s="360">
        <f t="shared" ca="1" si="357"/>
        <v>-1.9147659534605728</v>
      </c>
      <c r="F810" s="357">
        <f t="shared" ca="1" si="358"/>
        <v>2.0404125855810049</v>
      </c>
      <c r="G810" s="359">
        <f t="shared" ca="1" si="359"/>
        <v>4.9887344622060148</v>
      </c>
      <c r="H810" s="360">
        <f t="shared" ca="1" si="360"/>
        <v>-55.873329243671471</v>
      </c>
      <c r="I810" s="357">
        <f t="shared" ca="1" si="361"/>
        <v>56.095600471927526</v>
      </c>
      <c r="J810" s="359">
        <f t="shared" ca="1" si="362"/>
        <v>184.26379383972827</v>
      </c>
      <c r="K810" s="360">
        <f t="shared" ca="1" si="363"/>
        <v>-7.5221269115296474</v>
      </c>
      <c r="L810" s="357">
        <f t="shared" ca="1" si="348"/>
        <v>184.41726631062244</v>
      </c>
      <c r="M810" s="359">
        <f t="shared" ca="1" si="364"/>
        <v>-1.4817459566577931</v>
      </c>
      <c r="N810" s="357">
        <f t="shared" ca="1" si="365"/>
        <v>-84.897789627066146</v>
      </c>
      <c r="O810" s="343"/>
      <c r="P810" s="363">
        <f t="shared" ca="1" si="366"/>
        <v>23</v>
      </c>
      <c r="Q810" s="357">
        <f t="shared" ca="1" si="367"/>
        <v>0</v>
      </c>
      <c r="R810" s="359">
        <f t="shared" ca="1" si="368"/>
        <v>0</v>
      </c>
      <c r="S810" s="360">
        <f t="shared" ca="1" si="369"/>
        <v>0.42898953648292248</v>
      </c>
      <c r="T810" s="357">
        <f t="shared" ca="1" si="349"/>
        <v>4.2083873528974696</v>
      </c>
      <c r="U810" s="364">
        <f t="shared" ca="1" si="350"/>
        <v>0</v>
      </c>
      <c r="V810" s="359">
        <f t="shared" ca="1" si="351"/>
        <v>1.2259218072442162</v>
      </c>
      <c r="W810" s="357">
        <f t="shared" ca="1" si="352"/>
        <v>3.400471338065993</v>
      </c>
      <c r="X810" s="343"/>
      <c r="Y810" s="367" t="str">
        <f t="shared" ca="1" si="370"/>
        <v/>
      </c>
      <c r="Z810" s="368" t="str">
        <f t="shared" ca="1" si="371"/>
        <v/>
      </c>
      <c r="AA810" s="369" t="str">
        <f t="shared" ca="1" si="372"/>
        <v/>
      </c>
      <c r="AB810" s="344"/>
      <c r="AC810" s="363" t="e">
        <f t="shared" ca="1" si="373"/>
        <v>#N/A</v>
      </c>
      <c r="AD810" s="376" t="e">
        <f t="shared" ca="1" si="374"/>
        <v>#N/A</v>
      </c>
      <c r="AE810" s="377" t="e">
        <f t="shared" ca="1" si="353"/>
        <v>#N/A</v>
      </c>
      <c r="AF810" s="344"/>
      <c r="AG810" s="359">
        <f t="shared" ca="1" si="375"/>
        <v>1.8444844501465125</v>
      </c>
      <c r="AH810" s="357">
        <f t="shared" ca="1" si="376"/>
        <v>-7.9266433950633184</v>
      </c>
    </row>
    <row r="811" spans="1:34">
      <c r="A811" s="402">
        <f t="shared" ca="1" si="354"/>
        <v>1E-4</v>
      </c>
      <c r="B811" s="357">
        <f t="shared" ca="1" si="355"/>
        <v>16.945799999999867</v>
      </c>
      <c r="C811" s="342"/>
      <c r="D811" s="359">
        <f t="shared" ca="1" si="356"/>
        <v>-0.70494300599894288</v>
      </c>
      <c r="E811" s="360">
        <f t="shared" ca="1" si="357"/>
        <v>-1.9147085246575264</v>
      </c>
      <c r="F811" s="357">
        <f t="shared" ca="1" si="358"/>
        <v>2.0403561885374395</v>
      </c>
      <c r="G811" s="359">
        <f t="shared" ca="1" si="359"/>
        <v>4.9886639679054152</v>
      </c>
      <c r="H811" s="360">
        <f t="shared" ca="1" si="360"/>
        <v>-55.873520714523934</v>
      </c>
      <c r="I811" s="357">
        <f t="shared" ca="1" si="361"/>
        <v>56.095784914920415</v>
      </c>
      <c r="J811" s="359">
        <f t="shared" ca="1" si="362"/>
        <v>184.26379383972827</v>
      </c>
      <c r="K811" s="360">
        <f t="shared" ca="1" si="363"/>
        <v>-7.5277142540275568</v>
      </c>
      <c r="L811" s="357">
        <f t="shared" ca="1" si="348"/>
        <v>184.4174942951459</v>
      </c>
      <c r="M811" s="359">
        <f t="shared" ca="1" si="364"/>
        <v>-1.4817475119083483</v>
      </c>
      <c r="N811" s="357">
        <f t="shared" ca="1" si="365"/>
        <v>-84.897878736359047</v>
      </c>
      <c r="O811" s="343"/>
      <c r="P811" s="363">
        <f t="shared" ca="1" si="366"/>
        <v>23</v>
      </c>
      <c r="Q811" s="357">
        <f t="shared" ca="1" si="367"/>
        <v>0</v>
      </c>
      <c r="R811" s="359">
        <f t="shared" ca="1" si="368"/>
        <v>0</v>
      </c>
      <c r="S811" s="360">
        <f t="shared" ca="1" si="369"/>
        <v>0.42898953648292248</v>
      </c>
      <c r="T811" s="357">
        <f t="shared" ca="1" si="349"/>
        <v>4.2083873528974696</v>
      </c>
      <c r="U811" s="364">
        <f t="shared" ca="1" si="350"/>
        <v>0</v>
      </c>
      <c r="V811" s="359">
        <f t="shared" ca="1" si="351"/>
        <v>1.2259224922090062</v>
      </c>
      <c r="W811" s="357">
        <f t="shared" ca="1" si="352"/>
        <v>3.4004955996552124</v>
      </c>
      <c r="X811" s="343"/>
      <c r="Y811" s="367" t="str">
        <f t="shared" ca="1" si="370"/>
        <v/>
      </c>
      <c r="Z811" s="368" t="str">
        <f t="shared" ca="1" si="371"/>
        <v/>
      </c>
      <c r="AA811" s="369" t="str">
        <f t="shared" ca="1" si="372"/>
        <v/>
      </c>
      <c r="AB811" s="344"/>
      <c r="AC811" s="363" t="e">
        <f t="shared" ca="1" si="373"/>
        <v>#N/A</v>
      </c>
      <c r="AD811" s="376" t="e">
        <f t="shared" ca="1" si="374"/>
        <v>#N/A</v>
      </c>
      <c r="AE811" s="377" t="e">
        <f t="shared" ca="1" si="353"/>
        <v>#N/A</v>
      </c>
      <c r="AF811" s="344"/>
      <c r="AG811" s="359">
        <f t="shared" ca="1" si="375"/>
        <v>1.8444292505205295</v>
      </c>
      <c r="AH811" s="357">
        <f t="shared" ca="1" si="376"/>
        <v>-7.9266999515764676</v>
      </c>
    </row>
    <row r="812" spans="1:34">
      <c r="A812" s="402">
        <f t="shared" ca="1" si="354"/>
        <v>1E-4</v>
      </c>
      <c r="B812" s="357">
        <f t="shared" ca="1" si="355"/>
        <v>16.945899999999867</v>
      </c>
      <c r="C812" s="342"/>
      <c r="D812" s="359">
        <f t="shared" ca="1" si="356"/>
        <v>-0.70493575636196859</v>
      </c>
      <c r="E812" s="360">
        <f t="shared" ca="1" si="357"/>
        <v>-1.9146510971881492</v>
      </c>
      <c r="F812" s="357">
        <f t="shared" ca="1" si="358"/>
        <v>2.0402997928151159</v>
      </c>
      <c r="G812" s="359">
        <f t="shared" ca="1" si="359"/>
        <v>4.9885934743297788</v>
      </c>
      <c r="H812" s="360">
        <f t="shared" ca="1" si="360"/>
        <v>-55.873712179633657</v>
      </c>
      <c r="I812" s="357">
        <f t="shared" ca="1" si="361"/>
        <v>56.095969352393482</v>
      </c>
      <c r="J812" s="359">
        <f t="shared" ca="1" si="362"/>
        <v>184.26379383972827</v>
      </c>
      <c r="K812" s="360">
        <f t="shared" ca="1" si="363"/>
        <v>-7.533301615672265</v>
      </c>
      <c r="L812" s="357">
        <f t="shared" ca="1" si="348"/>
        <v>184.41772244945054</v>
      </c>
      <c r="M812" s="359">
        <f t="shared" ca="1" si="364"/>
        <v>-1.4817490671266997</v>
      </c>
      <c r="N812" s="357">
        <f t="shared" ca="1" si="365"/>
        <v>-84.897967843806811</v>
      </c>
      <c r="O812" s="343"/>
      <c r="P812" s="363">
        <f t="shared" ca="1" si="366"/>
        <v>23</v>
      </c>
      <c r="Q812" s="357">
        <f t="shared" ca="1" si="367"/>
        <v>0</v>
      </c>
      <c r="R812" s="359">
        <f t="shared" ca="1" si="368"/>
        <v>0</v>
      </c>
      <c r="S812" s="360">
        <f t="shared" ca="1" si="369"/>
        <v>0.42898953648292248</v>
      </c>
      <c r="T812" s="357">
        <f t="shared" ca="1" si="349"/>
        <v>4.2083873528974696</v>
      </c>
      <c r="U812" s="364">
        <f t="shared" ca="1" si="350"/>
        <v>0</v>
      </c>
      <c r="V812" s="359">
        <f t="shared" ca="1" si="351"/>
        <v>1.2259231771765258</v>
      </c>
      <c r="W812" s="357">
        <f t="shared" ca="1" si="352"/>
        <v>3.4005198606812961</v>
      </c>
      <c r="X812" s="343"/>
      <c r="Y812" s="367" t="str">
        <f t="shared" ca="1" si="370"/>
        <v/>
      </c>
      <c r="Z812" s="368" t="str">
        <f t="shared" ca="1" si="371"/>
        <v/>
      </c>
      <c r="AA812" s="369" t="str">
        <f t="shared" ca="1" si="372"/>
        <v/>
      </c>
      <c r="AB812" s="344"/>
      <c r="AC812" s="363" t="e">
        <f t="shared" ca="1" si="373"/>
        <v>#N/A</v>
      </c>
      <c r="AD812" s="376" t="e">
        <f t="shared" ca="1" si="374"/>
        <v>#N/A</v>
      </c>
      <c r="AE812" s="377" t="e">
        <f t="shared" ca="1" si="353"/>
        <v>#N/A</v>
      </c>
      <c r="AF812" s="344"/>
      <c r="AG812" s="359">
        <f t="shared" ca="1" si="375"/>
        <v>1.8443740521555316</v>
      </c>
      <c r="AH812" s="357">
        <f t="shared" ca="1" si="376"/>
        <v>-7.9267565067769006</v>
      </c>
    </row>
    <row r="813" spans="1:34">
      <c r="A813" s="402">
        <f t="shared" ca="1" si="354"/>
        <v>1E-4</v>
      </c>
      <c r="B813" s="357">
        <f t="shared" ca="1" si="355"/>
        <v>16.945999999999867</v>
      </c>
      <c r="C813" s="342"/>
      <c r="D813" s="359">
        <f t="shared" ca="1" si="356"/>
        <v>-0.70492850668559504</v>
      </c>
      <c r="E813" s="360">
        <f t="shared" ca="1" si="357"/>
        <v>-1.9145936710524278</v>
      </c>
      <c r="F813" s="357">
        <f t="shared" ca="1" si="358"/>
        <v>2.0402433984140216</v>
      </c>
      <c r="G813" s="359">
        <f t="shared" ca="1" si="359"/>
        <v>4.9885229814791101</v>
      </c>
      <c r="H813" s="360">
        <f t="shared" ca="1" si="360"/>
        <v>-55.873903639000758</v>
      </c>
      <c r="I813" s="357">
        <f t="shared" ca="1" si="361"/>
        <v>56.096153784346818</v>
      </c>
      <c r="J813" s="359">
        <f t="shared" ca="1" si="362"/>
        <v>184.26379383972827</v>
      </c>
      <c r="K813" s="360">
        <f t="shared" ca="1" si="363"/>
        <v>-7.5388889964631964</v>
      </c>
      <c r="L813" s="357">
        <f t="shared" ca="1" si="348"/>
        <v>184.41795077353746</v>
      </c>
      <c r="M813" s="359">
        <f t="shared" ca="1" si="364"/>
        <v>-1.4817506223128483</v>
      </c>
      <c r="N813" s="357">
        <f t="shared" ca="1" si="365"/>
        <v>-84.898056949409479</v>
      </c>
      <c r="O813" s="343"/>
      <c r="P813" s="363">
        <f t="shared" ca="1" si="366"/>
        <v>23</v>
      </c>
      <c r="Q813" s="357">
        <f t="shared" ca="1" si="367"/>
        <v>0</v>
      </c>
      <c r="R813" s="359">
        <f t="shared" ca="1" si="368"/>
        <v>0</v>
      </c>
      <c r="S813" s="360">
        <f t="shared" ca="1" si="369"/>
        <v>0.42898953648292248</v>
      </c>
      <c r="T813" s="357">
        <f t="shared" ca="1" si="349"/>
        <v>4.2083873528974696</v>
      </c>
      <c r="U813" s="364">
        <f t="shared" ca="1" si="350"/>
        <v>0</v>
      </c>
      <c r="V813" s="359">
        <f t="shared" ca="1" si="351"/>
        <v>1.2259238621467754</v>
      </c>
      <c r="W813" s="357">
        <f t="shared" ca="1" si="352"/>
        <v>3.4005441211442511</v>
      </c>
      <c r="X813" s="343"/>
      <c r="Y813" s="367" t="str">
        <f t="shared" ca="1" si="370"/>
        <v/>
      </c>
      <c r="Z813" s="368" t="str">
        <f t="shared" ca="1" si="371"/>
        <v/>
      </c>
      <c r="AA813" s="369" t="str">
        <f t="shared" ca="1" si="372"/>
        <v/>
      </c>
      <c r="AB813" s="344"/>
      <c r="AC813" s="363" t="e">
        <f t="shared" ca="1" si="373"/>
        <v>#N/A</v>
      </c>
      <c r="AD813" s="376" t="e">
        <f t="shared" ca="1" si="374"/>
        <v>#N/A</v>
      </c>
      <c r="AE813" s="377" t="e">
        <f t="shared" ca="1" si="353"/>
        <v>#N/A</v>
      </c>
      <c r="AF813" s="344"/>
      <c r="AG813" s="359">
        <f t="shared" ca="1" si="375"/>
        <v>1.8443188550515073</v>
      </c>
      <c r="AH813" s="357">
        <f t="shared" ca="1" si="376"/>
        <v>-7.9268130606646308</v>
      </c>
    </row>
    <row r="814" spans="1:34">
      <c r="A814" s="402">
        <f t="shared" ca="1" si="354"/>
        <v>1E-4</v>
      </c>
      <c r="B814" s="357">
        <f t="shared" ca="1" si="355"/>
        <v>16.946099999999866</v>
      </c>
      <c r="C814" s="342"/>
      <c r="D814" s="359">
        <f t="shared" ca="1" si="356"/>
        <v>-0.70492125696982832</v>
      </c>
      <c r="E814" s="360">
        <f t="shared" ca="1" si="357"/>
        <v>-1.9145362462503455</v>
      </c>
      <c r="F814" s="357">
        <f t="shared" ca="1" si="358"/>
        <v>2.0401870053341398</v>
      </c>
      <c r="G814" s="359">
        <f t="shared" ca="1" si="359"/>
        <v>4.9884524893534135</v>
      </c>
      <c r="H814" s="360">
        <f t="shared" ca="1" si="360"/>
        <v>-55.874095092625382</v>
      </c>
      <c r="I814" s="357">
        <f t="shared" ca="1" si="361"/>
        <v>56.096338210780566</v>
      </c>
      <c r="J814" s="359">
        <f t="shared" ca="1" si="362"/>
        <v>184.26379383972827</v>
      </c>
      <c r="K814" s="360">
        <f t="shared" ca="1" si="363"/>
        <v>-7.5444763963997774</v>
      </c>
      <c r="L814" s="357">
        <f t="shared" ca="1" si="348"/>
        <v>184.41817926740768</v>
      </c>
      <c r="M814" s="359">
        <f t="shared" ca="1" si="364"/>
        <v>-1.481752177466795</v>
      </c>
      <c r="N814" s="357">
        <f t="shared" ca="1" si="365"/>
        <v>-84.89814605316711</v>
      </c>
      <c r="O814" s="343"/>
      <c r="P814" s="363">
        <f t="shared" ca="1" si="366"/>
        <v>23</v>
      </c>
      <c r="Q814" s="357">
        <f t="shared" ca="1" si="367"/>
        <v>0</v>
      </c>
      <c r="R814" s="359">
        <f t="shared" ca="1" si="368"/>
        <v>0</v>
      </c>
      <c r="S814" s="360">
        <f t="shared" ca="1" si="369"/>
        <v>0.42898953648292248</v>
      </c>
      <c r="T814" s="357">
        <f t="shared" ca="1" si="349"/>
        <v>4.2083873528974696</v>
      </c>
      <c r="U814" s="364">
        <f t="shared" ca="1" si="350"/>
        <v>0</v>
      </c>
      <c r="V814" s="359">
        <f t="shared" ca="1" si="351"/>
        <v>1.2259245471197553</v>
      </c>
      <c r="W814" s="357">
        <f t="shared" ca="1" si="352"/>
        <v>3.4005683810440854</v>
      </c>
      <c r="X814" s="343"/>
      <c r="Y814" s="367" t="str">
        <f t="shared" ca="1" si="370"/>
        <v/>
      </c>
      <c r="Z814" s="368" t="str">
        <f t="shared" ca="1" si="371"/>
        <v/>
      </c>
      <c r="AA814" s="369" t="str">
        <f t="shared" ca="1" si="372"/>
        <v/>
      </c>
      <c r="AB814" s="344"/>
      <c r="AC814" s="363" t="e">
        <f t="shared" ca="1" si="373"/>
        <v>#N/A</v>
      </c>
      <c r="AD814" s="376" t="e">
        <f t="shared" ca="1" si="374"/>
        <v>#N/A</v>
      </c>
      <c r="AE814" s="377" t="e">
        <f t="shared" ca="1" si="353"/>
        <v>#N/A</v>
      </c>
      <c r="AF814" s="344"/>
      <c r="AG814" s="359">
        <f t="shared" ca="1" si="375"/>
        <v>1.8442636592084414</v>
      </c>
      <c r="AH814" s="357">
        <f t="shared" ca="1" si="376"/>
        <v>-7.926869613239675</v>
      </c>
    </row>
    <row r="815" spans="1:34">
      <c r="A815" s="402">
        <f t="shared" ca="1" si="354"/>
        <v>1E-4</v>
      </c>
      <c r="B815" s="357">
        <f t="shared" ca="1" si="355"/>
        <v>16.946199999999866</v>
      </c>
      <c r="C815" s="342"/>
      <c r="D815" s="359">
        <f t="shared" ca="1" si="356"/>
        <v>-0.70491400721467301</v>
      </c>
      <c r="E815" s="360">
        <f t="shared" ca="1" si="357"/>
        <v>-1.9144788227818843</v>
      </c>
      <c r="F815" s="357">
        <f t="shared" ca="1" si="358"/>
        <v>2.040130613575454</v>
      </c>
      <c r="G815" s="359">
        <f t="shared" ca="1" si="359"/>
        <v>4.9883819979526915</v>
      </c>
      <c r="H815" s="360">
        <f t="shared" ca="1" si="360"/>
        <v>-55.874286540507661</v>
      </c>
      <c r="I815" s="357">
        <f t="shared" ca="1" si="361"/>
        <v>56.096522631694867</v>
      </c>
      <c r="J815" s="359">
        <f t="shared" ca="1" si="362"/>
        <v>184.26379383972827</v>
      </c>
      <c r="K815" s="360">
        <f t="shared" ca="1" si="363"/>
        <v>-7.5500638154814341</v>
      </c>
      <c r="L815" s="357">
        <f t="shared" ca="1" si="348"/>
        <v>184.41840793106235</v>
      </c>
      <c r="M815" s="359">
        <f t="shared" ca="1" si="364"/>
        <v>-1.4817537325885406</v>
      </c>
      <c r="N815" s="357">
        <f t="shared" ca="1" si="365"/>
        <v>-84.89823515507976</v>
      </c>
      <c r="O815" s="343"/>
      <c r="P815" s="363">
        <f t="shared" ca="1" si="366"/>
        <v>23</v>
      </c>
      <c r="Q815" s="357">
        <f t="shared" ca="1" si="367"/>
        <v>0</v>
      </c>
      <c r="R815" s="359">
        <f t="shared" ca="1" si="368"/>
        <v>0</v>
      </c>
      <c r="S815" s="360">
        <f t="shared" ca="1" si="369"/>
        <v>0.42898953648292248</v>
      </c>
      <c r="T815" s="357">
        <f t="shared" ca="1" si="349"/>
        <v>4.2083873528974696</v>
      </c>
      <c r="U815" s="364">
        <f t="shared" ca="1" si="350"/>
        <v>0</v>
      </c>
      <c r="V815" s="359">
        <f t="shared" ca="1" si="351"/>
        <v>1.2259252320954646</v>
      </c>
      <c r="W815" s="357">
        <f t="shared" ca="1" si="352"/>
        <v>3.4005926403808089</v>
      </c>
      <c r="X815" s="343"/>
      <c r="Y815" s="367" t="str">
        <f t="shared" ca="1" si="370"/>
        <v/>
      </c>
      <c r="Z815" s="368" t="str">
        <f t="shared" ca="1" si="371"/>
        <v/>
      </c>
      <c r="AA815" s="369" t="str">
        <f t="shared" ca="1" si="372"/>
        <v/>
      </c>
      <c r="AB815" s="344"/>
      <c r="AC815" s="363" t="e">
        <f t="shared" ca="1" si="373"/>
        <v>#N/A</v>
      </c>
      <c r="AD815" s="376" t="e">
        <f t="shared" ca="1" si="374"/>
        <v>#N/A</v>
      </c>
      <c r="AE815" s="377" t="e">
        <f t="shared" ca="1" si="353"/>
        <v>#N/A</v>
      </c>
      <c r="AF815" s="344"/>
      <c r="AG815" s="359">
        <f t="shared" ca="1" si="375"/>
        <v>1.8442084646263179</v>
      </c>
      <c r="AH815" s="357">
        <f t="shared" ca="1" si="376"/>
        <v>-7.926926164502051</v>
      </c>
    </row>
    <row r="816" spans="1:34">
      <c r="A816" s="402">
        <f t="shared" ca="1" si="354"/>
        <v>1E-4</v>
      </c>
      <c r="B816" s="357">
        <f t="shared" ca="1" si="355"/>
        <v>16.946299999999866</v>
      </c>
      <c r="C816" s="342"/>
      <c r="D816" s="359">
        <f t="shared" ca="1" si="356"/>
        <v>-0.70490675742013775</v>
      </c>
      <c r="E816" s="360">
        <f t="shared" ca="1" si="357"/>
        <v>-1.9144214006470195</v>
      </c>
      <c r="F816" s="357">
        <f t="shared" ca="1" si="358"/>
        <v>2.0400742231379398</v>
      </c>
      <c r="G816" s="359">
        <f t="shared" ca="1" si="359"/>
        <v>4.9883115072769497</v>
      </c>
      <c r="H816" s="360">
        <f t="shared" ca="1" si="360"/>
        <v>-55.874477982647726</v>
      </c>
      <c r="I816" s="357">
        <f t="shared" ca="1" si="361"/>
        <v>56.096707047089822</v>
      </c>
      <c r="J816" s="359">
        <f t="shared" ca="1" si="362"/>
        <v>184.26379383972827</v>
      </c>
      <c r="K816" s="360">
        <f t="shared" ca="1" si="363"/>
        <v>-7.5556512537075919</v>
      </c>
      <c r="L816" s="357">
        <f t="shared" ca="1" si="348"/>
        <v>184.41863676450257</v>
      </c>
      <c r="M816" s="359">
        <f t="shared" ca="1" si="364"/>
        <v>-1.481755287678086</v>
      </c>
      <c r="N816" s="357">
        <f t="shared" ca="1" si="365"/>
        <v>-84.898324255147486</v>
      </c>
      <c r="O816" s="343"/>
      <c r="P816" s="363">
        <f t="shared" ca="1" si="366"/>
        <v>23</v>
      </c>
      <c r="Q816" s="357">
        <f t="shared" ca="1" si="367"/>
        <v>0</v>
      </c>
      <c r="R816" s="359">
        <f t="shared" ca="1" si="368"/>
        <v>0</v>
      </c>
      <c r="S816" s="360">
        <f t="shared" ca="1" si="369"/>
        <v>0.42898953648292248</v>
      </c>
      <c r="T816" s="357">
        <f t="shared" ca="1" si="349"/>
        <v>4.2083873528974696</v>
      </c>
      <c r="U816" s="364">
        <f t="shared" ca="1" si="350"/>
        <v>0</v>
      </c>
      <c r="V816" s="359">
        <f t="shared" ca="1" si="351"/>
        <v>1.2259259170739043</v>
      </c>
      <c r="W816" s="357">
        <f t="shared" ca="1" si="352"/>
        <v>3.4006168991544272</v>
      </c>
      <c r="X816" s="343"/>
      <c r="Y816" s="367" t="str">
        <f t="shared" ca="1" si="370"/>
        <v/>
      </c>
      <c r="Z816" s="368" t="str">
        <f t="shared" ca="1" si="371"/>
        <v/>
      </c>
      <c r="AA816" s="369" t="str">
        <f t="shared" ca="1" si="372"/>
        <v/>
      </c>
      <c r="AB816" s="344"/>
      <c r="AC816" s="363" t="e">
        <f t="shared" ca="1" si="373"/>
        <v>#N/A</v>
      </c>
      <c r="AD816" s="376" t="e">
        <f t="shared" ca="1" si="374"/>
        <v>#N/A</v>
      </c>
      <c r="AE816" s="377" t="e">
        <f t="shared" ca="1" si="353"/>
        <v>#N/A</v>
      </c>
      <c r="AF816" s="344"/>
      <c r="AG816" s="359">
        <f t="shared" ca="1" si="375"/>
        <v>1.8441532713051183</v>
      </c>
      <c r="AH816" s="357">
        <f t="shared" ca="1" si="376"/>
        <v>-7.9269827144517828</v>
      </c>
    </row>
    <row r="817" spans="1:34">
      <c r="A817" s="402">
        <f t="shared" ca="1" si="354"/>
        <v>1E-4</v>
      </c>
      <c r="B817" s="357">
        <f t="shared" ca="1" si="355"/>
        <v>16.946399999999866</v>
      </c>
      <c r="C817" s="342"/>
      <c r="D817" s="359">
        <f t="shared" ca="1" si="356"/>
        <v>-0.70489950758622788</v>
      </c>
      <c r="E817" s="360">
        <f t="shared" ca="1" si="357"/>
        <v>-1.9143639798457386</v>
      </c>
      <c r="F817" s="357">
        <f t="shared" ca="1" si="358"/>
        <v>2.0400178340215858</v>
      </c>
      <c r="G817" s="359">
        <f t="shared" ca="1" si="359"/>
        <v>4.9882410173261915</v>
      </c>
      <c r="H817" s="360">
        <f t="shared" ca="1" si="360"/>
        <v>-55.874669419045709</v>
      </c>
      <c r="I817" s="357">
        <f t="shared" ca="1" si="361"/>
        <v>56.096891456965572</v>
      </c>
      <c r="J817" s="359">
        <f t="shared" ca="1" si="362"/>
        <v>184.26379383972827</v>
      </c>
      <c r="K817" s="360">
        <f t="shared" ca="1" si="363"/>
        <v>-7.5612387110776762</v>
      </c>
      <c r="L817" s="357">
        <f t="shared" ca="1" si="348"/>
        <v>184.41886576772936</v>
      </c>
      <c r="M817" s="359">
        <f t="shared" ca="1" si="364"/>
        <v>-1.4817568427354324</v>
      </c>
      <c r="N817" s="357">
        <f t="shared" ca="1" si="365"/>
        <v>-84.89841335337033</v>
      </c>
      <c r="O817" s="343"/>
      <c r="P817" s="363">
        <f t="shared" ca="1" si="366"/>
        <v>23</v>
      </c>
      <c r="Q817" s="357">
        <f t="shared" ca="1" si="367"/>
        <v>0</v>
      </c>
      <c r="R817" s="359">
        <f t="shared" ca="1" si="368"/>
        <v>0</v>
      </c>
      <c r="S817" s="360">
        <f t="shared" ca="1" si="369"/>
        <v>0.42898953648292248</v>
      </c>
      <c r="T817" s="357">
        <f t="shared" ca="1" si="349"/>
        <v>4.2083873528974696</v>
      </c>
      <c r="U817" s="364">
        <f t="shared" ca="1" si="350"/>
        <v>0</v>
      </c>
      <c r="V817" s="359">
        <f t="shared" ca="1" si="351"/>
        <v>1.2259266020550736</v>
      </c>
      <c r="W817" s="357">
        <f t="shared" ca="1" si="352"/>
        <v>3.4006411573649489</v>
      </c>
      <c r="X817" s="343"/>
      <c r="Y817" s="367" t="str">
        <f t="shared" ca="1" si="370"/>
        <v/>
      </c>
      <c r="Z817" s="368" t="str">
        <f t="shared" ca="1" si="371"/>
        <v/>
      </c>
      <c r="AA817" s="369" t="str">
        <f t="shared" ca="1" si="372"/>
        <v/>
      </c>
      <c r="AB817" s="344"/>
      <c r="AC817" s="363" t="e">
        <f t="shared" ca="1" si="373"/>
        <v>#N/A</v>
      </c>
      <c r="AD817" s="376" t="e">
        <f t="shared" ca="1" si="374"/>
        <v>#N/A</v>
      </c>
      <c r="AE817" s="377" t="e">
        <f t="shared" ca="1" si="353"/>
        <v>#N/A</v>
      </c>
      <c r="AF817" s="344"/>
      <c r="AG817" s="359">
        <f t="shared" ca="1" si="375"/>
        <v>1.8440980792448318</v>
      </c>
      <c r="AH817" s="357">
        <f t="shared" ca="1" si="376"/>
        <v>-7.9270392630888828</v>
      </c>
    </row>
    <row r="818" spans="1:34">
      <c r="A818" s="402">
        <f t="shared" ca="1" si="354"/>
        <v>1E-4</v>
      </c>
      <c r="B818" s="357">
        <f t="shared" ca="1" si="355"/>
        <v>16.946499999999865</v>
      </c>
      <c r="C818" s="342"/>
      <c r="D818" s="359">
        <f t="shared" ca="1" si="356"/>
        <v>-0.70489225771294672</v>
      </c>
      <c r="E818" s="360">
        <f t="shared" ca="1" si="357"/>
        <v>-1.9143065603780203</v>
      </c>
      <c r="F818" s="357">
        <f t="shared" ca="1" si="358"/>
        <v>2.03996144622637</v>
      </c>
      <c r="G818" s="359">
        <f t="shared" ca="1" si="359"/>
        <v>4.9881705281004205</v>
      </c>
      <c r="H818" s="360">
        <f t="shared" ca="1" si="360"/>
        <v>-55.874860849701747</v>
      </c>
      <c r="I818" s="357">
        <f t="shared" ca="1" si="361"/>
        <v>56.097075861322246</v>
      </c>
      <c r="J818" s="359">
        <f t="shared" ca="1" si="362"/>
        <v>184.26379383972827</v>
      </c>
      <c r="K818" s="360">
        <f t="shared" ca="1" si="363"/>
        <v>-7.5668261875911131</v>
      </c>
      <c r="L818" s="357">
        <f t="shared" ca="1" si="348"/>
        <v>184.41909494074386</v>
      </c>
      <c r="M818" s="359">
        <f t="shared" ca="1" si="364"/>
        <v>-1.4817583977605804</v>
      </c>
      <c r="N818" s="357">
        <f t="shared" ca="1" si="365"/>
        <v>-84.898502449748349</v>
      </c>
      <c r="O818" s="343"/>
      <c r="P818" s="363">
        <f t="shared" ca="1" si="366"/>
        <v>23</v>
      </c>
      <c r="Q818" s="357">
        <f t="shared" ca="1" si="367"/>
        <v>0</v>
      </c>
      <c r="R818" s="359">
        <f t="shared" ca="1" si="368"/>
        <v>0</v>
      </c>
      <c r="S818" s="360">
        <f t="shared" ca="1" si="369"/>
        <v>0.42898953648292248</v>
      </c>
      <c r="T818" s="357">
        <f t="shared" ca="1" si="349"/>
        <v>4.2083873528974696</v>
      </c>
      <c r="U818" s="364">
        <f t="shared" ca="1" si="350"/>
        <v>0</v>
      </c>
      <c r="V818" s="359">
        <f t="shared" ca="1" si="351"/>
        <v>1.2259272870389726</v>
      </c>
      <c r="W818" s="357">
        <f t="shared" ca="1" si="352"/>
        <v>3.4006654150123814</v>
      </c>
      <c r="X818" s="343"/>
      <c r="Y818" s="367" t="str">
        <f t="shared" ca="1" si="370"/>
        <v/>
      </c>
      <c r="Z818" s="368" t="str">
        <f t="shared" ca="1" si="371"/>
        <v/>
      </c>
      <c r="AA818" s="369" t="str">
        <f t="shared" ca="1" si="372"/>
        <v/>
      </c>
      <c r="AB818" s="344"/>
      <c r="AC818" s="363" t="e">
        <f t="shared" ca="1" si="373"/>
        <v>#N/A</v>
      </c>
      <c r="AD818" s="376" t="e">
        <f t="shared" ca="1" si="374"/>
        <v>#N/A</v>
      </c>
      <c r="AE818" s="377" t="e">
        <f t="shared" ca="1" si="353"/>
        <v>#N/A</v>
      </c>
      <c r="AF818" s="344"/>
      <c r="AG818" s="359">
        <f t="shared" ca="1" si="375"/>
        <v>1.8440428884454363</v>
      </c>
      <c r="AH818" s="357">
        <f t="shared" ca="1" si="376"/>
        <v>-7.9270958104133715</v>
      </c>
    </row>
    <row r="819" spans="1:34">
      <c r="A819" s="402">
        <f t="shared" ca="1" si="354"/>
        <v>1E-4</v>
      </c>
      <c r="B819" s="357">
        <f t="shared" ca="1" si="355"/>
        <v>16.946599999999865</v>
      </c>
      <c r="C819" s="342"/>
      <c r="D819" s="359">
        <f t="shared" ca="1" si="356"/>
        <v>-0.70488500780030361</v>
      </c>
      <c r="E819" s="360">
        <f t="shared" ca="1" si="357"/>
        <v>-1.9142491422438486</v>
      </c>
      <c r="F819" s="357">
        <f t="shared" ca="1" si="358"/>
        <v>2.0399050597522779</v>
      </c>
      <c r="G819" s="359">
        <f t="shared" ca="1" si="359"/>
        <v>4.9881000395996402</v>
      </c>
      <c r="H819" s="360">
        <f t="shared" ca="1" si="360"/>
        <v>-55.875052274615975</v>
      </c>
      <c r="I819" s="357">
        <f t="shared" ca="1" si="361"/>
        <v>56.097260260159956</v>
      </c>
      <c r="J819" s="359">
        <f t="shared" ca="1" si="362"/>
        <v>184.26379383972827</v>
      </c>
      <c r="K819" s="360">
        <f t="shared" ca="1" si="363"/>
        <v>-7.572413683247329</v>
      </c>
      <c r="L819" s="357">
        <f t="shared" ca="1" si="348"/>
        <v>184.41932428354713</v>
      </c>
      <c r="M819" s="359">
        <f t="shared" ca="1" si="364"/>
        <v>-1.4817599527535312</v>
      </c>
      <c r="N819" s="357">
        <f t="shared" ca="1" si="365"/>
        <v>-84.898591544281601</v>
      </c>
      <c r="O819" s="343"/>
      <c r="P819" s="363">
        <f t="shared" ca="1" si="366"/>
        <v>23</v>
      </c>
      <c r="Q819" s="357">
        <f t="shared" ca="1" si="367"/>
        <v>0</v>
      </c>
      <c r="R819" s="359">
        <f t="shared" ca="1" si="368"/>
        <v>0</v>
      </c>
      <c r="S819" s="360">
        <f t="shared" ca="1" si="369"/>
        <v>0.42898953648292248</v>
      </c>
      <c r="T819" s="357">
        <f t="shared" ca="1" si="349"/>
        <v>4.2083873528974696</v>
      </c>
      <c r="U819" s="364">
        <f t="shared" ca="1" si="350"/>
        <v>0</v>
      </c>
      <c r="V819" s="359">
        <f t="shared" ca="1" si="351"/>
        <v>1.2259279720256011</v>
      </c>
      <c r="W819" s="357">
        <f t="shared" ca="1" si="352"/>
        <v>3.4006896720967319</v>
      </c>
      <c r="X819" s="343"/>
      <c r="Y819" s="367" t="str">
        <f t="shared" ca="1" si="370"/>
        <v/>
      </c>
      <c r="Z819" s="368" t="str">
        <f t="shared" ca="1" si="371"/>
        <v/>
      </c>
      <c r="AA819" s="369" t="str">
        <f t="shared" ca="1" si="372"/>
        <v/>
      </c>
      <c r="AB819" s="344"/>
      <c r="AC819" s="363" t="e">
        <f t="shared" ca="1" si="373"/>
        <v>#N/A</v>
      </c>
      <c r="AD819" s="376" t="e">
        <f t="shared" ca="1" si="374"/>
        <v>#N/A</v>
      </c>
      <c r="AE819" s="377" t="e">
        <f t="shared" ca="1" si="353"/>
        <v>#N/A</v>
      </c>
      <c r="AF819" s="344"/>
      <c r="AG819" s="359">
        <f t="shared" ca="1" si="375"/>
        <v>1.8439876989069219</v>
      </c>
      <c r="AH819" s="357">
        <f t="shared" ca="1" si="376"/>
        <v>-7.9271523564252657</v>
      </c>
    </row>
    <row r="820" spans="1:34">
      <c r="A820" s="402">
        <f t="shared" ca="1" si="354"/>
        <v>1E-4</v>
      </c>
      <c r="B820" s="357">
        <f t="shared" ca="1" si="355"/>
        <v>16.946699999999865</v>
      </c>
      <c r="C820" s="342"/>
      <c r="D820" s="359">
        <f t="shared" ca="1" si="356"/>
        <v>-0.70487775784830131</v>
      </c>
      <c r="E820" s="360">
        <f t="shared" ca="1" si="357"/>
        <v>-1.9141917254432048</v>
      </c>
      <c r="F820" s="357">
        <f t="shared" ca="1" si="358"/>
        <v>2.0398486745992903</v>
      </c>
      <c r="G820" s="359">
        <f t="shared" ca="1" si="359"/>
        <v>4.9880295518238551</v>
      </c>
      <c r="H820" s="360">
        <f t="shared" ca="1" si="360"/>
        <v>-55.875243693788519</v>
      </c>
      <c r="I820" s="357">
        <f t="shared" ca="1" si="361"/>
        <v>56.097444653478838</v>
      </c>
      <c r="J820" s="359">
        <f t="shared" ca="1" si="362"/>
        <v>184.26379383972827</v>
      </c>
      <c r="K820" s="360">
        <f t="shared" ca="1" si="363"/>
        <v>-7.5780011980457491</v>
      </c>
      <c r="L820" s="357">
        <f t="shared" ca="1" si="348"/>
        <v>184.41955379614024</v>
      </c>
      <c r="M820" s="359">
        <f t="shared" ca="1" si="364"/>
        <v>-1.4817615077142856</v>
      </c>
      <c r="N820" s="357">
        <f t="shared" ca="1" si="365"/>
        <v>-84.898680636970141</v>
      </c>
      <c r="O820" s="343"/>
      <c r="P820" s="363">
        <f t="shared" ca="1" si="366"/>
        <v>23</v>
      </c>
      <c r="Q820" s="357">
        <f t="shared" ca="1" si="367"/>
        <v>0</v>
      </c>
      <c r="R820" s="359">
        <f t="shared" ca="1" si="368"/>
        <v>0</v>
      </c>
      <c r="S820" s="360">
        <f t="shared" ca="1" si="369"/>
        <v>0.42898953648292248</v>
      </c>
      <c r="T820" s="357">
        <f t="shared" ca="1" si="349"/>
        <v>4.2083873528974696</v>
      </c>
      <c r="U820" s="364">
        <f t="shared" ca="1" si="350"/>
        <v>0</v>
      </c>
      <c r="V820" s="359">
        <f t="shared" ca="1" si="351"/>
        <v>1.2259286570149595</v>
      </c>
      <c r="W820" s="357">
        <f t="shared" ca="1" si="352"/>
        <v>3.4007139286180088</v>
      </c>
      <c r="X820" s="343"/>
      <c r="Y820" s="367" t="str">
        <f t="shared" ca="1" si="370"/>
        <v/>
      </c>
      <c r="Z820" s="368" t="str">
        <f t="shared" ca="1" si="371"/>
        <v/>
      </c>
      <c r="AA820" s="369" t="str">
        <f t="shared" ca="1" si="372"/>
        <v/>
      </c>
      <c r="AB820" s="344"/>
      <c r="AC820" s="363" t="e">
        <f t="shared" ca="1" si="373"/>
        <v>#N/A</v>
      </c>
      <c r="AD820" s="376" t="e">
        <f t="shared" ca="1" si="374"/>
        <v>#N/A</v>
      </c>
      <c r="AE820" s="377" t="e">
        <f t="shared" ca="1" si="353"/>
        <v>#N/A</v>
      </c>
      <c r="AF820" s="344"/>
      <c r="AG820" s="359">
        <f t="shared" ca="1" si="375"/>
        <v>1.8439325106292719</v>
      </c>
      <c r="AH820" s="357">
        <f t="shared" ca="1" si="376"/>
        <v>-7.9272089011245823</v>
      </c>
    </row>
    <row r="821" spans="1:34">
      <c r="A821" s="402">
        <f t="shared" ca="1" si="354"/>
        <v>1E-4</v>
      </c>
      <c r="B821" s="357">
        <f t="shared" ca="1" si="355"/>
        <v>16.946799999999865</v>
      </c>
      <c r="C821" s="342"/>
      <c r="D821" s="359">
        <f t="shared" ca="1" si="356"/>
        <v>-0.70487050785694794</v>
      </c>
      <c r="E821" s="360">
        <f t="shared" ca="1" si="357"/>
        <v>-1.9141343099760695</v>
      </c>
      <c r="F821" s="357">
        <f t="shared" ca="1" si="358"/>
        <v>2.0397922907673895</v>
      </c>
      <c r="G821" s="359">
        <f t="shared" ca="1" si="359"/>
        <v>4.9879590647730696</v>
      </c>
      <c r="H821" s="360">
        <f t="shared" ca="1" si="360"/>
        <v>-55.875435107219516</v>
      </c>
      <c r="I821" s="357">
        <f t="shared" ca="1" si="361"/>
        <v>56.097629041279021</v>
      </c>
      <c r="J821" s="359">
        <f t="shared" ca="1" si="362"/>
        <v>184.26379383972827</v>
      </c>
      <c r="K821" s="360">
        <f t="shared" ca="1" si="363"/>
        <v>-7.5835887319857997</v>
      </c>
      <c r="L821" s="357">
        <f t="shared" ca="1" si="348"/>
        <v>184.41978347852429</v>
      </c>
      <c r="M821" s="359">
        <f t="shared" ca="1" si="364"/>
        <v>-1.4817630626428446</v>
      </c>
      <c r="N821" s="357">
        <f t="shared" ca="1" si="365"/>
        <v>-84.898769727814013</v>
      </c>
      <c r="O821" s="343"/>
      <c r="P821" s="363">
        <f t="shared" ca="1" si="366"/>
        <v>23</v>
      </c>
      <c r="Q821" s="357">
        <f t="shared" ca="1" si="367"/>
        <v>0</v>
      </c>
      <c r="R821" s="359">
        <f t="shared" ca="1" si="368"/>
        <v>0</v>
      </c>
      <c r="S821" s="360">
        <f t="shared" ca="1" si="369"/>
        <v>0.42898953648292248</v>
      </c>
      <c r="T821" s="357">
        <f t="shared" ca="1" si="349"/>
        <v>4.2083873528974696</v>
      </c>
      <c r="U821" s="364">
        <f t="shared" ca="1" si="350"/>
        <v>0</v>
      </c>
      <c r="V821" s="359">
        <f t="shared" ca="1" si="351"/>
        <v>1.2259293420070467</v>
      </c>
      <c r="W821" s="357">
        <f t="shared" ca="1" si="352"/>
        <v>3.4007381845762183</v>
      </c>
      <c r="X821" s="343"/>
      <c r="Y821" s="367" t="str">
        <f t="shared" ca="1" si="370"/>
        <v/>
      </c>
      <c r="Z821" s="368" t="str">
        <f t="shared" ca="1" si="371"/>
        <v/>
      </c>
      <c r="AA821" s="369" t="str">
        <f t="shared" ca="1" si="372"/>
        <v/>
      </c>
      <c r="AB821" s="344"/>
      <c r="AC821" s="363" t="e">
        <f t="shared" ca="1" si="373"/>
        <v>#N/A</v>
      </c>
      <c r="AD821" s="376" t="e">
        <f t="shared" ca="1" si="374"/>
        <v>#N/A</v>
      </c>
      <c r="AE821" s="377" t="e">
        <f t="shared" ca="1" si="353"/>
        <v>#N/A</v>
      </c>
      <c r="AF821" s="344"/>
      <c r="AG821" s="359">
        <f t="shared" ca="1" si="375"/>
        <v>1.8438773236124657</v>
      </c>
      <c r="AH821" s="357">
        <f t="shared" ca="1" si="376"/>
        <v>-7.9272654445113417</v>
      </c>
    </row>
    <row r="822" spans="1:34">
      <c r="A822" s="402">
        <f t="shared" ca="1" si="354"/>
        <v>1E-4</v>
      </c>
      <c r="B822" s="357">
        <f t="shared" ca="1" si="355"/>
        <v>16.946899999999864</v>
      </c>
      <c r="C822" s="342"/>
      <c r="D822" s="359">
        <f t="shared" ca="1" si="356"/>
        <v>-0.70486325782624781</v>
      </c>
      <c r="E822" s="360">
        <f t="shared" ca="1" si="357"/>
        <v>-1.9140768958424275</v>
      </c>
      <c r="F822" s="357">
        <f t="shared" ca="1" si="358"/>
        <v>2.03973590825656</v>
      </c>
      <c r="G822" s="359">
        <f t="shared" ca="1" si="359"/>
        <v>4.9878885784472873</v>
      </c>
      <c r="H822" s="360">
        <f t="shared" ca="1" si="360"/>
        <v>-55.875626514909101</v>
      </c>
      <c r="I822" s="357">
        <f t="shared" ca="1" si="361"/>
        <v>56.097813423560616</v>
      </c>
      <c r="J822" s="359">
        <f t="shared" ca="1" si="362"/>
        <v>184.26379383972827</v>
      </c>
      <c r="K822" s="360">
        <f t="shared" ca="1" si="363"/>
        <v>-7.5891762850669062</v>
      </c>
      <c r="L822" s="357">
        <f t="shared" ca="1" si="348"/>
        <v>184.42001333070039</v>
      </c>
      <c r="M822" s="359">
        <f t="shared" ca="1" si="364"/>
        <v>-1.481764617539209</v>
      </c>
      <c r="N822" s="357">
        <f t="shared" ca="1" si="365"/>
        <v>-84.898858816813274</v>
      </c>
      <c r="O822" s="343"/>
      <c r="P822" s="363">
        <f t="shared" ca="1" si="366"/>
        <v>23</v>
      </c>
      <c r="Q822" s="357">
        <f t="shared" ca="1" si="367"/>
        <v>0</v>
      </c>
      <c r="R822" s="359">
        <f t="shared" ca="1" si="368"/>
        <v>0</v>
      </c>
      <c r="S822" s="360">
        <f t="shared" ca="1" si="369"/>
        <v>0.42898953648292248</v>
      </c>
      <c r="T822" s="357">
        <f t="shared" ca="1" si="349"/>
        <v>4.2083873528974696</v>
      </c>
      <c r="U822" s="364">
        <f t="shared" ca="1" si="350"/>
        <v>0</v>
      </c>
      <c r="V822" s="359">
        <f t="shared" ca="1" si="351"/>
        <v>1.225930027001864</v>
      </c>
      <c r="W822" s="357">
        <f t="shared" ca="1" si="352"/>
        <v>3.4007624399713698</v>
      </c>
      <c r="X822" s="343"/>
      <c r="Y822" s="367" t="str">
        <f t="shared" ca="1" si="370"/>
        <v/>
      </c>
      <c r="Z822" s="368" t="str">
        <f t="shared" ca="1" si="371"/>
        <v/>
      </c>
      <c r="AA822" s="369" t="str">
        <f t="shared" ca="1" si="372"/>
        <v/>
      </c>
      <c r="AB822" s="344"/>
      <c r="AC822" s="363" t="e">
        <f t="shared" ca="1" si="373"/>
        <v>#N/A</v>
      </c>
      <c r="AD822" s="376" t="e">
        <f t="shared" ca="1" si="374"/>
        <v>#N/A</v>
      </c>
      <c r="AE822" s="377" t="e">
        <f t="shared" ca="1" si="353"/>
        <v>#N/A</v>
      </c>
      <c r="AF822" s="344"/>
      <c r="AG822" s="359">
        <f t="shared" ca="1" si="375"/>
        <v>1.843822137856499</v>
      </c>
      <c r="AH822" s="357">
        <f t="shared" ca="1" si="376"/>
        <v>-7.9273219865855573</v>
      </c>
    </row>
    <row r="823" spans="1:34">
      <c r="A823" s="402">
        <f t="shared" ca="1" si="354"/>
        <v>1E-4</v>
      </c>
      <c r="B823" s="357">
        <f t="shared" ca="1" si="355"/>
        <v>16.946999999999864</v>
      </c>
      <c r="C823" s="342"/>
      <c r="D823" s="359">
        <f t="shared" ca="1" si="356"/>
        <v>-0.70485600775620894</v>
      </c>
      <c r="E823" s="360">
        <f t="shared" ca="1" si="357"/>
        <v>-1.9140194830422583</v>
      </c>
      <c r="F823" s="357">
        <f t="shared" ca="1" si="358"/>
        <v>2.0396795270667827</v>
      </c>
      <c r="G823" s="359">
        <f t="shared" ca="1" si="359"/>
        <v>4.9878180928465117</v>
      </c>
      <c r="H823" s="360">
        <f t="shared" ca="1" si="360"/>
        <v>-55.875817916857407</v>
      </c>
      <c r="I823" s="357">
        <f t="shared" ca="1" si="361"/>
        <v>56.097997800323768</v>
      </c>
      <c r="J823" s="359">
        <f t="shared" ca="1" si="362"/>
        <v>184.26379383972827</v>
      </c>
      <c r="K823" s="360">
        <f t="shared" ca="1" si="363"/>
        <v>-7.5947638572884948</v>
      </c>
      <c r="L823" s="357">
        <f t="shared" ca="1" si="348"/>
        <v>184.42024335266956</v>
      </c>
      <c r="M823" s="359">
        <f t="shared" ca="1" si="364"/>
        <v>-1.4817661724033797</v>
      </c>
      <c r="N823" s="357">
        <f t="shared" ca="1" si="365"/>
        <v>-84.898947903967979</v>
      </c>
      <c r="O823" s="343"/>
      <c r="P823" s="363">
        <f t="shared" ca="1" si="366"/>
        <v>23</v>
      </c>
      <c r="Q823" s="357">
        <f t="shared" ca="1" si="367"/>
        <v>0</v>
      </c>
      <c r="R823" s="359">
        <f t="shared" ca="1" si="368"/>
        <v>0</v>
      </c>
      <c r="S823" s="360">
        <f t="shared" ca="1" si="369"/>
        <v>0.42898953648292248</v>
      </c>
      <c r="T823" s="357">
        <f t="shared" ca="1" si="349"/>
        <v>4.2083873528974696</v>
      </c>
      <c r="U823" s="364">
        <f t="shared" ca="1" si="350"/>
        <v>0</v>
      </c>
      <c r="V823" s="359">
        <f t="shared" ca="1" si="351"/>
        <v>1.2259307119994105</v>
      </c>
      <c r="W823" s="357">
        <f t="shared" ca="1" si="352"/>
        <v>3.4007866948034704</v>
      </c>
      <c r="X823" s="343"/>
      <c r="Y823" s="367" t="str">
        <f t="shared" ca="1" si="370"/>
        <v/>
      </c>
      <c r="Z823" s="368" t="str">
        <f t="shared" ca="1" si="371"/>
        <v/>
      </c>
      <c r="AA823" s="369" t="str">
        <f t="shared" ca="1" si="372"/>
        <v/>
      </c>
      <c r="AB823" s="344"/>
      <c r="AC823" s="363" t="e">
        <f t="shared" ca="1" si="373"/>
        <v>#N/A</v>
      </c>
      <c r="AD823" s="376" t="e">
        <f t="shared" ca="1" si="374"/>
        <v>#N/A</v>
      </c>
      <c r="AE823" s="377" t="e">
        <f t="shared" ca="1" si="353"/>
        <v>#N/A</v>
      </c>
      <c r="AF823" s="344"/>
      <c r="AG823" s="359">
        <f t="shared" ca="1" si="375"/>
        <v>1.8437669533613441</v>
      </c>
      <c r="AH823" s="357">
        <f t="shared" ca="1" si="376"/>
        <v>-7.9273785273472512</v>
      </c>
    </row>
    <row r="824" spans="1:34">
      <c r="A824" s="402">
        <f t="shared" ca="1" si="354"/>
        <v>1E-4</v>
      </c>
      <c r="B824" s="357">
        <f t="shared" ca="1" si="355"/>
        <v>16.947099999999864</v>
      </c>
      <c r="C824" s="342"/>
      <c r="D824" s="359">
        <f t="shared" ca="1" si="356"/>
        <v>-0.70484875764683586</v>
      </c>
      <c r="E824" s="360">
        <f t="shared" ca="1" si="357"/>
        <v>-1.9139620715755434</v>
      </c>
      <c r="F824" s="357">
        <f t="shared" ca="1" si="358"/>
        <v>2.0396231471980388</v>
      </c>
      <c r="G824" s="359">
        <f t="shared" ca="1" si="359"/>
        <v>4.9877476079707472</v>
      </c>
      <c r="H824" s="360">
        <f t="shared" ca="1" si="360"/>
        <v>-55.876009313064564</v>
      </c>
      <c r="I824" s="357">
        <f t="shared" ca="1" si="361"/>
        <v>56.098182171568588</v>
      </c>
      <c r="J824" s="359">
        <f t="shared" ca="1" si="362"/>
        <v>184.26379383972827</v>
      </c>
      <c r="K824" s="360">
        <f t="shared" ca="1" si="363"/>
        <v>-7.6003514486499908</v>
      </c>
      <c r="L824" s="357">
        <f t="shared" ca="1" si="348"/>
        <v>184.42047354443289</v>
      </c>
      <c r="M824" s="359">
        <f t="shared" ca="1" si="364"/>
        <v>-1.4817677272353575</v>
      </c>
      <c r="N824" s="357">
        <f t="shared" ca="1" si="365"/>
        <v>-84.899036989278159</v>
      </c>
      <c r="O824" s="343"/>
      <c r="P824" s="363">
        <f t="shared" ca="1" si="366"/>
        <v>23</v>
      </c>
      <c r="Q824" s="357">
        <f t="shared" ca="1" si="367"/>
        <v>0</v>
      </c>
      <c r="R824" s="359">
        <f t="shared" ca="1" si="368"/>
        <v>0</v>
      </c>
      <c r="S824" s="360">
        <f t="shared" ca="1" si="369"/>
        <v>0.42898953648292248</v>
      </c>
      <c r="T824" s="357">
        <f t="shared" ca="1" si="349"/>
        <v>4.2083873528974696</v>
      </c>
      <c r="U824" s="364">
        <f t="shared" ca="1" si="350"/>
        <v>0</v>
      </c>
      <c r="V824" s="359">
        <f t="shared" ca="1" si="351"/>
        <v>1.2259313969996866</v>
      </c>
      <c r="W824" s="357">
        <f t="shared" ca="1" si="352"/>
        <v>3.400810949072528</v>
      </c>
      <c r="X824" s="343"/>
      <c r="Y824" s="367" t="str">
        <f t="shared" ca="1" si="370"/>
        <v/>
      </c>
      <c r="Z824" s="368" t="str">
        <f t="shared" ca="1" si="371"/>
        <v/>
      </c>
      <c r="AA824" s="369" t="str">
        <f t="shared" ca="1" si="372"/>
        <v/>
      </c>
      <c r="AB824" s="344"/>
      <c r="AC824" s="363" t="e">
        <f t="shared" ca="1" si="373"/>
        <v>#N/A</v>
      </c>
      <c r="AD824" s="376" t="e">
        <f t="shared" ca="1" si="374"/>
        <v>#N/A</v>
      </c>
      <c r="AE824" s="377" t="e">
        <f t="shared" ca="1" si="353"/>
        <v>#N/A</v>
      </c>
      <c r="AF824" s="344"/>
      <c r="AG824" s="359">
        <f t="shared" ca="1" si="375"/>
        <v>1.8437117701269923</v>
      </c>
      <c r="AH824" s="357">
        <f t="shared" ca="1" si="376"/>
        <v>-7.9274350667964395</v>
      </c>
    </row>
    <row r="825" spans="1:34">
      <c r="A825" s="402">
        <f t="shared" ca="1" si="354"/>
        <v>1E-4</v>
      </c>
      <c r="B825" s="357">
        <f t="shared" ca="1" si="355"/>
        <v>16.947199999999864</v>
      </c>
      <c r="C825" s="342"/>
      <c r="D825" s="359">
        <f t="shared" ca="1" si="356"/>
        <v>-0.70484150749813657</v>
      </c>
      <c r="E825" s="360">
        <f t="shared" ca="1" si="357"/>
        <v>-1.913904661442265</v>
      </c>
      <c r="F825" s="357">
        <f t="shared" ca="1" si="358"/>
        <v>2.0395667686503125</v>
      </c>
      <c r="G825" s="359">
        <f t="shared" ca="1" si="359"/>
        <v>4.9876771238199975</v>
      </c>
      <c r="H825" s="360">
        <f t="shared" ca="1" si="360"/>
        <v>-55.876200703530706</v>
      </c>
      <c r="I825" s="357">
        <f t="shared" ca="1" si="361"/>
        <v>56.098366537295206</v>
      </c>
      <c r="J825" s="359">
        <f t="shared" ca="1" si="362"/>
        <v>184.26379383972827</v>
      </c>
      <c r="K825" s="360">
        <f t="shared" ca="1" si="363"/>
        <v>-7.6059390591508205</v>
      </c>
      <c r="L825" s="357">
        <f t="shared" ca="1" si="348"/>
        <v>184.42070390599153</v>
      </c>
      <c r="M825" s="359">
        <f t="shared" ca="1" si="364"/>
        <v>-1.4817692820351438</v>
      </c>
      <c r="N825" s="357">
        <f t="shared" ca="1" si="365"/>
        <v>-84.899126072743897</v>
      </c>
      <c r="O825" s="343"/>
      <c r="P825" s="363">
        <f t="shared" ca="1" si="366"/>
        <v>23</v>
      </c>
      <c r="Q825" s="357">
        <f t="shared" ca="1" si="367"/>
        <v>0</v>
      </c>
      <c r="R825" s="359">
        <f t="shared" ca="1" si="368"/>
        <v>0</v>
      </c>
      <c r="S825" s="360">
        <f t="shared" ca="1" si="369"/>
        <v>0.42898953648292248</v>
      </c>
      <c r="T825" s="357">
        <f t="shared" ca="1" si="349"/>
        <v>4.2083873528974696</v>
      </c>
      <c r="U825" s="364">
        <f t="shared" ca="1" si="350"/>
        <v>0</v>
      </c>
      <c r="V825" s="359">
        <f t="shared" ca="1" si="351"/>
        <v>1.2259320820026915</v>
      </c>
      <c r="W825" s="357">
        <f t="shared" ca="1" si="352"/>
        <v>3.4008352027785489</v>
      </c>
      <c r="X825" s="343"/>
      <c r="Y825" s="367" t="str">
        <f t="shared" ca="1" si="370"/>
        <v/>
      </c>
      <c r="Z825" s="368" t="str">
        <f t="shared" ca="1" si="371"/>
        <v/>
      </c>
      <c r="AA825" s="369" t="str">
        <f t="shared" ca="1" si="372"/>
        <v/>
      </c>
      <c r="AB825" s="344"/>
      <c r="AC825" s="363" t="e">
        <f t="shared" ca="1" si="373"/>
        <v>#N/A</v>
      </c>
      <c r="AD825" s="376" t="e">
        <f t="shared" ca="1" si="374"/>
        <v>#N/A</v>
      </c>
      <c r="AE825" s="377" t="e">
        <f t="shared" ca="1" si="353"/>
        <v>#N/A</v>
      </c>
      <c r="AF825" s="344"/>
      <c r="AG825" s="359">
        <f t="shared" ca="1" si="375"/>
        <v>1.843656588153423</v>
      </c>
      <c r="AH825" s="357">
        <f t="shared" ca="1" si="376"/>
        <v>-7.9274916049331425</v>
      </c>
    </row>
    <row r="826" spans="1:34">
      <c r="A826" s="402">
        <f t="shared" ca="1" si="354"/>
        <v>1E-4</v>
      </c>
      <c r="B826" s="357">
        <f t="shared" ca="1" si="355"/>
        <v>16.947299999999863</v>
      </c>
      <c r="C826" s="342"/>
      <c r="D826" s="359">
        <f t="shared" ca="1" si="356"/>
        <v>-0.7048342573101134</v>
      </c>
      <c r="E826" s="360">
        <f t="shared" ca="1" si="357"/>
        <v>-1.9138472526424071</v>
      </c>
      <c r="F826" s="357">
        <f t="shared" ca="1" si="358"/>
        <v>2.0395103914235859</v>
      </c>
      <c r="G826" s="359">
        <f t="shared" ca="1" si="359"/>
        <v>4.9876066403942669</v>
      </c>
      <c r="H826" s="360">
        <f t="shared" ca="1" si="360"/>
        <v>-55.876392088255969</v>
      </c>
      <c r="I826" s="357">
        <f t="shared" ca="1" si="361"/>
        <v>56.098550897503756</v>
      </c>
      <c r="J826" s="359">
        <f t="shared" ca="1" si="362"/>
        <v>184.26379383972827</v>
      </c>
      <c r="K826" s="360">
        <f t="shared" ca="1" si="363"/>
        <v>-7.6115266887904101</v>
      </c>
      <c r="L826" s="357">
        <f t="shared" ca="1" si="348"/>
        <v>184.42093443734649</v>
      </c>
      <c r="M826" s="359">
        <f t="shared" ca="1" si="364"/>
        <v>-1.4817708368027391</v>
      </c>
      <c r="N826" s="357">
        <f t="shared" ca="1" si="365"/>
        <v>-84.899215154365237</v>
      </c>
      <c r="O826" s="343"/>
      <c r="P826" s="363">
        <f t="shared" ca="1" si="366"/>
        <v>23</v>
      </c>
      <c r="Q826" s="357">
        <f t="shared" ca="1" si="367"/>
        <v>0</v>
      </c>
      <c r="R826" s="359">
        <f t="shared" ca="1" si="368"/>
        <v>0</v>
      </c>
      <c r="S826" s="360">
        <f t="shared" ca="1" si="369"/>
        <v>0.42898953648292248</v>
      </c>
      <c r="T826" s="357">
        <f t="shared" ca="1" si="349"/>
        <v>4.2083873528974696</v>
      </c>
      <c r="U826" s="364">
        <f t="shared" ca="1" si="350"/>
        <v>0</v>
      </c>
      <c r="V826" s="359">
        <f t="shared" ca="1" si="351"/>
        <v>1.2259327670084259</v>
      </c>
      <c r="W826" s="357">
        <f t="shared" ca="1" si="352"/>
        <v>3.4008594559215424</v>
      </c>
      <c r="X826" s="343"/>
      <c r="Y826" s="367" t="str">
        <f t="shared" ca="1" si="370"/>
        <v/>
      </c>
      <c r="Z826" s="368" t="str">
        <f t="shared" ca="1" si="371"/>
        <v/>
      </c>
      <c r="AA826" s="369" t="str">
        <f t="shared" ca="1" si="372"/>
        <v/>
      </c>
      <c r="AB826" s="344"/>
      <c r="AC826" s="363" t="e">
        <f t="shared" ca="1" si="373"/>
        <v>#N/A</v>
      </c>
      <c r="AD826" s="376" t="e">
        <f t="shared" ca="1" si="374"/>
        <v>#N/A</v>
      </c>
      <c r="AE826" s="377" t="e">
        <f t="shared" ca="1" si="353"/>
        <v>#N/A</v>
      </c>
      <c r="AF826" s="344"/>
      <c r="AG826" s="359">
        <f t="shared" ca="1" si="375"/>
        <v>1.8436014074406257</v>
      </c>
      <c r="AH826" s="357">
        <f t="shared" ca="1" si="376"/>
        <v>-7.9275481417573728</v>
      </c>
    </row>
    <row r="827" spans="1:34">
      <c r="A827" s="402">
        <f t="shared" ca="1" si="354"/>
        <v>1E-4</v>
      </c>
      <c r="B827" s="357">
        <f t="shared" ca="1" si="355"/>
        <v>16.947399999999863</v>
      </c>
      <c r="C827" s="342"/>
      <c r="D827" s="359">
        <f t="shared" ca="1" si="356"/>
        <v>-0.70482700708277479</v>
      </c>
      <c r="E827" s="360">
        <f t="shared" ca="1" si="357"/>
        <v>-1.9137898451759474</v>
      </c>
      <c r="F827" s="357">
        <f t="shared" ca="1" si="358"/>
        <v>2.0394540155178391</v>
      </c>
      <c r="G827" s="359">
        <f t="shared" ca="1" si="359"/>
        <v>4.9875361576935591</v>
      </c>
      <c r="H827" s="360">
        <f t="shared" ca="1" si="360"/>
        <v>-55.876583467240486</v>
      </c>
      <c r="I827" s="357">
        <f t="shared" ca="1" si="361"/>
        <v>56.098735252194352</v>
      </c>
      <c r="J827" s="359">
        <f t="shared" ca="1" si="362"/>
        <v>184.26379383972827</v>
      </c>
      <c r="K827" s="360">
        <f t="shared" ca="1" si="363"/>
        <v>-7.6171143375681849</v>
      </c>
      <c r="L827" s="357">
        <f t="shared" ca="1" si="348"/>
        <v>184.42116513849888</v>
      </c>
      <c r="M827" s="359">
        <f t="shared" ca="1" si="364"/>
        <v>-1.4817723915381444</v>
      </c>
      <c r="N827" s="357">
        <f t="shared" ca="1" si="365"/>
        <v>-84.899304234142221</v>
      </c>
      <c r="O827" s="343"/>
      <c r="P827" s="363">
        <f t="shared" ca="1" si="366"/>
        <v>23</v>
      </c>
      <c r="Q827" s="357">
        <f t="shared" ca="1" si="367"/>
        <v>0</v>
      </c>
      <c r="R827" s="359">
        <f t="shared" ca="1" si="368"/>
        <v>0</v>
      </c>
      <c r="S827" s="360">
        <f t="shared" ca="1" si="369"/>
        <v>0.42898953648292248</v>
      </c>
      <c r="T827" s="357">
        <f t="shared" ca="1" si="349"/>
        <v>4.2083873528974696</v>
      </c>
      <c r="U827" s="364">
        <f t="shared" ca="1" si="350"/>
        <v>0</v>
      </c>
      <c r="V827" s="359">
        <f t="shared" ca="1" si="351"/>
        <v>1.2259334520168894</v>
      </c>
      <c r="W827" s="357">
        <f t="shared" ca="1" si="352"/>
        <v>3.4008837085015147</v>
      </c>
      <c r="X827" s="343"/>
      <c r="Y827" s="367" t="str">
        <f t="shared" ca="1" si="370"/>
        <v/>
      </c>
      <c r="Z827" s="368" t="str">
        <f t="shared" ca="1" si="371"/>
        <v/>
      </c>
      <c r="AA827" s="369" t="str">
        <f t="shared" ca="1" si="372"/>
        <v/>
      </c>
      <c r="AB827" s="344"/>
      <c r="AC827" s="363" t="e">
        <f t="shared" ca="1" si="373"/>
        <v>#N/A</v>
      </c>
      <c r="AD827" s="376" t="e">
        <f t="shared" ca="1" si="374"/>
        <v>#N/A</v>
      </c>
      <c r="AE827" s="377" t="e">
        <f t="shared" ca="1" si="353"/>
        <v>#N/A</v>
      </c>
      <c r="AF827" s="344"/>
      <c r="AG827" s="359">
        <f t="shared" ca="1" si="375"/>
        <v>1.8435462279885844</v>
      </c>
      <c r="AH827" s="357">
        <f t="shared" ca="1" si="376"/>
        <v>-7.9276046772691533</v>
      </c>
    </row>
    <row r="828" spans="1:34">
      <c r="A828" s="402">
        <f t="shared" ca="1" si="354"/>
        <v>1E-4</v>
      </c>
      <c r="B828" s="357">
        <f t="shared" ca="1" si="355"/>
        <v>16.947499999999863</v>
      </c>
      <c r="C828" s="342"/>
      <c r="D828" s="359">
        <f t="shared" ca="1" si="356"/>
        <v>-0.70481975681612663</v>
      </c>
      <c r="E828" s="360">
        <f t="shared" ca="1" si="357"/>
        <v>-1.9137324390428718</v>
      </c>
      <c r="F828" s="357">
        <f t="shared" ca="1" si="358"/>
        <v>2.0393976409330583</v>
      </c>
      <c r="G828" s="359">
        <f t="shared" ca="1" si="359"/>
        <v>4.9874656757178775</v>
      </c>
      <c r="H828" s="360">
        <f t="shared" ca="1" si="360"/>
        <v>-55.876774840484394</v>
      </c>
      <c r="I828" s="357">
        <f t="shared" ca="1" si="361"/>
        <v>56.098919601367136</v>
      </c>
      <c r="J828" s="359">
        <f t="shared" ca="1" si="362"/>
        <v>184.26379383972827</v>
      </c>
      <c r="K828" s="360">
        <f t="shared" ca="1" si="363"/>
        <v>-7.6227020054835712</v>
      </c>
      <c r="L828" s="357">
        <f t="shared" ca="1" si="348"/>
        <v>184.42139600944975</v>
      </c>
      <c r="M828" s="359">
        <f t="shared" ca="1" si="364"/>
        <v>-1.4817739462413608</v>
      </c>
      <c r="N828" s="357">
        <f t="shared" ca="1" si="365"/>
        <v>-84.899393312074906</v>
      </c>
      <c r="O828" s="343"/>
      <c r="P828" s="363">
        <f t="shared" ca="1" si="366"/>
        <v>23</v>
      </c>
      <c r="Q828" s="357">
        <f t="shared" ca="1" si="367"/>
        <v>0</v>
      </c>
      <c r="R828" s="359">
        <f t="shared" ca="1" si="368"/>
        <v>0</v>
      </c>
      <c r="S828" s="360">
        <f t="shared" ca="1" si="369"/>
        <v>0.42898953648292248</v>
      </c>
      <c r="T828" s="357">
        <f t="shared" ca="1" si="349"/>
        <v>4.2083873528974696</v>
      </c>
      <c r="U828" s="364">
        <f t="shared" ca="1" si="350"/>
        <v>0</v>
      </c>
      <c r="V828" s="359">
        <f t="shared" ca="1" si="351"/>
        <v>1.2259341370280816</v>
      </c>
      <c r="W828" s="357">
        <f t="shared" ca="1" si="352"/>
        <v>3.4009079605184755</v>
      </c>
      <c r="X828" s="343"/>
      <c r="Y828" s="367" t="str">
        <f t="shared" ca="1" si="370"/>
        <v/>
      </c>
      <c r="Z828" s="368" t="str">
        <f t="shared" ca="1" si="371"/>
        <v/>
      </c>
      <c r="AA828" s="369" t="str">
        <f t="shared" ca="1" si="372"/>
        <v/>
      </c>
      <c r="AB828" s="344"/>
      <c r="AC828" s="363" t="e">
        <f t="shared" ca="1" si="373"/>
        <v>#N/A</v>
      </c>
      <c r="AD828" s="376" t="e">
        <f t="shared" ca="1" si="374"/>
        <v>#N/A</v>
      </c>
      <c r="AE828" s="377" t="e">
        <f t="shared" ca="1" si="353"/>
        <v>#N/A</v>
      </c>
      <c r="AF828" s="344"/>
      <c r="AG828" s="359">
        <f t="shared" ca="1" si="375"/>
        <v>1.8434910497972812</v>
      </c>
      <c r="AH828" s="357">
        <f t="shared" ca="1" si="376"/>
        <v>-7.9276612114684983</v>
      </c>
    </row>
    <row r="829" spans="1:34">
      <c r="A829" s="402">
        <f t="shared" ca="1" si="354"/>
        <v>1E-4</v>
      </c>
      <c r="B829" s="357">
        <f t="shared" ca="1" si="355"/>
        <v>16.947599999999863</v>
      </c>
      <c r="C829" s="342"/>
      <c r="D829" s="359">
        <f t="shared" ca="1" si="356"/>
        <v>-0.70481250651017369</v>
      </c>
      <c r="E829" s="360">
        <f t="shared" ca="1" si="357"/>
        <v>-1.9136750342431581</v>
      </c>
      <c r="F829" s="357">
        <f t="shared" ca="1" si="358"/>
        <v>2.0393412676692213</v>
      </c>
      <c r="G829" s="359">
        <f t="shared" ca="1" si="359"/>
        <v>4.9873951944672266</v>
      </c>
      <c r="H829" s="360">
        <f t="shared" ca="1" si="360"/>
        <v>-55.87696620798782</v>
      </c>
      <c r="I829" s="357">
        <f t="shared" ca="1" si="361"/>
        <v>56.099103945022215</v>
      </c>
      <c r="J829" s="359">
        <f t="shared" ca="1" si="362"/>
        <v>184.26379383972827</v>
      </c>
      <c r="K829" s="360">
        <f t="shared" ca="1" si="363"/>
        <v>-7.6282896925359944</v>
      </c>
      <c r="L829" s="357">
        <f t="shared" ca="1" si="348"/>
        <v>184.42162705020021</v>
      </c>
      <c r="M829" s="359">
        <f t="shared" ca="1" si="364"/>
        <v>-1.4817755009123892</v>
      </c>
      <c r="N829" s="357">
        <f t="shared" ca="1" si="365"/>
        <v>-84.899482388163364</v>
      </c>
      <c r="O829" s="343"/>
      <c r="P829" s="363">
        <f t="shared" ca="1" si="366"/>
        <v>23</v>
      </c>
      <c r="Q829" s="357">
        <f t="shared" ca="1" si="367"/>
        <v>0</v>
      </c>
      <c r="R829" s="359">
        <f t="shared" ca="1" si="368"/>
        <v>0</v>
      </c>
      <c r="S829" s="360">
        <f t="shared" ca="1" si="369"/>
        <v>0.42898953648292248</v>
      </c>
      <c r="T829" s="357">
        <f t="shared" ca="1" si="349"/>
        <v>4.2083873528974696</v>
      </c>
      <c r="U829" s="364">
        <f t="shared" ca="1" si="350"/>
        <v>0</v>
      </c>
      <c r="V829" s="359">
        <f t="shared" ca="1" si="351"/>
        <v>1.2259348220420032</v>
      </c>
      <c r="W829" s="357">
        <f t="shared" ca="1" si="352"/>
        <v>3.4009322119724303</v>
      </c>
      <c r="X829" s="343"/>
      <c r="Y829" s="367" t="str">
        <f t="shared" ca="1" si="370"/>
        <v/>
      </c>
      <c r="Z829" s="368" t="str">
        <f t="shared" ca="1" si="371"/>
        <v/>
      </c>
      <c r="AA829" s="369" t="str">
        <f t="shared" ca="1" si="372"/>
        <v/>
      </c>
      <c r="AB829" s="344"/>
      <c r="AC829" s="363" t="e">
        <f t="shared" ca="1" si="373"/>
        <v>#N/A</v>
      </c>
      <c r="AD829" s="376" t="e">
        <f t="shared" ca="1" si="374"/>
        <v>#N/A</v>
      </c>
      <c r="AE829" s="377" t="e">
        <f t="shared" ca="1" si="353"/>
        <v>#N/A</v>
      </c>
      <c r="AF829" s="344"/>
      <c r="AG829" s="359">
        <f t="shared" ca="1" si="375"/>
        <v>1.8434358728666993</v>
      </c>
      <c r="AH829" s="357">
        <f t="shared" ca="1" si="376"/>
        <v>-7.9277177443554301</v>
      </c>
    </row>
    <row r="830" spans="1:34">
      <c r="A830" s="402">
        <f t="shared" ca="1" si="354"/>
        <v>1E-4</v>
      </c>
      <c r="B830" s="357">
        <f t="shared" ca="1" si="355"/>
        <v>16.947699999999863</v>
      </c>
      <c r="C830" s="342"/>
      <c r="D830" s="359">
        <f t="shared" ca="1" si="356"/>
        <v>-0.70480525616492173</v>
      </c>
      <c r="E830" s="360">
        <f t="shared" ca="1" si="357"/>
        <v>-1.9136176307767929</v>
      </c>
      <c r="F830" s="357">
        <f t="shared" ca="1" si="358"/>
        <v>2.0392848957263152</v>
      </c>
      <c r="G830" s="359">
        <f t="shared" ca="1" si="359"/>
        <v>4.9873247139416099</v>
      </c>
      <c r="H830" s="360">
        <f t="shared" ca="1" si="360"/>
        <v>-55.877157569750899</v>
      </c>
      <c r="I830" s="357">
        <f t="shared" ca="1" si="361"/>
        <v>56.09928828315973</v>
      </c>
      <c r="J830" s="359">
        <f t="shared" ca="1" si="362"/>
        <v>184.26379383972827</v>
      </c>
      <c r="K830" s="360">
        <f t="shared" ca="1" si="363"/>
        <v>-7.6338773987248816</v>
      </c>
      <c r="L830" s="357">
        <f t="shared" ca="1" si="348"/>
        <v>184.42185826075132</v>
      </c>
      <c r="M830" s="359">
        <f t="shared" ca="1" si="364"/>
        <v>-1.4817770555512302</v>
      </c>
      <c r="N830" s="357">
        <f t="shared" ca="1" si="365"/>
        <v>-84.899571462407621</v>
      </c>
      <c r="O830" s="343"/>
      <c r="P830" s="363">
        <f t="shared" ca="1" si="366"/>
        <v>23</v>
      </c>
      <c r="Q830" s="357">
        <f t="shared" ca="1" si="367"/>
        <v>0</v>
      </c>
      <c r="R830" s="359">
        <f t="shared" ca="1" si="368"/>
        <v>0</v>
      </c>
      <c r="S830" s="360">
        <f t="shared" ca="1" si="369"/>
        <v>0.42898953648292248</v>
      </c>
      <c r="T830" s="357">
        <f t="shared" ca="1" si="349"/>
        <v>4.2083873528974696</v>
      </c>
      <c r="U830" s="364">
        <f t="shared" ca="1" si="350"/>
        <v>0</v>
      </c>
      <c r="V830" s="359">
        <f t="shared" ca="1" si="351"/>
        <v>1.2259355070586537</v>
      </c>
      <c r="W830" s="357">
        <f t="shared" ca="1" si="352"/>
        <v>3.4009564628633884</v>
      </c>
      <c r="X830" s="343"/>
      <c r="Y830" s="367" t="str">
        <f t="shared" ca="1" si="370"/>
        <v/>
      </c>
      <c r="Z830" s="368" t="str">
        <f t="shared" ca="1" si="371"/>
        <v/>
      </c>
      <c r="AA830" s="369" t="str">
        <f t="shared" ca="1" si="372"/>
        <v/>
      </c>
      <c r="AB830" s="344"/>
      <c r="AC830" s="363" t="e">
        <f t="shared" ca="1" si="373"/>
        <v>#N/A</v>
      </c>
      <c r="AD830" s="376" t="e">
        <f t="shared" ca="1" si="374"/>
        <v>#N/A</v>
      </c>
      <c r="AE830" s="377" t="e">
        <f t="shared" ca="1" si="353"/>
        <v>#N/A</v>
      </c>
      <c r="AF830" s="344"/>
      <c r="AG830" s="359">
        <f t="shared" ca="1" si="375"/>
        <v>1.8433806971968281</v>
      </c>
      <c r="AH830" s="357">
        <f t="shared" ca="1" si="376"/>
        <v>-7.927774275929961</v>
      </c>
    </row>
    <row r="831" spans="1:34">
      <c r="A831" s="402">
        <f t="shared" ca="1" si="354"/>
        <v>1E-4</v>
      </c>
      <c r="B831" s="357">
        <f t="shared" ca="1" si="355"/>
        <v>16.947799999999862</v>
      </c>
      <c r="C831" s="342"/>
      <c r="D831" s="359">
        <f t="shared" ca="1" si="356"/>
        <v>-0.70479800578037921</v>
      </c>
      <c r="E831" s="360">
        <f t="shared" ca="1" si="357"/>
        <v>-1.9135602286437541</v>
      </c>
      <c r="F831" s="357">
        <f t="shared" ca="1" si="358"/>
        <v>2.0392285251043187</v>
      </c>
      <c r="G831" s="359">
        <f t="shared" ca="1" si="359"/>
        <v>4.987254234141032</v>
      </c>
      <c r="H831" s="360">
        <f t="shared" ca="1" si="360"/>
        <v>-55.877348925773767</v>
      </c>
      <c r="I831" s="357">
        <f t="shared" ca="1" si="361"/>
        <v>56.09947261577981</v>
      </c>
      <c r="J831" s="359">
        <f t="shared" ca="1" si="362"/>
        <v>184.26379383972827</v>
      </c>
      <c r="K831" s="360">
        <f t="shared" ca="1" si="363"/>
        <v>-7.6394651240496581</v>
      </c>
      <c r="L831" s="357">
        <f t="shared" ca="1" si="348"/>
        <v>184.42208964110415</v>
      </c>
      <c r="M831" s="359">
        <f t="shared" ca="1" si="364"/>
        <v>-1.4817786101578849</v>
      </c>
      <c r="N831" s="357">
        <f t="shared" ca="1" si="365"/>
        <v>-84.899660534807737</v>
      </c>
      <c r="O831" s="343"/>
      <c r="P831" s="363">
        <f t="shared" ca="1" si="366"/>
        <v>23</v>
      </c>
      <c r="Q831" s="357">
        <f t="shared" ca="1" si="367"/>
        <v>0</v>
      </c>
      <c r="R831" s="359">
        <f t="shared" ca="1" si="368"/>
        <v>0</v>
      </c>
      <c r="S831" s="360">
        <f t="shared" ca="1" si="369"/>
        <v>0.42898953648292248</v>
      </c>
      <c r="T831" s="357">
        <f t="shared" ca="1" si="349"/>
        <v>4.2083873528974696</v>
      </c>
      <c r="U831" s="364">
        <f t="shared" ca="1" si="350"/>
        <v>0</v>
      </c>
      <c r="V831" s="359">
        <f t="shared" ca="1" si="351"/>
        <v>1.2259361920780325</v>
      </c>
      <c r="W831" s="357">
        <f t="shared" ca="1" si="352"/>
        <v>3.4009807131913563</v>
      </c>
      <c r="X831" s="343"/>
      <c r="Y831" s="367" t="str">
        <f t="shared" ca="1" si="370"/>
        <v/>
      </c>
      <c r="Z831" s="368" t="str">
        <f t="shared" ca="1" si="371"/>
        <v/>
      </c>
      <c r="AA831" s="369" t="str">
        <f t="shared" ca="1" si="372"/>
        <v/>
      </c>
      <c r="AB831" s="344"/>
      <c r="AC831" s="363" t="e">
        <f t="shared" ca="1" si="373"/>
        <v>#N/A</v>
      </c>
      <c r="AD831" s="376" t="e">
        <f t="shared" ca="1" si="374"/>
        <v>#N/A</v>
      </c>
      <c r="AE831" s="377" t="e">
        <f t="shared" ca="1" si="353"/>
        <v>#N/A</v>
      </c>
      <c r="AF831" s="344"/>
      <c r="AG831" s="359">
        <f t="shared" ca="1" si="375"/>
        <v>1.8433255227876453</v>
      </c>
      <c r="AH831" s="357">
        <f t="shared" ca="1" si="376"/>
        <v>-7.9278308061921132</v>
      </c>
    </row>
    <row r="832" spans="1:34">
      <c r="A832" s="402">
        <f t="shared" ca="1" si="354"/>
        <v>1E-4</v>
      </c>
      <c r="B832" s="357">
        <f t="shared" ca="1" si="355"/>
        <v>16.947899999999862</v>
      </c>
      <c r="C832" s="342"/>
      <c r="D832" s="359">
        <f t="shared" ca="1" si="356"/>
        <v>-0.70479075535655022</v>
      </c>
      <c r="E832" s="360">
        <f t="shared" ca="1" si="357"/>
        <v>-1.9135028278440247</v>
      </c>
      <c r="F832" s="357">
        <f t="shared" ca="1" si="358"/>
        <v>2.0391721558032159</v>
      </c>
      <c r="G832" s="359">
        <f t="shared" ca="1" si="359"/>
        <v>4.9871837550654963</v>
      </c>
      <c r="H832" s="360">
        <f t="shared" ca="1" si="360"/>
        <v>-55.87754027605655</v>
      </c>
      <c r="I832" s="357">
        <f t="shared" ca="1" si="361"/>
        <v>56.099656942882554</v>
      </c>
      <c r="J832" s="359">
        <f t="shared" ca="1" si="362"/>
        <v>184.26379383972827</v>
      </c>
      <c r="K832" s="360">
        <f t="shared" ca="1" si="363"/>
        <v>-7.6450528685097492</v>
      </c>
      <c r="L832" s="357">
        <f t="shared" ca="1" si="348"/>
        <v>184.42232119125978</v>
      </c>
      <c r="M832" s="359">
        <f t="shared" ca="1" si="364"/>
        <v>-1.4817801647323545</v>
      </c>
      <c r="N832" s="357">
        <f t="shared" ca="1" si="365"/>
        <v>-84.899749605363795</v>
      </c>
      <c r="O832" s="343"/>
      <c r="P832" s="363">
        <f t="shared" ca="1" si="366"/>
        <v>23</v>
      </c>
      <c r="Q832" s="357">
        <f t="shared" ca="1" si="367"/>
        <v>0</v>
      </c>
      <c r="R832" s="359">
        <f t="shared" ca="1" si="368"/>
        <v>0</v>
      </c>
      <c r="S832" s="360">
        <f t="shared" ca="1" si="369"/>
        <v>0.42898953648292248</v>
      </c>
      <c r="T832" s="357">
        <f t="shared" ca="1" si="349"/>
        <v>4.2083873528974696</v>
      </c>
      <c r="U832" s="364">
        <f t="shared" ca="1" si="350"/>
        <v>0</v>
      </c>
      <c r="V832" s="359">
        <f t="shared" ca="1" si="351"/>
        <v>1.2259368771001404</v>
      </c>
      <c r="W832" s="357">
        <f t="shared" ca="1" si="352"/>
        <v>3.4010049629563404</v>
      </c>
      <c r="X832" s="343"/>
      <c r="Y832" s="367" t="str">
        <f t="shared" ca="1" si="370"/>
        <v/>
      </c>
      <c r="Z832" s="368" t="str">
        <f t="shared" ca="1" si="371"/>
        <v/>
      </c>
      <c r="AA832" s="369" t="str">
        <f t="shared" ca="1" si="372"/>
        <v/>
      </c>
      <c r="AB832" s="344"/>
      <c r="AC832" s="363" t="e">
        <f t="shared" ca="1" si="373"/>
        <v>#N/A</v>
      </c>
      <c r="AD832" s="376" t="e">
        <f t="shared" ca="1" si="374"/>
        <v>#N/A</v>
      </c>
      <c r="AE832" s="377" t="e">
        <f t="shared" ca="1" si="353"/>
        <v>#N/A</v>
      </c>
      <c r="AF832" s="344"/>
      <c r="AG832" s="359">
        <f t="shared" ca="1" si="375"/>
        <v>1.843270349639142</v>
      </c>
      <c r="AH832" s="357">
        <f t="shared" ca="1" si="376"/>
        <v>-7.9278873351419028</v>
      </c>
    </row>
    <row r="833" spans="1:34">
      <c r="A833" s="402">
        <f t="shared" ca="1" si="354"/>
        <v>1E-4</v>
      </c>
      <c r="B833" s="357">
        <f t="shared" ca="1" si="355"/>
        <v>16.947999999999862</v>
      </c>
      <c r="C833" s="342"/>
      <c r="D833" s="359">
        <f t="shared" ca="1" si="356"/>
        <v>-0.70478350489343899</v>
      </c>
      <c r="E833" s="360">
        <f t="shared" ca="1" si="357"/>
        <v>-1.9134454283775915</v>
      </c>
      <c r="F833" s="357">
        <f t="shared" ca="1" si="358"/>
        <v>2.0391157878229929</v>
      </c>
      <c r="G833" s="359">
        <f t="shared" ca="1" si="359"/>
        <v>4.9871132767150073</v>
      </c>
      <c r="H833" s="360">
        <f t="shared" ca="1" si="360"/>
        <v>-55.877731620599384</v>
      </c>
      <c r="I833" s="357">
        <f t="shared" ca="1" si="361"/>
        <v>56.099841264468111</v>
      </c>
      <c r="J833" s="359">
        <f t="shared" ca="1" si="362"/>
        <v>184.26379383972827</v>
      </c>
      <c r="K833" s="360">
        <f t="shared" ca="1" si="363"/>
        <v>-7.6506406321045821</v>
      </c>
      <c r="L833" s="357">
        <f t="shared" ca="1" si="348"/>
        <v>184.42255291121933</v>
      </c>
      <c r="M833" s="359">
        <f t="shared" ca="1" si="364"/>
        <v>-1.4817817192746394</v>
      </c>
      <c r="N833" s="357">
        <f t="shared" ca="1" si="365"/>
        <v>-84.899838674075781</v>
      </c>
      <c r="O833" s="343"/>
      <c r="P833" s="363">
        <f t="shared" ca="1" si="366"/>
        <v>23</v>
      </c>
      <c r="Q833" s="357">
        <f t="shared" ca="1" si="367"/>
        <v>0</v>
      </c>
      <c r="R833" s="359">
        <f t="shared" ca="1" si="368"/>
        <v>0</v>
      </c>
      <c r="S833" s="360">
        <f t="shared" ca="1" si="369"/>
        <v>0.42898953648292248</v>
      </c>
      <c r="T833" s="357">
        <f t="shared" ca="1" si="349"/>
        <v>4.2083873528974696</v>
      </c>
      <c r="U833" s="364">
        <f t="shared" ca="1" si="350"/>
        <v>0</v>
      </c>
      <c r="V833" s="359">
        <f t="shared" ca="1" si="351"/>
        <v>1.2259375621249775</v>
      </c>
      <c r="W833" s="357">
        <f t="shared" ca="1" si="352"/>
        <v>3.4010292121583525</v>
      </c>
      <c r="X833" s="343"/>
      <c r="Y833" s="367" t="str">
        <f t="shared" ca="1" si="370"/>
        <v/>
      </c>
      <c r="Z833" s="368" t="str">
        <f t="shared" ca="1" si="371"/>
        <v/>
      </c>
      <c r="AA833" s="369" t="str">
        <f t="shared" ca="1" si="372"/>
        <v/>
      </c>
      <c r="AB833" s="344"/>
      <c r="AC833" s="363" t="e">
        <f t="shared" ca="1" si="373"/>
        <v>#N/A</v>
      </c>
      <c r="AD833" s="376" t="e">
        <f t="shared" ca="1" si="374"/>
        <v>#N/A</v>
      </c>
      <c r="AE833" s="377" t="e">
        <f t="shared" ca="1" si="353"/>
        <v>#N/A</v>
      </c>
      <c r="AF833" s="344"/>
      <c r="AG833" s="359">
        <f t="shared" ca="1" si="375"/>
        <v>1.8432151777513033</v>
      </c>
      <c r="AH833" s="357">
        <f t="shared" ca="1" si="376"/>
        <v>-7.927943862779343</v>
      </c>
    </row>
    <row r="834" spans="1:34">
      <c r="A834" s="402">
        <f t="shared" ca="1" si="354"/>
        <v>1E-4</v>
      </c>
      <c r="B834" s="357">
        <f t="shared" ca="1" si="355"/>
        <v>16.948099999999862</v>
      </c>
      <c r="C834" s="342"/>
      <c r="D834" s="359">
        <f t="shared" ca="1" si="356"/>
        <v>-0.70477625439105596</v>
      </c>
      <c r="E834" s="360">
        <f t="shared" ca="1" si="357"/>
        <v>-1.9133880302444251</v>
      </c>
      <c r="F834" s="357">
        <f t="shared" ca="1" si="358"/>
        <v>2.0390594211636226</v>
      </c>
      <c r="G834" s="359">
        <f t="shared" ca="1" si="359"/>
        <v>4.9870427990895685</v>
      </c>
      <c r="H834" s="360">
        <f t="shared" ca="1" si="360"/>
        <v>-55.877922959402412</v>
      </c>
      <c r="I834" s="357">
        <f t="shared" ca="1" si="361"/>
        <v>56.100025580536609</v>
      </c>
      <c r="J834" s="359">
        <f t="shared" ca="1" si="362"/>
        <v>184.26379383972827</v>
      </c>
      <c r="K834" s="360">
        <f t="shared" ca="1" si="363"/>
        <v>-7.6562284148335822</v>
      </c>
      <c r="L834" s="357">
        <f t="shared" ca="1" si="348"/>
        <v>184.42278480098381</v>
      </c>
      <c r="M834" s="359">
        <f t="shared" ca="1" si="364"/>
        <v>-1.481783273784741</v>
      </c>
      <c r="N834" s="357">
        <f t="shared" ca="1" si="365"/>
        <v>-84.899927740943809</v>
      </c>
      <c r="O834" s="343"/>
      <c r="P834" s="363">
        <f t="shared" ca="1" si="366"/>
        <v>23</v>
      </c>
      <c r="Q834" s="357">
        <f t="shared" ca="1" si="367"/>
        <v>0</v>
      </c>
      <c r="R834" s="359">
        <f t="shared" ca="1" si="368"/>
        <v>0</v>
      </c>
      <c r="S834" s="360">
        <f t="shared" ca="1" si="369"/>
        <v>0.42898953648292248</v>
      </c>
      <c r="T834" s="357">
        <f t="shared" ca="1" si="349"/>
        <v>4.2083873528974696</v>
      </c>
      <c r="U834" s="364">
        <f t="shared" ca="1" si="350"/>
        <v>0</v>
      </c>
      <c r="V834" s="359">
        <f t="shared" ca="1" si="351"/>
        <v>1.2259382471525428</v>
      </c>
      <c r="W834" s="357">
        <f t="shared" ca="1" si="352"/>
        <v>3.4010534607973972</v>
      </c>
      <c r="X834" s="343"/>
      <c r="Y834" s="367" t="str">
        <f t="shared" ca="1" si="370"/>
        <v/>
      </c>
      <c r="Z834" s="368" t="str">
        <f t="shared" ca="1" si="371"/>
        <v/>
      </c>
      <c r="AA834" s="369" t="str">
        <f t="shared" ca="1" si="372"/>
        <v/>
      </c>
      <c r="AB834" s="344"/>
      <c r="AC834" s="363" t="e">
        <f t="shared" ca="1" si="373"/>
        <v>#N/A</v>
      </c>
      <c r="AD834" s="376" t="e">
        <f t="shared" ca="1" si="374"/>
        <v>#N/A</v>
      </c>
      <c r="AE834" s="377" t="e">
        <f t="shared" ca="1" si="353"/>
        <v>#N/A</v>
      </c>
      <c r="AF834" s="344"/>
      <c r="AG834" s="359">
        <f t="shared" ca="1" si="375"/>
        <v>1.8431600071241059</v>
      </c>
      <c r="AH834" s="357">
        <f t="shared" ca="1" si="376"/>
        <v>-7.9280003891044624</v>
      </c>
    </row>
    <row r="835" spans="1:34">
      <c r="A835" s="402">
        <f t="shared" ca="1" si="354"/>
        <v>1E-4</v>
      </c>
      <c r="B835" s="357">
        <f t="shared" ca="1" si="355"/>
        <v>16.948199999999861</v>
      </c>
      <c r="C835" s="342"/>
      <c r="D835" s="359">
        <f t="shared" ca="1" si="356"/>
        <v>-0.70476900384940344</v>
      </c>
      <c r="E835" s="360">
        <f t="shared" ca="1" si="357"/>
        <v>-1.9133306334445166</v>
      </c>
      <c r="F835" s="357">
        <f t="shared" ca="1" si="358"/>
        <v>2.0390030558250949</v>
      </c>
      <c r="G835" s="359">
        <f t="shared" ca="1" si="359"/>
        <v>4.9869723221891835</v>
      </c>
      <c r="H835" s="360">
        <f t="shared" ca="1" si="360"/>
        <v>-55.878114292465753</v>
      </c>
      <c r="I835" s="357">
        <f t="shared" ca="1" si="361"/>
        <v>56.100209891088163</v>
      </c>
      <c r="J835" s="359">
        <f t="shared" ca="1" si="362"/>
        <v>184.26379383972827</v>
      </c>
      <c r="K835" s="360">
        <f t="shared" ca="1" si="363"/>
        <v>-7.6618162166961756</v>
      </c>
      <c r="L835" s="357">
        <f t="shared" ca="1" si="348"/>
        <v>184.42301686055436</v>
      </c>
      <c r="M835" s="359">
        <f t="shared" ca="1" si="364"/>
        <v>-1.48178482826266</v>
      </c>
      <c r="N835" s="357">
        <f t="shared" ca="1" si="365"/>
        <v>-84.900016805967923</v>
      </c>
      <c r="O835" s="343"/>
      <c r="P835" s="363">
        <f t="shared" ca="1" si="366"/>
        <v>23</v>
      </c>
      <c r="Q835" s="357">
        <f t="shared" ca="1" si="367"/>
        <v>0</v>
      </c>
      <c r="R835" s="359">
        <f t="shared" ca="1" si="368"/>
        <v>0</v>
      </c>
      <c r="S835" s="360">
        <f t="shared" ca="1" si="369"/>
        <v>0.42898953648292248</v>
      </c>
      <c r="T835" s="357">
        <f t="shared" ca="1" si="349"/>
        <v>4.2083873528974696</v>
      </c>
      <c r="U835" s="364">
        <f t="shared" ca="1" si="350"/>
        <v>0</v>
      </c>
      <c r="V835" s="359">
        <f t="shared" ca="1" si="351"/>
        <v>1.2259389321828364</v>
      </c>
      <c r="W835" s="357">
        <f t="shared" ca="1" si="352"/>
        <v>3.4010777088734807</v>
      </c>
      <c r="X835" s="343"/>
      <c r="Y835" s="367" t="str">
        <f t="shared" ca="1" si="370"/>
        <v/>
      </c>
      <c r="Z835" s="368" t="str">
        <f t="shared" ca="1" si="371"/>
        <v/>
      </c>
      <c r="AA835" s="369" t="str">
        <f t="shared" ca="1" si="372"/>
        <v/>
      </c>
      <c r="AB835" s="344"/>
      <c r="AC835" s="363" t="e">
        <f t="shared" ca="1" si="373"/>
        <v>#N/A</v>
      </c>
      <c r="AD835" s="376" t="e">
        <f t="shared" ca="1" si="374"/>
        <v>#N/A</v>
      </c>
      <c r="AE835" s="377" t="e">
        <f t="shared" ca="1" si="353"/>
        <v>#N/A</v>
      </c>
      <c r="AF835" s="344"/>
      <c r="AG835" s="359">
        <f t="shared" ca="1" si="375"/>
        <v>1.8431048377575374</v>
      </c>
      <c r="AH835" s="357">
        <f t="shared" ca="1" si="376"/>
        <v>-7.9280569141172714</v>
      </c>
    </row>
    <row r="836" spans="1:34">
      <c r="A836" s="402">
        <f t="shared" ca="1" si="354"/>
        <v>1E-4</v>
      </c>
      <c r="B836" s="357">
        <f t="shared" ca="1" si="355"/>
        <v>16.948299999999861</v>
      </c>
      <c r="C836" s="342"/>
      <c r="D836" s="359">
        <f t="shared" ca="1" si="356"/>
        <v>-0.70476175326848711</v>
      </c>
      <c r="E836" s="360">
        <f t="shared" ca="1" si="357"/>
        <v>-1.9132732379778474</v>
      </c>
      <c r="F836" s="357">
        <f t="shared" ca="1" si="358"/>
        <v>2.038946691807392</v>
      </c>
      <c r="G836" s="359">
        <f t="shared" ca="1" si="359"/>
        <v>4.9869018460138568</v>
      </c>
      <c r="H836" s="360">
        <f t="shared" ca="1" si="360"/>
        <v>-55.87830561978955</v>
      </c>
      <c r="I836" s="357">
        <f t="shared" ca="1" si="361"/>
        <v>56.100394196122906</v>
      </c>
      <c r="J836" s="359">
        <f t="shared" ca="1" si="362"/>
        <v>184.26379383972827</v>
      </c>
      <c r="K836" s="360">
        <f t="shared" ca="1" si="363"/>
        <v>-7.6674040376917887</v>
      </c>
      <c r="L836" s="357">
        <f t="shared" ref="L836:L899" ca="1" si="377">SQRT(pos_x^2+pos_z^2)</f>
        <v>184.42324908993197</v>
      </c>
      <c r="M836" s="359">
        <f t="shared" ca="1" si="364"/>
        <v>-1.4817863827083972</v>
      </c>
      <c r="N836" s="357">
        <f t="shared" ca="1" si="365"/>
        <v>-84.900105869148149</v>
      </c>
      <c r="O836" s="343"/>
      <c r="P836" s="363">
        <f t="shared" ca="1" si="366"/>
        <v>23</v>
      </c>
      <c r="Q836" s="357">
        <f t="shared" ca="1" si="367"/>
        <v>0</v>
      </c>
      <c r="R836" s="359">
        <f t="shared" ca="1" si="368"/>
        <v>0</v>
      </c>
      <c r="S836" s="360">
        <f t="shared" ca="1" si="369"/>
        <v>0.42898953648292248</v>
      </c>
      <c r="T836" s="357">
        <f t="shared" ref="T836:T899" ca="1" si="378">m*g</f>
        <v>4.2083873528974696</v>
      </c>
      <c r="U836" s="364">
        <f t="shared" ref="U836:U899" ca="1" si="379">IF(pos_xz&lt;L_rampe,Poids*COS(Beta),0)</f>
        <v>0</v>
      </c>
      <c r="V836" s="359">
        <f t="shared" ref="V836:V899" ca="1" si="380">Rho_moyen*(20000-Alt_rampe-pos_z)/(20000+Alt_rampe+pos_z)</f>
        <v>1.2259396172158592</v>
      </c>
      <c r="W836" s="357">
        <f t="shared" ref="W836:W899" ca="1" si="381">1/2*Rho*Sref*Cx*vit_xz^2</f>
        <v>3.4011019563866154</v>
      </c>
      <c r="X836" s="343"/>
      <c r="Y836" s="367" t="str">
        <f t="shared" ca="1" si="370"/>
        <v/>
      </c>
      <c r="Z836" s="368" t="str">
        <f t="shared" ca="1" si="371"/>
        <v/>
      </c>
      <c r="AA836" s="369" t="str">
        <f t="shared" ca="1" si="372"/>
        <v/>
      </c>
      <c r="AB836" s="344"/>
      <c r="AC836" s="363" t="e">
        <f t="shared" ca="1" si="373"/>
        <v>#N/A</v>
      </c>
      <c r="AD836" s="376" t="e">
        <f t="shared" ca="1" si="374"/>
        <v>#N/A</v>
      </c>
      <c r="AE836" s="377" t="e">
        <f t="shared" ref="AE836:AE899" ca="1" si="382">IF(t&lt;T_para, pos_z, NA())</f>
        <v>#N/A</v>
      </c>
      <c r="AF836" s="344"/>
      <c r="AG836" s="359">
        <f t="shared" ca="1" si="375"/>
        <v>1.8430496696515863</v>
      </c>
      <c r="AH836" s="357">
        <f t="shared" ca="1" si="376"/>
        <v>-7.9281134378177853</v>
      </c>
    </row>
    <row r="837" spans="1:34">
      <c r="A837" s="402">
        <f t="shared" ref="A837:A900" ca="1" si="383">IF(B836+0.01&lt;=T_ini+ROUNDUP(Temps_fin_propu,0), 0.01, IF(K836&gt;0, 0.1, 0.0001))</f>
        <v>1E-4</v>
      </c>
      <c r="B837" s="357">
        <f t="shared" ref="B837:B900" ca="1" si="384">B836+pas</f>
        <v>16.948399999999861</v>
      </c>
      <c r="C837" s="342"/>
      <c r="D837" s="359">
        <f t="shared" ref="D837:D900" ca="1" si="385">IF(AND(L836&lt;L_rampe,Poussee&lt;Poids*SIN(M836)),0,(-W836+Poussee)/m*COS(M836)-U836/m*SIN(M836))</f>
        <v>-0.70475450264831596</v>
      </c>
      <c r="E837" s="360">
        <f t="shared" ref="E837:E900" ca="1" si="386">IF(AND(L836&lt;L_rampe,Poussee&lt;Poids*SIN(M836)),0,(-W836+Poussee)/m*SIN(M836)+U836/m*COS(M836)-Poids/m)</f>
        <v>-1.9132158438443936</v>
      </c>
      <c r="F837" s="357">
        <f t="shared" ref="F837:F900" ca="1" si="387">SQRT(acc_x^2+acc_z^2)</f>
        <v>2.0388903291104921</v>
      </c>
      <c r="G837" s="359">
        <f t="shared" ref="G837:G900" ca="1" si="388">G836+acc_x*pas</f>
        <v>4.9868313705635918</v>
      </c>
      <c r="H837" s="360">
        <f t="shared" ref="H837:H900" ca="1" si="389">H836+acc_z*pas</f>
        <v>-55.878496941373932</v>
      </c>
      <c r="I837" s="357">
        <f t="shared" ref="I837:I900" ca="1" si="390">SQRT(vit_x^2+vit_z^2)</f>
        <v>56.10057849564096</v>
      </c>
      <c r="J837" s="359">
        <f t="shared" ref="J837:J900" ca="1" si="391">J836+0.5*(vit_x+G836)*pas*(K836&gt;=0)</f>
        <v>184.26379383972827</v>
      </c>
      <c r="K837" s="360">
        <f t="shared" ref="K837:K900" ca="1" si="392">K836+0.5*(vit_z+H836)*pas</f>
        <v>-7.6729918778198467</v>
      </c>
      <c r="L837" s="357">
        <f t="shared" ca="1" si="377"/>
        <v>184.42348148911779</v>
      </c>
      <c r="M837" s="359">
        <f t="shared" ref="M837:M900" ca="1" si="393">IF(AND(L836&gt;L_rampe,G837&gt;0),ATAN2(G837,H837),$M$4)</f>
        <v>-1.4817879371219538</v>
      </c>
      <c r="N837" s="357">
        <f t="shared" ref="N837:N900" ca="1" si="394">DEGREES(Beta)</f>
        <v>-84.90019493048456</v>
      </c>
      <c r="O837" s="343"/>
      <c r="P837" s="363">
        <f t="shared" ref="P837:P900" ca="1" si="395">MATCH(t-pas/2-T_ini,CdP_t)</f>
        <v>23</v>
      </c>
      <c r="Q837" s="357">
        <f t="shared" ref="Q837:Q900" ca="1" si="396">(INDEX(CdP,2,i_P+1)-INDEX(CdP,2,i_P+0))/(INDEX(CdP,1,i_P+1)-INDEX(CdP,1,i_P+0))*(t-pas/2-T_ini-INDEX(CdP,1,i_P+0))+INDEX(CdP,2,i_P+0)</f>
        <v>0</v>
      </c>
      <c r="R837" s="359">
        <f t="shared" ref="R837:R900" ca="1" si="397">Poussee/(g*ISP)</f>
        <v>0</v>
      </c>
      <c r="S837" s="360">
        <f t="shared" ref="S837:S900" ca="1" si="398">S836-Débit*pas</f>
        <v>0.42898953648292248</v>
      </c>
      <c r="T837" s="357">
        <f t="shared" ca="1" si="378"/>
        <v>4.2083873528974696</v>
      </c>
      <c r="U837" s="364">
        <f t="shared" ca="1" si="379"/>
        <v>0</v>
      </c>
      <c r="V837" s="359">
        <f t="shared" ca="1" si="380"/>
        <v>1.2259403022516098</v>
      </c>
      <c r="W837" s="357">
        <f t="shared" ca="1" si="381"/>
        <v>3.4011262033368039</v>
      </c>
      <c r="X837" s="343"/>
      <c r="Y837" s="367" t="str">
        <f t="shared" ref="Y837:Y900" ca="1" si="399">IF(AND(pos_z&lt;=0,K836&gt;0),"Impact balistique","") &amp; IF(AND(H838&lt;0,vit_z&gt;=0),"Apogée","") &amp; IF(AND(Poussee=0,Q836&gt;0),"Fin de propulsion","") &amp; IF(AND(L838&gt;L_rampe,pos_xz&lt;=L_rampe),"Sortie de rampe","")</f>
        <v/>
      </c>
      <c r="Z837" s="368" t="str">
        <f t="shared" ref="Z837:Z900" ca="1" si="400">IF(ABS(t-T_para)&lt;pas/2,"Para","")</f>
        <v/>
      </c>
      <c r="AA837" s="369" t="str">
        <f t="shared" ref="AA837:AA900" ca="1" si="401">IF(ABS(t-T_satellite)&lt;pas/2,"Satellite","")</f>
        <v/>
      </c>
      <c r="AB837" s="344"/>
      <c r="AC837" s="363" t="e">
        <f t="shared" ref="AC837:AC900" ca="1" si="402">IF(ABS(t-ROUND(t,0))&lt;0.001,t,NA())</f>
        <v>#N/A</v>
      </c>
      <c r="AD837" s="376" t="e">
        <f t="shared" ref="AD837:AD900" ca="1" si="403">IF(ABS(t-ROUND(t,0))&lt;0.001,pos_x,NA())</f>
        <v>#N/A</v>
      </c>
      <c r="AE837" s="377" t="e">
        <f t="shared" ca="1" si="382"/>
        <v>#N/A</v>
      </c>
      <c r="AF837" s="344"/>
      <c r="AG837" s="359">
        <f t="shared" ref="AG837:AG900" ca="1" si="404">IF(AND(L836&lt;L_rampe,Poussee&lt;Poids*SIN(M836)),0,(-W836+Poussee)/m-Poids*SIN(M836)/m)</f>
        <v>1.8429945028062287</v>
      </c>
      <c r="AH837" s="357">
        <f t="shared" ref="AH837:AH900" ca="1" si="405">IF(AND(L836&lt;L_rampe,Poussee&lt;Poids*SIN(M836)), g*SIN(M836), (-W836+Poussee)/m)</f>
        <v>-7.9281699602060316</v>
      </c>
    </row>
    <row r="838" spans="1:34">
      <c r="A838" s="402">
        <f t="shared" ca="1" si="383"/>
        <v>1E-4</v>
      </c>
      <c r="B838" s="357">
        <f t="shared" ca="1" si="384"/>
        <v>16.948499999999861</v>
      </c>
      <c r="C838" s="342"/>
      <c r="D838" s="359">
        <f t="shared" ca="1" si="385"/>
        <v>-0.70474725198889354</v>
      </c>
      <c r="E838" s="360">
        <f t="shared" ca="1" si="386"/>
        <v>-1.9131584510441444</v>
      </c>
      <c r="F838" s="357">
        <f t="shared" ca="1" si="387"/>
        <v>2.0388339677343832</v>
      </c>
      <c r="G838" s="359">
        <f t="shared" ca="1" si="388"/>
        <v>4.9867608958383931</v>
      </c>
      <c r="H838" s="360">
        <f t="shared" ca="1" si="389"/>
        <v>-55.878688257219039</v>
      </c>
      <c r="I838" s="357">
        <f t="shared" ca="1" si="390"/>
        <v>56.100762789642459</v>
      </c>
      <c r="J838" s="359">
        <f t="shared" ca="1" si="391"/>
        <v>184.26379383972827</v>
      </c>
      <c r="K838" s="360">
        <f t="shared" ca="1" si="392"/>
        <v>-7.6785797370797759</v>
      </c>
      <c r="L838" s="357">
        <f t="shared" ca="1" si="377"/>
        <v>184.42371405811286</v>
      </c>
      <c r="M838" s="359">
        <f t="shared" ca="1" si="393"/>
        <v>-1.4817894915033305</v>
      </c>
      <c r="N838" s="357">
        <f t="shared" ca="1" si="394"/>
        <v>-84.900283989977197</v>
      </c>
      <c r="O838" s="343"/>
      <c r="P838" s="363">
        <f t="shared" ca="1" si="395"/>
        <v>23</v>
      </c>
      <c r="Q838" s="357">
        <f t="shared" ca="1" si="396"/>
        <v>0</v>
      </c>
      <c r="R838" s="359">
        <f t="shared" ca="1" si="397"/>
        <v>0</v>
      </c>
      <c r="S838" s="360">
        <f t="shared" ca="1" si="398"/>
        <v>0.42898953648292248</v>
      </c>
      <c r="T838" s="357">
        <f t="shared" ca="1" si="378"/>
        <v>4.2083873528974696</v>
      </c>
      <c r="U838" s="364">
        <f t="shared" ca="1" si="379"/>
        <v>0</v>
      </c>
      <c r="V838" s="359">
        <f t="shared" ca="1" si="380"/>
        <v>1.2259409872900893</v>
      </c>
      <c r="W838" s="357">
        <f t="shared" ca="1" si="381"/>
        <v>3.4011504497240579</v>
      </c>
      <c r="X838" s="343"/>
      <c r="Y838" s="367" t="str">
        <f t="shared" ca="1" si="399"/>
        <v/>
      </c>
      <c r="Z838" s="368" t="str">
        <f t="shared" ca="1" si="400"/>
        <v/>
      </c>
      <c r="AA838" s="369" t="str">
        <f t="shared" ca="1" si="401"/>
        <v/>
      </c>
      <c r="AB838" s="344"/>
      <c r="AC838" s="363" t="e">
        <f t="shared" ca="1" si="402"/>
        <v>#N/A</v>
      </c>
      <c r="AD838" s="376" t="e">
        <f t="shared" ca="1" si="403"/>
        <v>#N/A</v>
      </c>
      <c r="AE838" s="377" t="e">
        <f t="shared" ca="1" si="382"/>
        <v>#N/A</v>
      </c>
      <c r="AF838" s="344"/>
      <c r="AG838" s="359">
        <f t="shared" ca="1" si="404"/>
        <v>1.8429393372214617</v>
      </c>
      <c r="AH838" s="357">
        <f t="shared" ca="1" si="405"/>
        <v>-7.9282264812820165</v>
      </c>
    </row>
    <row r="839" spans="1:34">
      <c r="A839" s="402">
        <f t="shared" ca="1" si="383"/>
        <v>1E-4</v>
      </c>
      <c r="B839" s="357">
        <f t="shared" ca="1" si="384"/>
        <v>16.94859999999986</v>
      </c>
      <c r="C839" s="342"/>
      <c r="D839" s="359">
        <f t="shared" ca="1" si="385"/>
        <v>-0.70474000129022674</v>
      </c>
      <c r="E839" s="360">
        <f t="shared" ca="1" si="386"/>
        <v>-1.9131010595770732</v>
      </c>
      <c r="F839" s="357">
        <f t="shared" ca="1" si="387"/>
        <v>2.03877760767904</v>
      </c>
      <c r="G839" s="359">
        <f t="shared" ca="1" si="388"/>
        <v>4.9866904218382642</v>
      </c>
      <c r="H839" s="360">
        <f t="shared" ca="1" si="389"/>
        <v>-55.878879567324994</v>
      </c>
      <c r="I839" s="357">
        <f t="shared" ca="1" si="390"/>
        <v>56.100947078127511</v>
      </c>
      <c r="J839" s="359">
        <f t="shared" ca="1" si="391"/>
        <v>184.26379383972827</v>
      </c>
      <c r="K839" s="360">
        <f t="shared" ca="1" si="392"/>
        <v>-7.6841676154710035</v>
      </c>
      <c r="L839" s="357">
        <f t="shared" ca="1" si="377"/>
        <v>184.42394679691827</v>
      </c>
      <c r="M839" s="359">
        <f t="shared" ca="1" si="393"/>
        <v>-1.4817910458525283</v>
      </c>
      <c r="N839" s="357">
        <f t="shared" ca="1" si="394"/>
        <v>-84.900373047626118</v>
      </c>
      <c r="O839" s="343"/>
      <c r="P839" s="363">
        <f t="shared" ca="1" si="395"/>
        <v>23</v>
      </c>
      <c r="Q839" s="357">
        <f t="shared" ca="1" si="396"/>
        <v>0</v>
      </c>
      <c r="R839" s="359">
        <f t="shared" ca="1" si="397"/>
        <v>0</v>
      </c>
      <c r="S839" s="360">
        <f t="shared" ca="1" si="398"/>
        <v>0.42898953648292248</v>
      </c>
      <c r="T839" s="357">
        <f t="shared" ca="1" si="378"/>
        <v>4.2083873528974696</v>
      </c>
      <c r="U839" s="364">
        <f t="shared" ca="1" si="379"/>
        <v>0</v>
      </c>
      <c r="V839" s="359">
        <f t="shared" ca="1" si="380"/>
        <v>1.2259416723312972</v>
      </c>
      <c r="W839" s="357">
        <f t="shared" ca="1" si="381"/>
        <v>3.401174695548383</v>
      </c>
      <c r="X839" s="343"/>
      <c r="Y839" s="367" t="str">
        <f t="shared" ca="1" si="399"/>
        <v/>
      </c>
      <c r="Z839" s="368" t="str">
        <f t="shared" ca="1" si="400"/>
        <v/>
      </c>
      <c r="AA839" s="369" t="str">
        <f t="shared" ca="1" si="401"/>
        <v/>
      </c>
      <c r="AB839" s="344"/>
      <c r="AC839" s="363" t="e">
        <f t="shared" ca="1" si="402"/>
        <v>#N/A</v>
      </c>
      <c r="AD839" s="376" t="e">
        <f t="shared" ca="1" si="403"/>
        <v>#N/A</v>
      </c>
      <c r="AE839" s="377" t="e">
        <f t="shared" ca="1" si="382"/>
        <v>#N/A</v>
      </c>
      <c r="AF839" s="344"/>
      <c r="AG839" s="359">
        <f t="shared" ca="1" si="404"/>
        <v>1.8428841728972589</v>
      </c>
      <c r="AH839" s="357">
        <f t="shared" ca="1" si="405"/>
        <v>-7.9282830010457683</v>
      </c>
    </row>
    <row r="840" spans="1:34">
      <c r="A840" s="402">
        <f t="shared" ca="1" si="383"/>
        <v>1E-4</v>
      </c>
      <c r="B840" s="357">
        <f t="shared" ca="1" si="384"/>
        <v>16.94869999999986</v>
      </c>
      <c r="C840" s="342"/>
      <c r="D840" s="359">
        <f t="shared" ca="1" si="385"/>
        <v>-0.70473275055232132</v>
      </c>
      <c r="E840" s="360">
        <f t="shared" ca="1" si="386"/>
        <v>-1.9130436694431676</v>
      </c>
      <c r="F840" s="357">
        <f t="shared" ca="1" si="387"/>
        <v>2.0387212489444506</v>
      </c>
      <c r="G840" s="359">
        <f t="shared" ca="1" si="388"/>
        <v>4.9866199485632086</v>
      </c>
      <c r="H840" s="360">
        <f t="shared" ca="1" si="389"/>
        <v>-55.879070871691937</v>
      </c>
      <c r="I840" s="357">
        <f t="shared" ca="1" si="390"/>
        <v>56.101131361096265</v>
      </c>
      <c r="J840" s="359">
        <f t="shared" ca="1" si="391"/>
        <v>184.26379383972827</v>
      </c>
      <c r="K840" s="360">
        <f t="shared" ca="1" si="392"/>
        <v>-7.6897555129929547</v>
      </c>
      <c r="L840" s="357">
        <f t="shared" ca="1" si="377"/>
        <v>184.42417970553504</v>
      </c>
      <c r="M840" s="359">
        <f t="shared" ca="1" si="393"/>
        <v>-1.4817926001695483</v>
      </c>
      <c r="N840" s="357">
        <f t="shared" ca="1" si="394"/>
        <v>-84.900462103431394</v>
      </c>
      <c r="O840" s="343"/>
      <c r="P840" s="363">
        <f t="shared" ca="1" si="395"/>
        <v>23</v>
      </c>
      <c r="Q840" s="357">
        <f t="shared" ca="1" si="396"/>
        <v>0</v>
      </c>
      <c r="R840" s="359">
        <f t="shared" ca="1" si="397"/>
        <v>0</v>
      </c>
      <c r="S840" s="360">
        <f t="shared" ca="1" si="398"/>
        <v>0.42898953648292248</v>
      </c>
      <c r="T840" s="357">
        <f t="shared" ca="1" si="378"/>
        <v>4.2083873528974696</v>
      </c>
      <c r="U840" s="364">
        <f t="shared" ca="1" si="379"/>
        <v>0</v>
      </c>
      <c r="V840" s="359">
        <f t="shared" ca="1" si="380"/>
        <v>1.225942357375233</v>
      </c>
      <c r="W840" s="357">
        <f t="shared" ca="1" si="381"/>
        <v>3.4011989408097882</v>
      </c>
      <c r="X840" s="343"/>
      <c r="Y840" s="367" t="str">
        <f t="shared" ca="1" si="399"/>
        <v/>
      </c>
      <c r="Z840" s="368" t="str">
        <f t="shared" ca="1" si="400"/>
        <v/>
      </c>
      <c r="AA840" s="369" t="str">
        <f t="shared" ca="1" si="401"/>
        <v/>
      </c>
      <c r="AB840" s="344"/>
      <c r="AC840" s="363" t="e">
        <f t="shared" ca="1" si="402"/>
        <v>#N/A</v>
      </c>
      <c r="AD840" s="376" t="e">
        <f t="shared" ca="1" si="403"/>
        <v>#N/A</v>
      </c>
      <c r="AE840" s="377" t="e">
        <f t="shared" ca="1" si="382"/>
        <v>#N/A</v>
      </c>
      <c r="AF840" s="344"/>
      <c r="AG840" s="359">
        <f t="shared" ca="1" si="404"/>
        <v>1.8428290098336042</v>
      </c>
      <c r="AH840" s="357">
        <f t="shared" ca="1" si="405"/>
        <v>-7.9283395194972996</v>
      </c>
    </row>
    <row r="841" spans="1:34">
      <c r="A841" s="402">
        <f t="shared" ca="1" si="383"/>
        <v>1E-4</v>
      </c>
      <c r="B841" s="357">
        <f t="shared" ca="1" si="384"/>
        <v>16.94879999999986</v>
      </c>
      <c r="C841" s="342"/>
      <c r="D841" s="359">
        <f t="shared" ca="1" si="385"/>
        <v>-0.70472549977518206</v>
      </c>
      <c r="E841" s="360">
        <f t="shared" ca="1" si="386"/>
        <v>-1.9129862806424063</v>
      </c>
      <c r="F841" s="357">
        <f t="shared" ca="1" si="387"/>
        <v>2.0386648915305936</v>
      </c>
      <c r="G841" s="359">
        <f t="shared" ca="1" si="388"/>
        <v>4.9865494760132307</v>
      </c>
      <c r="H841" s="360">
        <f t="shared" ca="1" si="389"/>
        <v>-55.879262170320004</v>
      </c>
      <c r="I841" s="357">
        <f t="shared" ca="1" si="390"/>
        <v>56.101315638548833</v>
      </c>
      <c r="J841" s="359">
        <f t="shared" ca="1" si="391"/>
        <v>184.26379383972827</v>
      </c>
      <c r="K841" s="360">
        <f t="shared" ca="1" si="392"/>
        <v>-7.6953434296450549</v>
      </c>
      <c r="L841" s="357">
        <f t="shared" ca="1" si="377"/>
        <v>184.42441278396433</v>
      </c>
      <c r="M841" s="359">
        <f t="shared" ca="1" si="393"/>
        <v>-1.4817941544543911</v>
      </c>
      <c r="N841" s="357">
        <f t="shared" ca="1" si="394"/>
        <v>-84.900551157393039</v>
      </c>
      <c r="O841" s="343"/>
      <c r="P841" s="363">
        <f t="shared" ca="1" si="395"/>
        <v>23</v>
      </c>
      <c r="Q841" s="357">
        <f t="shared" ca="1" si="396"/>
        <v>0</v>
      </c>
      <c r="R841" s="359">
        <f t="shared" ca="1" si="397"/>
        <v>0</v>
      </c>
      <c r="S841" s="360">
        <f t="shared" ca="1" si="398"/>
        <v>0.42898953648292248</v>
      </c>
      <c r="T841" s="357">
        <f t="shared" ca="1" si="378"/>
        <v>4.2083873528974696</v>
      </c>
      <c r="U841" s="364">
        <f t="shared" ca="1" si="379"/>
        <v>0</v>
      </c>
      <c r="V841" s="359">
        <f t="shared" ca="1" si="380"/>
        <v>1.2259430424218969</v>
      </c>
      <c r="W841" s="357">
        <f t="shared" ca="1" si="381"/>
        <v>3.4012231855082784</v>
      </c>
      <c r="X841" s="343"/>
      <c r="Y841" s="367" t="str">
        <f t="shared" ca="1" si="399"/>
        <v/>
      </c>
      <c r="Z841" s="368" t="str">
        <f t="shared" ca="1" si="400"/>
        <v/>
      </c>
      <c r="AA841" s="369" t="str">
        <f t="shared" ca="1" si="401"/>
        <v/>
      </c>
      <c r="AB841" s="344"/>
      <c r="AC841" s="363" t="e">
        <f t="shared" ca="1" si="402"/>
        <v>#N/A</v>
      </c>
      <c r="AD841" s="376" t="e">
        <f t="shared" ca="1" si="403"/>
        <v>#N/A</v>
      </c>
      <c r="AE841" s="377" t="e">
        <f t="shared" ca="1" si="382"/>
        <v>#N/A</v>
      </c>
      <c r="AF841" s="344"/>
      <c r="AG841" s="359">
        <f t="shared" ca="1" si="404"/>
        <v>1.8427738480304887</v>
      </c>
      <c r="AH841" s="357">
        <f t="shared" ca="1" si="405"/>
        <v>-7.9283960366366317</v>
      </c>
    </row>
    <row r="842" spans="1:34">
      <c r="A842" s="402">
        <f t="shared" ca="1" si="383"/>
        <v>1E-4</v>
      </c>
      <c r="B842" s="357">
        <f t="shared" ca="1" si="384"/>
        <v>16.94889999999986</v>
      </c>
      <c r="C842" s="342"/>
      <c r="D842" s="359">
        <f t="shared" ca="1" si="385"/>
        <v>-0.7047182489588163</v>
      </c>
      <c r="E842" s="360">
        <f t="shared" ca="1" si="386"/>
        <v>-1.9129288931747777</v>
      </c>
      <c r="F842" s="357">
        <f t="shared" ca="1" si="387"/>
        <v>2.0386085354374588</v>
      </c>
      <c r="G842" s="359">
        <f t="shared" ca="1" si="388"/>
        <v>4.9864790041883351</v>
      </c>
      <c r="H842" s="360">
        <f t="shared" ca="1" si="389"/>
        <v>-55.879453463209323</v>
      </c>
      <c r="I842" s="357">
        <f t="shared" ca="1" si="390"/>
        <v>56.101499910485344</v>
      </c>
      <c r="J842" s="359">
        <f t="shared" ca="1" si="391"/>
        <v>184.26379383972827</v>
      </c>
      <c r="K842" s="360">
        <f t="shared" ca="1" si="392"/>
        <v>-7.7009313654267313</v>
      </c>
      <c r="L842" s="357">
        <f t="shared" ca="1" si="377"/>
        <v>184.42464603220714</v>
      </c>
      <c r="M842" s="359">
        <f t="shared" ca="1" si="393"/>
        <v>-1.4817957087070579</v>
      </c>
      <c r="N842" s="357">
        <f t="shared" ca="1" si="394"/>
        <v>-84.900640209511153</v>
      </c>
      <c r="O842" s="343"/>
      <c r="P842" s="363">
        <f t="shared" ca="1" si="395"/>
        <v>23</v>
      </c>
      <c r="Q842" s="357">
        <f t="shared" ca="1" si="396"/>
        <v>0</v>
      </c>
      <c r="R842" s="359">
        <f t="shared" ca="1" si="397"/>
        <v>0</v>
      </c>
      <c r="S842" s="360">
        <f t="shared" ca="1" si="398"/>
        <v>0.42898953648292248</v>
      </c>
      <c r="T842" s="357">
        <f t="shared" ca="1" si="378"/>
        <v>4.2083873528974696</v>
      </c>
      <c r="U842" s="364">
        <f t="shared" ca="1" si="379"/>
        <v>0</v>
      </c>
      <c r="V842" s="359">
        <f t="shared" ca="1" si="380"/>
        <v>1.225943727471289</v>
      </c>
      <c r="W842" s="357">
        <f t="shared" ca="1" si="381"/>
        <v>3.4012474296438637</v>
      </c>
      <c r="X842" s="343"/>
      <c r="Y842" s="367" t="str">
        <f t="shared" ca="1" si="399"/>
        <v/>
      </c>
      <c r="Z842" s="368" t="str">
        <f t="shared" ca="1" si="400"/>
        <v/>
      </c>
      <c r="AA842" s="369" t="str">
        <f t="shared" ca="1" si="401"/>
        <v/>
      </c>
      <c r="AB842" s="344"/>
      <c r="AC842" s="363" t="e">
        <f t="shared" ca="1" si="402"/>
        <v>#N/A</v>
      </c>
      <c r="AD842" s="376" t="e">
        <f t="shared" ca="1" si="403"/>
        <v>#N/A</v>
      </c>
      <c r="AE842" s="377" t="e">
        <f t="shared" ca="1" si="382"/>
        <v>#N/A</v>
      </c>
      <c r="AF842" s="344"/>
      <c r="AG842" s="359">
        <f t="shared" ca="1" si="404"/>
        <v>1.8427186874878956</v>
      </c>
      <c r="AH842" s="357">
        <f t="shared" ca="1" si="405"/>
        <v>-7.9284525524637743</v>
      </c>
    </row>
    <row r="843" spans="1:34">
      <c r="A843" s="402">
        <f t="shared" ca="1" si="383"/>
        <v>1E-4</v>
      </c>
      <c r="B843" s="357">
        <f t="shared" ca="1" si="384"/>
        <v>16.94899999999986</v>
      </c>
      <c r="C843" s="342"/>
      <c r="D843" s="359">
        <f t="shared" ca="1" si="385"/>
        <v>-0.70471099810322912</v>
      </c>
      <c r="E843" s="360">
        <f t="shared" ca="1" si="386"/>
        <v>-1.912871507040256</v>
      </c>
      <c r="F843" s="357">
        <f t="shared" ca="1" si="387"/>
        <v>2.0385521806650204</v>
      </c>
      <c r="G843" s="359">
        <f t="shared" ca="1" si="388"/>
        <v>4.9864085330885244</v>
      </c>
      <c r="H843" s="360">
        <f t="shared" ca="1" si="389"/>
        <v>-55.879644750360029</v>
      </c>
      <c r="I843" s="357">
        <f t="shared" ca="1" si="390"/>
        <v>56.101684176905934</v>
      </c>
      <c r="J843" s="359">
        <f t="shared" ca="1" si="391"/>
        <v>184.26379383972827</v>
      </c>
      <c r="K843" s="360">
        <f t="shared" ca="1" si="392"/>
        <v>-7.7065193203374101</v>
      </c>
      <c r="L843" s="357">
        <f t="shared" ca="1" si="377"/>
        <v>184.42487945026457</v>
      </c>
      <c r="M843" s="359">
        <f t="shared" ca="1" si="393"/>
        <v>-1.4817972629275493</v>
      </c>
      <c r="N843" s="357">
        <f t="shared" ca="1" si="394"/>
        <v>-84.900729259785734</v>
      </c>
      <c r="O843" s="343"/>
      <c r="P843" s="363">
        <f t="shared" ca="1" si="395"/>
        <v>23</v>
      </c>
      <c r="Q843" s="357">
        <f t="shared" ca="1" si="396"/>
        <v>0</v>
      </c>
      <c r="R843" s="359">
        <f t="shared" ca="1" si="397"/>
        <v>0</v>
      </c>
      <c r="S843" s="360">
        <f t="shared" ca="1" si="398"/>
        <v>0.42898953648292248</v>
      </c>
      <c r="T843" s="357">
        <f t="shared" ca="1" si="378"/>
        <v>4.2083873528974696</v>
      </c>
      <c r="U843" s="364">
        <f t="shared" ca="1" si="379"/>
        <v>0</v>
      </c>
      <c r="V843" s="359">
        <f t="shared" ca="1" si="380"/>
        <v>1.2259444125234094</v>
      </c>
      <c r="W843" s="357">
        <f t="shared" ca="1" si="381"/>
        <v>3.4012716732165531</v>
      </c>
      <c r="X843" s="343"/>
      <c r="Y843" s="367" t="str">
        <f t="shared" ca="1" si="399"/>
        <v/>
      </c>
      <c r="Z843" s="368" t="str">
        <f t="shared" ca="1" si="400"/>
        <v/>
      </c>
      <c r="AA843" s="369" t="str">
        <f t="shared" ca="1" si="401"/>
        <v/>
      </c>
      <c r="AB843" s="344"/>
      <c r="AC843" s="363" t="e">
        <f t="shared" ca="1" si="402"/>
        <v>#N/A</v>
      </c>
      <c r="AD843" s="376" t="e">
        <f t="shared" ca="1" si="403"/>
        <v>#N/A</v>
      </c>
      <c r="AE843" s="377" t="e">
        <f t="shared" ca="1" si="382"/>
        <v>#N/A</v>
      </c>
      <c r="AF843" s="344"/>
      <c r="AG843" s="359">
        <f t="shared" ca="1" si="404"/>
        <v>1.8426635282058079</v>
      </c>
      <c r="AH843" s="357">
        <f t="shared" ca="1" si="405"/>
        <v>-7.9285090669787532</v>
      </c>
    </row>
    <row r="844" spans="1:34">
      <c r="A844" s="402">
        <f t="shared" ca="1" si="383"/>
        <v>1E-4</v>
      </c>
      <c r="B844" s="357">
        <f t="shared" ca="1" si="384"/>
        <v>16.949099999999859</v>
      </c>
      <c r="C844" s="342"/>
      <c r="D844" s="359">
        <f t="shared" ca="1" si="385"/>
        <v>-0.70470374720842865</v>
      </c>
      <c r="E844" s="360">
        <f t="shared" ca="1" si="386"/>
        <v>-1.9128141222388209</v>
      </c>
      <c r="F844" s="357">
        <f t="shared" ca="1" si="387"/>
        <v>2.0384958272132594</v>
      </c>
      <c r="G844" s="359">
        <f t="shared" ca="1" si="388"/>
        <v>4.9863380627138039</v>
      </c>
      <c r="H844" s="360">
        <f t="shared" ca="1" si="389"/>
        <v>-55.87983603177225</v>
      </c>
      <c r="I844" s="357">
        <f t="shared" ca="1" si="390"/>
        <v>56.101868437810708</v>
      </c>
      <c r="J844" s="359">
        <f t="shared" ca="1" si="391"/>
        <v>184.26379383972827</v>
      </c>
      <c r="K844" s="360">
        <f t="shared" ca="1" si="392"/>
        <v>-7.7121072943765165</v>
      </c>
      <c r="L844" s="357">
        <f t="shared" ca="1" si="377"/>
        <v>184.42511303813765</v>
      </c>
      <c r="M844" s="359">
        <f t="shared" ca="1" si="393"/>
        <v>-1.4817988171158665</v>
      </c>
      <c r="N844" s="357">
        <f t="shared" ca="1" si="394"/>
        <v>-84.900818308216884</v>
      </c>
      <c r="O844" s="343"/>
      <c r="P844" s="363">
        <f t="shared" ca="1" si="395"/>
        <v>23</v>
      </c>
      <c r="Q844" s="357">
        <f t="shared" ca="1" si="396"/>
        <v>0</v>
      </c>
      <c r="R844" s="359">
        <f t="shared" ca="1" si="397"/>
        <v>0</v>
      </c>
      <c r="S844" s="360">
        <f t="shared" ca="1" si="398"/>
        <v>0.42898953648292248</v>
      </c>
      <c r="T844" s="357">
        <f t="shared" ca="1" si="378"/>
        <v>4.2083873528974696</v>
      </c>
      <c r="U844" s="364">
        <f t="shared" ca="1" si="379"/>
        <v>0</v>
      </c>
      <c r="V844" s="359">
        <f t="shared" ca="1" si="380"/>
        <v>1.2259450975782578</v>
      </c>
      <c r="W844" s="357">
        <f t="shared" ca="1" si="381"/>
        <v>3.4012959162263505</v>
      </c>
      <c r="X844" s="343"/>
      <c r="Y844" s="367" t="str">
        <f t="shared" ca="1" si="399"/>
        <v/>
      </c>
      <c r="Z844" s="368" t="str">
        <f t="shared" ca="1" si="400"/>
        <v/>
      </c>
      <c r="AA844" s="369" t="str">
        <f t="shared" ca="1" si="401"/>
        <v/>
      </c>
      <c r="AB844" s="344"/>
      <c r="AC844" s="363" t="e">
        <f t="shared" ca="1" si="402"/>
        <v>#N/A</v>
      </c>
      <c r="AD844" s="376" t="e">
        <f t="shared" ca="1" si="403"/>
        <v>#N/A</v>
      </c>
      <c r="AE844" s="377" t="e">
        <f t="shared" ca="1" si="382"/>
        <v>#N/A</v>
      </c>
      <c r="AF844" s="344"/>
      <c r="AG844" s="359">
        <f t="shared" ca="1" si="404"/>
        <v>1.8426083701842018</v>
      </c>
      <c r="AH844" s="357">
        <f t="shared" ca="1" si="405"/>
        <v>-7.9285655801815889</v>
      </c>
    </row>
    <row r="845" spans="1:34">
      <c r="A845" s="402">
        <f t="shared" ca="1" si="383"/>
        <v>1E-4</v>
      </c>
      <c r="B845" s="357">
        <f t="shared" ca="1" si="384"/>
        <v>16.949199999999859</v>
      </c>
      <c r="C845" s="342"/>
      <c r="D845" s="359">
        <f t="shared" ca="1" si="385"/>
        <v>-0.70469649627441855</v>
      </c>
      <c r="E845" s="360">
        <f t="shared" ca="1" si="386"/>
        <v>-1.9127567387704643</v>
      </c>
      <c r="F845" s="357">
        <f t="shared" ca="1" si="387"/>
        <v>2.0384394750821677</v>
      </c>
      <c r="G845" s="359">
        <f t="shared" ca="1" si="388"/>
        <v>4.9862675930641762</v>
      </c>
      <c r="H845" s="360">
        <f t="shared" ca="1" si="389"/>
        <v>-55.880027307446127</v>
      </c>
      <c r="I845" s="357">
        <f t="shared" ca="1" si="390"/>
        <v>56.102052693199795</v>
      </c>
      <c r="J845" s="359">
        <f t="shared" ca="1" si="391"/>
        <v>184.26379383972827</v>
      </c>
      <c r="K845" s="360">
        <f t="shared" ca="1" si="392"/>
        <v>-7.7176952875434779</v>
      </c>
      <c r="L845" s="357">
        <f t="shared" ca="1" si="377"/>
        <v>184.42534679582752</v>
      </c>
      <c r="M845" s="359">
        <f t="shared" ca="1" si="393"/>
        <v>-1.4818003712720103</v>
      </c>
      <c r="N845" s="357">
        <f t="shared" ca="1" si="394"/>
        <v>-84.90090735480463</v>
      </c>
      <c r="O845" s="343"/>
      <c r="P845" s="363">
        <f t="shared" ca="1" si="395"/>
        <v>23</v>
      </c>
      <c r="Q845" s="357">
        <f t="shared" ca="1" si="396"/>
        <v>0</v>
      </c>
      <c r="R845" s="359">
        <f t="shared" ca="1" si="397"/>
        <v>0</v>
      </c>
      <c r="S845" s="360">
        <f t="shared" ca="1" si="398"/>
        <v>0.42898953648292248</v>
      </c>
      <c r="T845" s="357">
        <f t="shared" ca="1" si="378"/>
        <v>4.2083873528974696</v>
      </c>
      <c r="U845" s="364">
        <f t="shared" ca="1" si="379"/>
        <v>0</v>
      </c>
      <c r="V845" s="359">
        <f t="shared" ca="1" si="380"/>
        <v>1.225945782635834</v>
      </c>
      <c r="W845" s="357">
        <f t="shared" ca="1" si="381"/>
        <v>3.4013201586732644</v>
      </c>
      <c r="X845" s="343"/>
      <c r="Y845" s="367" t="str">
        <f t="shared" ca="1" si="399"/>
        <v/>
      </c>
      <c r="Z845" s="368" t="str">
        <f t="shared" ca="1" si="400"/>
        <v/>
      </c>
      <c r="AA845" s="369" t="str">
        <f t="shared" ca="1" si="401"/>
        <v/>
      </c>
      <c r="AB845" s="344"/>
      <c r="AC845" s="363" t="e">
        <f t="shared" ca="1" si="402"/>
        <v>#N/A</v>
      </c>
      <c r="AD845" s="376" t="e">
        <f t="shared" ca="1" si="403"/>
        <v>#N/A</v>
      </c>
      <c r="AE845" s="377" t="e">
        <f t="shared" ca="1" si="382"/>
        <v>#N/A</v>
      </c>
      <c r="AF845" s="344"/>
      <c r="AG845" s="359">
        <f t="shared" ca="1" si="404"/>
        <v>1.8425532134230762</v>
      </c>
      <c r="AH845" s="357">
        <f t="shared" ca="1" si="405"/>
        <v>-7.9286220920722892</v>
      </c>
    </row>
    <row r="846" spans="1:34">
      <c r="A846" s="402">
        <f t="shared" ca="1" si="383"/>
        <v>1E-4</v>
      </c>
      <c r="B846" s="357">
        <f t="shared" ca="1" si="384"/>
        <v>16.949299999999859</v>
      </c>
      <c r="C846" s="342"/>
      <c r="D846" s="359">
        <f t="shared" ca="1" si="385"/>
        <v>-0.70468924530120536</v>
      </c>
      <c r="E846" s="360">
        <f t="shared" ca="1" si="386"/>
        <v>-1.9126993566351649</v>
      </c>
      <c r="F846" s="357">
        <f t="shared" ca="1" si="387"/>
        <v>2.0383831242717245</v>
      </c>
      <c r="G846" s="359">
        <f t="shared" ca="1" si="388"/>
        <v>4.9861971241396459</v>
      </c>
      <c r="H846" s="360">
        <f t="shared" ca="1" si="389"/>
        <v>-55.88021857738179</v>
      </c>
      <c r="I846" s="357">
        <f t="shared" ca="1" si="390"/>
        <v>56.102236943073343</v>
      </c>
      <c r="J846" s="359">
        <f t="shared" ca="1" si="391"/>
        <v>184.26379383972827</v>
      </c>
      <c r="K846" s="360">
        <f t="shared" ca="1" si="392"/>
        <v>-7.7232832998377194</v>
      </c>
      <c r="L846" s="357">
        <f t="shared" ca="1" si="377"/>
        <v>184.4255807233352</v>
      </c>
      <c r="M846" s="359">
        <f t="shared" ca="1" si="393"/>
        <v>-1.4818019253959815</v>
      </c>
      <c r="N846" s="357">
        <f t="shared" ca="1" si="394"/>
        <v>-84.900996399549015</v>
      </c>
      <c r="O846" s="343"/>
      <c r="P846" s="363">
        <f t="shared" ca="1" si="395"/>
        <v>23</v>
      </c>
      <c r="Q846" s="357">
        <f t="shared" ca="1" si="396"/>
        <v>0</v>
      </c>
      <c r="R846" s="359">
        <f t="shared" ca="1" si="397"/>
        <v>0</v>
      </c>
      <c r="S846" s="360">
        <f t="shared" ca="1" si="398"/>
        <v>0.42898953648292248</v>
      </c>
      <c r="T846" s="357">
        <f t="shared" ca="1" si="378"/>
        <v>4.2083873528974696</v>
      </c>
      <c r="U846" s="364">
        <f t="shared" ca="1" si="379"/>
        <v>0</v>
      </c>
      <c r="V846" s="359">
        <f t="shared" ca="1" si="380"/>
        <v>1.2259464676961378</v>
      </c>
      <c r="W846" s="357">
        <f t="shared" ca="1" si="381"/>
        <v>3.4013444005573041</v>
      </c>
      <c r="X846" s="343"/>
      <c r="Y846" s="367" t="str">
        <f t="shared" ca="1" si="399"/>
        <v/>
      </c>
      <c r="Z846" s="368" t="str">
        <f t="shared" ca="1" si="400"/>
        <v/>
      </c>
      <c r="AA846" s="369" t="str">
        <f t="shared" ca="1" si="401"/>
        <v/>
      </c>
      <c r="AB846" s="344"/>
      <c r="AC846" s="363" t="e">
        <f t="shared" ca="1" si="402"/>
        <v>#N/A</v>
      </c>
      <c r="AD846" s="376" t="e">
        <f t="shared" ca="1" si="403"/>
        <v>#N/A</v>
      </c>
      <c r="AE846" s="377" t="e">
        <f t="shared" ca="1" si="382"/>
        <v>#N/A</v>
      </c>
      <c r="AF846" s="344"/>
      <c r="AG846" s="359">
        <f t="shared" ca="1" si="404"/>
        <v>1.8424980579224108</v>
      </c>
      <c r="AH846" s="357">
        <f t="shared" ca="1" si="405"/>
        <v>-7.9286786026508747</v>
      </c>
    </row>
    <row r="847" spans="1:34">
      <c r="A847" s="402">
        <f t="shared" ca="1" si="383"/>
        <v>1E-4</v>
      </c>
      <c r="B847" s="357">
        <f t="shared" ca="1" si="384"/>
        <v>16.949399999999859</v>
      </c>
      <c r="C847" s="342"/>
      <c r="D847" s="359">
        <f t="shared" ca="1" si="385"/>
        <v>-0.70468199428879519</v>
      </c>
      <c r="E847" s="360">
        <f t="shared" ca="1" si="386"/>
        <v>-1.9126419758329005</v>
      </c>
      <c r="F847" s="357">
        <f t="shared" ca="1" si="387"/>
        <v>2.038326774781908</v>
      </c>
      <c r="G847" s="359">
        <f t="shared" ca="1" si="388"/>
        <v>4.9861266559402173</v>
      </c>
      <c r="H847" s="360">
        <f t="shared" ca="1" si="389"/>
        <v>-55.880409841579372</v>
      </c>
      <c r="I847" s="357">
        <f t="shared" ca="1" si="390"/>
        <v>56.10242118743146</v>
      </c>
      <c r="J847" s="359">
        <f t="shared" ca="1" si="391"/>
        <v>184.26379383972827</v>
      </c>
      <c r="K847" s="360">
        <f t="shared" ca="1" si="392"/>
        <v>-7.7288713312586674</v>
      </c>
      <c r="L847" s="357">
        <f t="shared" ca="1" si="377"/>
        <v>184.4258148206618</v>
      </c>
      <c r="M847" s="359">
        <f t="shared" ca="1" si="393"/>
        <v>-1.4818034794877815</v>
      </c>
      <c r="N847" s="357">
        <f t="shared" ca="1" si="394"/>
        <v>-84.901085442450125</v>
      </c>
      <c r="O847" s="343"/>
      <c r="P847" s="363">
        <f t="shared" ca="1" si="395"/>
        <v>23</v>
      </c>
      <c r="Q847" s="357">
        <f t="shared" ca="1" si="396"/>
        <v>0</v>
      </c>
      <c r="R847" s="359">
        <f t="shared" ca="1" si="397"/>
        <v>0</v>
      </c>
      <c r="S847" s="360">
        <f t="shared" ca="1" si="398"/>
        <v>0.42898953648292248</v>
      </c>
      <c r="T847" s="357">
        <f t="shared" ca="1" si="378"/>
        <v>4.2083873528974696</v>
      </c>
      <c r="U847" s="364">
        <f t="shared" ca="1" si="379"/>
        <v>0</v>
      </c>
      <c r="V847" s="359">
        <f t="shared" ca="1" si="380"/>
        <v>1.2259471527591697</v>
      </c>
      <c r="W847" s="357">
        <f t="shared" ca="1" si="381"/>
        <v>3.4013686418784772</v>
      </c>
      <c r="X847" s="343"/>
      <c r="Y847" s="367" t="str">
        <f t="shared" ca="1" si="399"/>
        <v/>
      </c>
      <c r="Z847" s="368" t="str">
        <f t="shared" ca="1" si="400"/>
        <v/>
      </c>
      <c r="AA847" s="369" t="str">
        <f t="shared" ca="1" si="401"/>
        <v/>
      </c>
      <c r="AB847" s="344"/>
      <c r="AC847" s="363" t="e">
        <f t="shared" ca="1" si="402"/>
        <v>#N/A</v>
      </c>
      <c r="AD847" s="376" t="e">
        <f t="shared" ca="1" si="403"/>
        <v>#N/A</v>
      </c>
      <c r="AE847" s="377" t="e">
        <f t="shared" ca="1" si="382"/>
        <v>#N/A</v>
      </c>
      <c r="AF847" s="344"/>
      <c r="AG847" s="359">
        <f t="shared" ca="1" si="404"/>
        <v>1.8424429036821852</v>
      </c>
      <c r="AH847" s="357">
        <f t="shared" ca="1" si="405"/>
        <v>-7.9287351119173675</v>
      </c>
    </row>
    <row r="848" spans="1:34">
      <c r="A848" s="402">
        <f t="shared" ca="1" si="383"/>
        <v>1E-4</v>
      </c>
      <c r="B848" s="357">
        <f t="shared" ca="1" si="384"/>
        <v>16.949499999999858</v>
      </c>
      <c r="C848" s="342"/>
      <c r="D848" s="359">
        <f t="shared" ca="1" si="385"/>
        <v>-0.70467474323719304</v>
      </c>
      <c r="E848" s="360">
        <f t="shared" ca="1" si="386"/>
        <v>-1.9125845963636534</v>
      </c>
      <c r="F848" s="357">
        <f t="shared" ca="1" si="387"/>
        <v>2.038270426612701</v>
      </c>
      <c r="G848" s="359">
        <f t="shared" ca="1" si="388"/>
        <v>4.9860561884658932</v>
      </c>
      <c r="H848" s="360">
        <f t="shared" ca="1" si="389"/>
        <v>-55.880601100039009</v>
      </c>
      <c r="I848" s="357">
        <f t="shared" ca="1" si="390"/>
        <v>56.10260542627428</v>
      </c>
      <c r="J848" s="359">
        <f t="shared" ca="1" si="391"/>
        <v>184.26379383972827</v>
      </c>
      <c r="K848" s="360">
        <f t="shared" ca="1" si="392"/>
        <v>-7.7344593818057481</v>
      </c>
      <c r="L848" s="357">
        <f t="shared" ca="1" si="377"/>
        <v>184.42604908780831</v>
      </c>
      <c r="M848" s="359">
        <f t="shared" ca="1" si="393"/>
        <v>-1.4818050335474107</v>
      </c>
      <c r="N848" s="357">
        <f t="shared" ca="1" si="394"/>
        <v>-84.901174483508001</v>
      </c>
      <c r="O848" s="343"/>
      <c r="P848" s="363">
        <f t="shared" ca="1" si="395"/>
        <v>23</v>
      </c>
      <c r="Q848" s="357">
        <f t="shared" ca="1" si="396"/>
        <v>0</v>
      </c>
      <c r="R848" s="359">
        <f t="shared" ca="1" si="397"/>
        <v>0</v>
      </c>
      <c r="S848" s="360">
        <f t="shared" ca="1" si="398"/>
        <v>0.42898953648292248</v>
      </c>
      <c r="T848" s="357">
        <f t="shared" ca="1" si="378"/>
        <v>4.2083873528974696</v>
      </c>
      <c r="U848" s="364">
        <f t="shared" ca="1" si="379"/>
        <v>0</v>
      </c>
      <c r="V848" s="359">
        <f t="shared" ca="1" si="380"/>
        <v>1.2259478378249291</v>
      </c>
      <c r="W848" s="357">
        <f t="shared" ca="1" si="381"/>
        <v>3.4013928826367903</v>
      </c>
      <c r="X848" s="343"/>
      <c r="Y848" s="367" t="str">
        <f t="shared" ca="1" si="399"/>
        <v/>
      </c>
      <c r="Z848" s="368" t="str">
        <f t="shared" ca="1" si="400"/>
        <v/>
      </c>
      <c r="AA848" s="369" t="str">
        <f t="shared" ca="1" si="401"/>
        <v/>
      </c>
      <c r="AB848" s="344"/>
      <c r="AC848" s="363" t="e">
        <f t="shared" ca="1" si="402"/>
        <v>#N/A</v>
      </c>
      <c r="AD848" s="376" t="e">
        <f t="shared" ca="1" si="403"/>
        <v>#N/A</v>
      </c>
      <c r="AE848" s="377" t="e">
        <f t="shared" ca="1" si="382"/>
        <v>#N/A</v>
      </c>
      <c r="AF848" s="344"/>
      <c r="AG848" s="359">
        <f t="shared" ca="1" si="404"/>
        <v>1.8423877507023851</v>
      </c>
      <c r="AH848" s="357">
        <f t="shared" ca="1" si="405"/>
        <v>-7.9287916198717854</v>
      </c>
    </row>
    <row r="849" spans="1:34">
      <c r="A849" s="402">
        <f t="shared" ca="1" si="383"/>
        <v>1E-4</v>
      </c>
      <c r="B849" s="357">
        <f t="shared" ca="1" si="384"/>
        <v>16.949599999999858</v>
      </c>
      <c r="C849" s="342"/>
      <c r="D849" s="359">
        <f t="shared" ca="1" si="385"/>
        <v>-0.70466749214640623</v>
      </c>
      <c r="E849" s="360">
        <f t="shared" ca="1" si="386"/>
        <v>-1.9125272182274085</v>
      </c>
      <c r="F849" s="357">
        <f t="shared" ca="1" si="387"/>
        <v>2.0382140797640895</v>
      </c>
      <c r="G849" s="359">
        <f t="shared" ca="1" si="388"/>
        <v>4.9859857217166788</v>
      </c>
      <c r="H849" s="360">
        <f t="shared" ca="1" si="389"/>
        <v>-55.880792352760828</v>
      </c>
      <c r="I849" s="357">
        <f t="shared" ca="1" si="390"/>
        <v>56.102789659601918</v>
      </c>
      <c r="J849" s="359">
        <f t="shared" ca="1" si="391"/>
        <v>184.26379383972827</v>
      </c>
      <c r="K849" s="360">
        <f t="shared" ca="1" si="392"/>
        <v>-7.7400474514783877</v>
      </c>
      <c r="L849" s="357">
        <f t="shared" ca="1" si="377"/>
        <v>184.4262835247759</v>
      </c>
      <c r="M849" s="359">
        <f t="shared" ca="1" si="393"/>
        <v>-1.4818065875748703</v>
      </c>
      <c r="N849" s="357">
        <f t="shared" ca="1" si="394"/>
        <v>-84.901263522722672</v>
      </c>
      <c r="O849" s="343"/>
      <c r="P849" s="363">
        <f t="shared" ca="1" si="395"/>
        <v>23</v>
      </c>
      <c r="Q849" s="357">
        <f t="shared" ca="1" si="396"/>
        <v>0</v>
      </c>
      <c r="R849" s="359">
        <f t="shared" ca="1" si="397"/>
        <v>0</v>
      </c>
      <c r="S849" s="360">
        <f t="shared" ca="1" si="398"/>
        <v>0.42898953648292248</v>
      </c>
      <c r="T849" s="357">
        <f t="shared" ca="1" si="378"/>
        <v>4.2083873528974696</v>
      </c>
      <c r="U849" s="364">
        <f t="shared" ca="1" si="379"/>
        <v>0</v>
      </c>
      <c r="V849" s="359">
        <f t="shared" ca="1" si="380"/>
        <v>1.2259485228934166</v>
      </c>
      <c r="W849" s="357">
        <f t="shared" ca="1" si="381"/>
        <v>3.4014171228322518</v>
      </c>
      <c r="X849" s="343"/>
      <c r="Y849" s="367" t="str">
        <f t="shared" ca="1" si="399"/>
        <v/>
      </c>
      <c r="Z849" s="368" t="str">
        <f t="shared" ca="1" si="400"/>
        <v/>
      </c>
      <c r="AA849" s="369" t="str">
        <f t="shared" ca="1" si="401"/>
        <v/>
      </c>
      <c r="AB849" s="344"/>
      <c r="AC849" s="363" t="e">
        <f t="shared" ca="1" si="402"/>
        <v>#N/A</v>
      </c>
      <c r="AD849" s="376" t="e">
        <f t="shared" ca="1" si="403"/>
        <v>#N/A</v>
      </c>
      <c r="AE849" s="377" t="e">
        <f t="shared" ca="1" si="382"/>
        <v>#N/A</v>
      </c>
      <c r="AF849" s="344"/>
      <c r="AG849" s="359">
        <f t="shared" ca="1" si="404"/>
        <v>1.8423325989830017</v>
      </c>
      <c r="AH849" s="357">
        <f t="shared" ca="1" si="405"/>
        <v>-7.9288481265141426</v>
      </c>
    </row>
    <row r="850" spans="1:34">
      <c r="A850" s="402">
        <f t="shared" ca="1" si="383"/>
        <v>1E-4</v>
      </c>
      <c r="B850" s="357">
        <f t="shared" ca="1" si="384"/>
        <v>16.949699999999858</v>
      </c>
      <c r="C850" s="342"/>
      <c r="D850" s="359">
        <f t="shared" ca="1" si="385"/>
        <v>-0.70466024101643943</v>
      </c>
      <c r="E850" s="360">
        <f t="shared" ca="1" si="386"/>
        <v>-1.9124698414241452</v>
      </c>
      <c r="F850" s="357">
        <f t="shared" ca="1" si="387"/>
        <v>2.0381577342360533</v>
      </c>
      <c r="G850" s="359">
        <f t="shared" ca="1" si="388"/>
        <v>4.9859152556925768</v>
      </c>
      <c r="H850" s="360">
        <f t="shared" ca="1" si="389"/>
        <v>-55.880983599744972</v>
      </c>
      <c r="I850" s="357">
        <f t="shared" ca="1" si="390"/>
        <v>56.102973887414514</v>
      </c>
      <c r="J850" s="359">
        <f t="shared" ca="1" si="391"/>
        <v>184.26379383972827</v>
      </c>
      <c r="K850" s="360">
        <f t="shared" ca="1" si="392"/>
        <v>-7.7456355402760133</v>
      </c>
      <c r="L850" s="357">
        <f t="shared" ca="1" si="377"/>
        <v>184.42651813156553</v>
      </c>
      <c r="M850" s="359">
        <f t="shared" ca="1" si="393"/>
        <v>-1.4818081415701609</v>
      </c>
      <c r="N850" s="357">
        <f t="shared" ca="1" si="394"/>
        <v>-84.901352560094224</v>
      </c>
      <c r="O850" s="343"/>
      <c r="P850" s="363">
        <f t="shared" ca="1" si="395"/>
        <v>23</v>
      </c>
      <c r="Q850" s="357">
        <f t="shared" ca="1" si="396"/>
        <v>0</v>
      </c>
      <c r="R850" s="359">
        <f t="shared" ca="1" si="397"/>
        <v>0</v>
      </c>
      <c r="S850" s="360">
        <f t="shared" ca="1" si="398"/>
        <v>0.42898953648292248</v>
      </c>
      <c r="T850" s="357">
        <f t="shared" ca="1" si="378"/>
        <v>4.2083873528974696</v>
      </c>
      <c r="U850" s="364">
        <f t="shared" ca="1" si="379"/>
        <v>0</v>
      </c>
      <c r="V850" s="359">
        <f t="shared" ca="1" si="380"/>
        <v>1.225949207964631</v>
      </c>
      <c r="W850" s="357">
        <f t="shared" ca="1" si="381"/>
        <v>3.4014413624648676</v>
      </c>
      <c r="X850" s="343"/>
      <c r="Y850" s="367" t="str">
        <f t="shared" ca="1" si="399"/>
        <v/>
      </c>
      <c r="Z850" s="368" t="str">
        <f t="shared" ca="1" si="400"/>
        <v/>
      </c>
      <c r="AA850" s="369" t="str">
        <f t="shared" ca="1" si="401"/>
        <v/>
      </c>
      <c r="AB850" s="344"/>
      <c r="AC850" s="363" t="e">
        <f t="shared" ca="1" si="402"/>
        <v>#N/A</v>
      </c>
      <c r="AD850" s="376" t="e">
        <f t="shared" ca="1" si="403"/>
        <v>#N/A</v>
      </c>
      <c r="AE850" s="377" t="e">
        <f t="shared" ca="1" si="382"/>
        <v>#N/A</v>
      </c>
      <c r="AF850" s="344"/>
      <c r="AG850" s="359">
        <f t="shared" ca="1" si="404"/>
        <v>1.842277448524011</v>
      </c>
      <c r="AH850" s="357">
        <f t="shared" ca="1" si="405"/>
        <v>-7.9289046318444596</v>
      </c>
    </row>
    <row r="851" spans="1:34">
      <c r="A851" s="402">
        <f t="shared" ca="1" si="383"/>
        <v>1E-4</v>
      </c>
      <c r="B851" s="357">
        <f t="shared" ca="1" si="384"/>
        <v>16.949799999999858</v>
      </c>
      <c r="C851" s="342"/>
      <c r="D851" s="359">
        <f t="shared" ca="1" si="385"/>
        <v>-0.70465298984730029</v>
      </c>
      <c r="E851" s="360">
        <f t="shared" ca="1" si="386"/>
        <v>-1.9124124659538495</v>
      </c>
      <c r="F851" s="357">
        <f t="shared" ca="1" si="387"/>
        <v>2.038101390028578</v>
      </c>
      <c r="G851" s="359">
        <f t="shared" ca="1" si="388"/>
        <v>4.9858447903935916</v>
      </c>
      <c r="H851" s="360">
        <f t="shared" ca="1" si="389"/>
        <v>-55.881174840991569</v>
      </c>
      <c r="I851" s="357">
        <f t="shared" ca="1" si="390"/>
        <v>56.103158109712183</v>
      </c>
      <c r="J851" s="359">
        <f t="shared" ca="1" si="391"/>
        <v>184.26379383972827</v>
      </c>
      <c r="K851" s="360">
        <f t="shared" ca="1" si="392"/>
        <v>-7.7512236481980503</v>
      </c>
      <c r="L851" s="357">
        <f t="shared" ca="1" si="377"/>
        <v>184.42675290817834</v>
      </c>
      <c r="M851" s="359">
        <f t="shared" ca="1" si="393"/>
        <v>-1.481809695533284</v>
      </c>
      <c r="N851" s="357">
        <f t="shared" ca="1" si="394"/>
        <v>-84.901441595622686</v>
      </c>
      <c r="O851" s="343"/>
      <c r="P851" s="363">
        <f t="shared" ca="1" si="395"/>
        <v>23</v>
      </c>
      <c r="Q851" s="357">
        <f t="shared" ca="1" si="396"/>
        <v>0</v>
      </c>
      <c r="R851" s="359">
        <f t="shared" ca="1" si="397"/>
        <v>0</v>
      </c>
      <c r="S851" s="360">
        <f t="shared" ca="1" si="398"/>
        <v>0.42898953648292248</v>
      </c>
      <c r="T851" s="357">
        <f t="shared" ca="1" si="378"/>
        <v>4.2083873528974696</v>
      </c>
      <c r="U851" s="364">
        <f t="shared" ca="1" si="379"/>
        <v>0</v>
      </c>
      <c r="V851" s="359">
        <f t="shared" ca="1" si="380"/>
        <v>1.2259498930385737</v>
      </c>
      <c r="W851" s="357">
        <f t="shared" ca="1" si="381"/>
        <v>3.4014656015346483</v>
      </c>
      <c r="X851" s="343"/>
      <c r="Y851" s="367" t="str">
        <f t="shared" ca="1" si="399"/>
        <v/>
      </c>
      <c r="Z851" s="368" t="str">
        <f t="shared" ca="1" si="400"/>
        <v/>
      </c>
      <c r="AA851" s="369" t="str">
        <f t="shared" ca="1" si="401"/>
        <v/>
      </c>
      <c r="AB851" s="344"/>
      <c r="AC851" s="363" t="e">
        <f t="shared" ca="1" si="402"/>
        <v>#N/A</v>
      </c>
      <c r="AD851" s="376" t="e">
        <f t="shared" ca="1" si="403"/>
        <v>#N/A</v>
      </c>
      <c r="AE851" s="377" t="e">
        <f t="shared" ca="1" si="382"/>
        <v>#N/A</v>
      </c>
      <c r="AF851" s="344"/>
      <c r="AG851" s="359">
        <f t="shared" ca="1" si="404"/>
        <v>1.8422222993254032</v>
      </c>
      <c r="AH851" s="357">
        <f t="shared" ca="1" si="405"/>
        <v>-7.9289611358627496</v>
      </c>
    </row>
    <row r="852" spans="1:34">
      <c r="A852" s="402">
        <f t="shared" ca="1" si="383"/>
        <v>1E-4</v>
      </c>
      <c r="B852" s="357">
        <f t="shared" ca="1" si="384"/>
        <v>16.949899999999857</v>
      </c>
      <c r="C852" s="342"/>
      <c r="D852" s="359">
        <f t="shared" ca="1" si="385"/>
        <v>-0.70464573863899205</v>
      </c>
      <c r="E852" s="360">
        <f t="shared" ca="1" si="386"/>
        <v>-1.9123550918164955</v>
      </c>
      <c r="F852" s="357">
        <f t="shared" ca="1" si="387"/>
        <v>2.0380450471416394</v>
      </c>
      <c r="G852" s="359">
        <f t="shared" ca="1" si="388"/>
        <v>4.9857743258197278</v>
      </c>
      <c r="H852" s="360">
        <f t="shared" ca="1" si="389"/>
        <v>-55.881366076500754</v>
      </c>
      <c r="I852" s="357">
        <f t="shared" ca="1" si="390"/>
        <v>56.10334232649506</v>
      </c>
      <c r="J852" s="359">
        <f t="shared" ca="1" si="391"/>
        <v>184.26379383972827</v>
      </c>
      <c r="K852" s="360">
        <f t="shared" ca="1" si="392"/>
        <v>-7.756811775243925</v>
      </c>
      <c r="L852" s="357">
        <f t="shared" ca="1" si="377"/>
        <v>184.42698785461536</v>
      </c>
      <c r="M852" s="359">
        <f t="shared" ca="1" si="393"/>
        <v>-1.4818112494642399</v>
      </c>
      <c r="N852" s="357">
        <f t="shared" ca="1" si="394"/>
        <v>-84.901530629308112</v>
      </c>
      <c r="O852" s="343"/>
      <c r="P852" s="363">
        <f t="shared" ca="1" si="395"/>
        <v>23</v>
      </c>
      <c r="Q852" s="357">
        <f t="shared" ca="1" si="396"/>
        <v>0</v>
      </c>
      <c r="R852" s="359">
        <f t="shared" ca="1" si="397"/>
        <v>0</v>
      </c>
      <c r="S852" s="360">
        <f t="shared" ca="1" si="398"/>
        <v>0.42898953648292248</v>
      </c>
      <c r="T852" s="357">
        <f t="shared" ca="1" si="378"/>
        <v>4.2083873528974696</v>
      </c>
      <c r="U852" s="364">
        <f t="shared" ca="1" si="379"/>
        <v>0</v>
      </c>
      <c r="V852" s="359">
        <f t="shared" ca="1" si="380"/>
        <v>1.2259505781152435</v>
      </c>
      <c r="W852" s="357">
        <f t="shared" ca="1" si="381"/>
        <v>3.4014898400416009</v>
      </c>
      <c r="X852" s="343"/>
      <c r="Y852" s="367" t="str">
        <f t="shared" ca="1" si="399"/>
        <v/>
      </c>
      <c r="Z852" s="368" t="str">
        <f t="shared" ca="1" si="400"/>
        <v/>
      </c>
      <c r="AA852" s="369" t="str">
        <f t="shared" ca="1" si="401"/>
        <v/>
      </c>
      <c r="AB852" s="344"/>
      <c r="AC852" s="363" t="e">
        <f t="shared" ca="1" si="402"/>
        <v>#N/A</v>
      </c>
      <c r="AD852" s="376" t="e">
        <f t="shared" ca="1" si="403"/>
        <v>#N/A</v>
      </c>
      <c r="AE852" s="377" t="e">
        <f t="shared" ca="1" si="382"/>
        <v>#N/A</v>
      </c>
      <c r="AF852" s="344"/>
      <c r="AG852" s="359">
        <f t="shared" ca="1" si="404"/>
        <v>1.842167151387156</v>
      </c>
      <c r="AH852" s="357">
        <f t="shared" ca="1" si="405"/>
        <v>-7.9290176385690385</v>
      </c>
    </row>
    <row r="853" spans="1:34">
      <c r="A853" s="402">
        <f t="shared" ca="1" si="383"/>
        <v>1E-4</v>
      </c>
      <c r="B853" s="357">
        <f t="shared" ca="1" si="384"/>
        <v>16.949999999999857</v>
      </c>
      <c r="C853" s="342"/>
      <c r="D853" s="359">
        <f t="shared" ca="1" si="385"/>
        <v>-0.70463848739152446</v>
      </c>
      <c r="E853" s="360">
        <f t="shared" ca="1" si="386"/>
        <v>-1.9122977190120682</v>
      </c>
      <c r="F853" s="357">
        <f t="shared" ca="1" si="387"/>
        <v>2.0379887055752235</v>
      </c>
      <c r="G853" s="359">
        <f t="shared" ca="1" si="388"/>
        <v>4.9857038619709888</v>
      </c>
      <c r="H853" s="360">
        <f t="shared" ca="1" si="389"/>
        <v>-55.881557306272654</v>
      </c>
      <c r="I853" s="357">
        <f t="shared" ca="1" si="390"/>
        <v>56.103526537763265</v>
      </c>
      <c r="J853" s="359">
        <f t="shared" ca="1" si="391"/>
        <v>184.26379383972827</v>
      </c>
      <c r="K853" s="360">
        <f t="shared" ca="1" si="392"/>
        <v>-7.7623999214130635</v>
      </c>
      <c r="L853" s="357">
        <f t="shared" ca="1" si="377"/>
        <v>184.42722297087769</v>
      </c>
      <c r="M853" s="359">
        <f t="shared" ca="1" si="393"/>
        <v>-1.48181280336303</v>
      </c>
      <c r="N853" s="357">
        <f t="shared" ca="1" si="394"/>
        <v>-84.901619661150576</v>
      </c>
      <c r="O853" s="343"/>
      <c r="P853" s="363">
        <f t="shared" ca="1" si="395"/>
        <v>23</v>
      </c>
      <c r="Q853" s="357">
        <f t="shared" ca="1" si="396"/>
        <v>0</v>
      </c>
      <c r="R853" s="359">
        <f t="shared" ca="1" si="397"/>
        <v>0</v>
      </c>
      <c r="S853" s="360">
        <f t="shared" ca="1" si="398"/>
        <v>0.42898953648292248</v>
      </c>
      <c r="T853" s="357">
        <f t="shared" ca="1" si="378"/>
        <v>4.2083873528974696</v>
      </c>
      <c r="U853" s="364">
        <f t="shared" ca="1" si="379"/>
        <v>0</v>
      </c>
      <c r="V853" s="359">
        <f t="shared" ca="1" si="380"/>
        <v>1.2259512631946403</v>
      </c>
      <c r="W853" s="357">
        <f t="shared" ca="1" si="381"/>
        <v>3.40151407798573</v>
      </c>
      <c r="X853" s="343"/>
      <c r="Y853" s="367" t="str">
        <f t="shared" ca="1" si="399"/>
        <v/>
      </c>
      <c r="Z853" s="368" t="str">
        <f t="shared" ca="1" si="400"/>
        <v/>
      </c>
      <c r="AA853" s="369" t="str">
        <f t="shared" ca="1" si="401"/>
        <v/>
      </c>
      <c r="AB853" s="344"/>
      <c r="AC853" s="363" t="e">
        <f t="shared" ca="1" si="402"/>
        <v>#N/A</v>
      </c>
      <c r="AD853" s="376" t="e">
        <f t="shared" ca="1" si="403"/>
        <v>#N/A</v>
      </c>
      <c r="AE853" s="377" t="e">
        <f t="shared" ca="1" si="382"/>
        <v>#N/A</v>
      </c>
      <c r="AF853" s="344"/>
      <c r="AG853" s="359">
        <f t="shared" ca="1" si="404"/>
        <v>1.8421120047092581</v>
      </c>
      <c r="AH853" s="357">
        <f t="shared" ca="1" si="405"/>
        <v>-7.9290741399633413</v>
      </c>
    </row>
    <row r="854" spans="1:34">
      <c r="A854" s="402">
        <f t="shared" ca="1" si="383"/>
        <v>1E-4</v>
      </c>
      <c r="B854" s="357">
        <f t="shared" ca="1" si="384"/>
        <v>16.950099999999857</v>
      </c>
      <c r="C854" s="342"/>
      <c r="D854" s="359">
        <f t="shared" ca="1" si="385"/>
        <v>-0.70463123610489919</v>
      </c>
      <c r="E854" s="360">
        <f t="shared" ca="1" si="386"/>
        <v>-1.9122403475405569</v>
      </c>
      <c r="F854" s="357">
        <f t="shared" ca="1" si="387"/>
        <v>2.037932365329318</v>
      </c>
      <c r="G854" s="359">
        <f t="shared" ca="1" si="388"/>
        <v>4.9856333988473782</v>
      </c>
      <c r="H854" s="360">
        <f t="shared" ca="1" si="389"/>
        <v>-55.881748530307405</v>
      </c>
      <c r="I854" s="357">
        <f t="shared" ca="1" si="390"/>
        <v>56.10371074351692</v>
      </c>
      <c r="J854" s="359">
        <f t="shared" ca="1" si="391"/>
        <v>184.26379383972827</v>
      </c>
      <c r="K854" s="360">
        <f t="shared" ca="1" si="392"/>
        <v>-7.767988086704892</v>
      </c>
      <c r="L854" s="357">
        <f t="shared" ca="1" si="377"/>
        <v>184.42745825696636</v>
      </c>
      <c r="M854" s="359">
        <f t="shared" ca="1" si="393"/>
        <v>-1.4818143572296549</v>
      </c>
      <c r="N854" s="357">
        <f t="shared" ca="1" si="394"/>
        <v>-84.90170869115012</v>
      </c>
      <c r="O854" s="343"/>
      <c r="P854" s="363">
        <f t="shared" ca="1" si="395"/>
        <v>23</v>
      </c>
      <c r="Q854" s="357">
        <f t="shared" ca="1" si="396"/>
        <v>0</v>
      </c>
      <c r="R854" s="359">
        <f t="shared" ca="1" si="397"/>
        <v>0</v>
      </c>
      <c r="S854" s="360">
        <f t="shared" ca="1" si="398"/>
        <v>0.42898953648292248</v>
      </c>
      <c r="T854" s="357">
        <f t="shared" ca="1" si="378"/>
        <v>4.2083873528974696</v>
      </c>
      <c r="U854" s="364">
        <f t="shared" ca="1" si="379"/>
        <v>0</v>
      </c>
      <c r="V854" s="359">
        <f t="shared" ca="1" si="380"/>
        <v>1.2259519482767649</v>
      </c>
      <c r="W854" s="357">
        <f t="shared" ca="1" si="381"/>
        <v>3.4015383153670462</v>
      </c>
      <c r="X854" s="343"/>
      <c r="Y854" s="367" t="str">
        <f t="shared" ca="1" si="399"/>
        <v/>
      </c>
      <c r="Z854" s="368" t="str">
        <f t="shared" ca="1" si="400"/>
        <v/>
      </c>
      <c r="AA854" s="369" t="str">
        <f t="shared" ca="1" si="401"/>
        <v/>
      </c>
      <c r="AB854" s="344"/>
      <c r="AC854" s="363" t="e">
        <f t="shared" ca="1" si="402"/>
        <v>#N/A</v>
      </c>
      <c r="AD854" s="376" t="e">
        <f t="shared" ca="1" si="403"/>
        <v>#N/A</v>
      </c>
      <c r="AE854" s="377" t="e">
        <f t="shared" ca="1" si="382"/>
        <v>#N/A</v>
      </c>
      <c r="AF854" s="344"/>
      <c r="AG854" s="359">
        <f t="shared" ca="1" si="404"/>
        <v>1.8420568592917004</v>
      </c>
      <c r="AH854" s="357">
        <f t="shared" ca="1" si="405"/>
        <v>-7.9291306400456687</v>
      </c>
    </row>
    <row r="855" spans="1:34">
      <c r="A855" s="402">
        <f t="shared" ca="1" si="383"/>
        <v>1E-4</v>
      </c>
      <c r="B855" s="357">
        <f t="shared" ca="1" si="384"/>
        <v>16.950199999999857</v>
      </c>
      <c r="C855" s="342"/>
      <c r="D855" s="359">
        <f t="shared" ca="1" si="385"/>
        <v>-0.70462398477912525</v>
      </c>
      <c r="E855" s="360">
        <f t="shared" ca="1" si="386"/>
        <v>-1.9121829774019341</v>
      </c>
      <c r="F855" s="357">
        <f t="shared" ca="1" si="387"/>
        <v>2.0378760264038975</v>
      </c>
      <c r="G855" s="359">
        <f t="shared" ca="1" si="388"/>
        <v>4.9855629364489005</v>
      </c>
      <c r="H855" s="360">
        <f t="shared" ca="1" si="389"/>
        <v>-55.881939748605149</v>
      </c>
      <c r="I855" s="357">
        <f t="shared" ca="1" si="390"/>
        <v>56.103894943756167</v>
      </c>
      <c r="J855" s="359">
        <f t="shared" ca="1" si="391"/>
        <v>184.26379383972827</v>
      </c>
      <c r="K855" s="360">
        <f t="shared" ca="1" si="392"/>
        <v>-7.7735762711188379</v>
      </c>
      <c r="L855" s="357">
        <f t="shared" ca="1" si="377"/>
        <v>184.42769371288247</v>
      </c>
      <c r="M855" s="359">
        <f t="shared" ca="1" si="393"/>
        <v>-1.4818159110641156</v>
      </c>
      <c r="N855" s="357">
        <f t="shared" ca="1" si="394"/>
        <v>-84.901797719306771</v>
      </c>
      <c r="O855" s="343"/>
      <c r="P855" s="363">
        <f t="shared" ca="1" si="395"/>
        <v>23</v>
      </c>
      <c r="Q855" s="357">
        <f t="shared" ca="1" si="396"/>
        <v>0</v>
      </c>
      <c r="R855" s="359">
        <f t="shared" ca="1" si="397"/>
        <v>0</v>
      </c>
      <c r="S855" s="360">
        <f t="shared" ca="1" si="398"/>
        <v>0.42898953648292248</v>
      </c>
      <c r="T855" s="357">
        <f t="shared" ca="1" si="378"/>
        <v>4.2083873528974696</v>
      </c>
      <c r="U855" s="364">
        <f t="shared" ca="1" si="379"/>
        <v>0</v>
      </c>
      <c r="V855" s="359">
        <f t="shared" ca="1" si="380"/>
        <v>1.2259526333616169</v>
      </c>
      <c r="W855" s="357">
        <f t="shared" ca="1" si="381"/>
        <v>3.401562552185557</v>
      </c>
      <c r="X855" s="343"/>
      <c r="Y855" s="367" t="str">
        <f t="shared" ca="1" si="399"/>
        <v/>
      </c>
      <c r="Z855" s="368" t="str">
        <f t="shared" ca="1" si="400"/>
        <v/>
      </c>
      <c r="AA855" s="369" t="str">
        <f t="shared" ca="1" si="401"/>
        <v/>
      </c>
      <c r="AB855" s="344"/>
      <c r="AC855" s="363" t="e">
        <f t="shared" ca="1" si="402"/>
        <v>#N/A</v>
      </c>
      <c r="AD855" s="376" t="e">
        <f t="shared" ca="1" si="403"/>
        <v>#N/A</v>
      </c>
      <c r="AE855" s="377" t="e">
        <f t="shared" ca="1" si="382"/>
        <v>#N/A</v>
      </c>
      <c r="AF855" s="344"/>
      <c r="AG855" s="359">
        <f t="shared" ca="1" si="404"/>
        <v>1.8420017151344554</v>
      </c>
      <c r="AH855" s="357">
        <f t="shared" ca="1" si="405"/>
        <v>-7.9291871388160464</v>
      </c>
    </row>
    <row r="856" spans="1:34">
      <c r="A856" s="402">
        <f t="shared" ca="1" si="383"/>
        <v>1E-4</v>
      </c>
      <c r="B856" s="357">
        <f t="shared" ca="1" si="384"/>
        <v>16.950299999999856</v>
      </c>
      <c r="C856" s="342"/>
      <c r="D856" s="359">
        <f t="shared" ca="1" si="385"/>
        <v>-0.7046167334142085</v>
      </c>
      <c r="E856" s="360">
        <f t="shared" ca="1" si="386"/>
        <v>-1.9121256085961837</v>
      </c>
      <c r="F856" s="357">
        <f t="shared" ca="1" si="387"/>
        <v>2.0378196887989466</v>
      </c>
      <c r="G856" s="359">
        <f t="shared" ca="1" si="388"/>
        <v>4.9854924747755591</v>
      </c>
      <c r="H856" s="360">
        <f t="shared" ca="1" si="389"/>
        <v>-55.882130961166006</v>
      </c>
      <c r="I856" s="357">
        <f t="shared" ca="1" si="390"/>
        <v>56.104079138481119</v>
      </c>
      <c r="J856" s="359">
        <f t="shared" ca="1" si="391"/>
        <v>184.26379383972827</v>
      </c>
      <c r="K856" s="360">
        <f t="shared" ca="1" si="392"/>
        <v>-7.7791644746543263</v>
      </c>
      <c r="L856" s="357">
        <f t="shared" ca="1" si="377"/>
        <v>184.42792933862702</v>
      </c>
      <c r="M856" s="359">
        <f t="shared" ca="1" si="393"/>
        <v>-1.4818174648664131</v>
      </c>
      <c r="N856" s="357">
        <f t="shared" ca="1" si="394"/>
        <v>-84.901886745620615</v>
      </c>
      <c r="O856" s="343"/>
      <c r="P856" s="363">
        <f t="shared" ca="1" si="395"/>
        <v>23</v>
      </c>
      <c r="Q856" s="357">
        <f t="shared" ca="1" si="396"/>
        <v>0</v>
      </c>
      <c r="R856" s="359">
        <f t="shared" ca="1" si="397"/>
        <v>0</v>
      </c>
      <c r="S856" s="360">
        <f t="shared" ca="1" si="398"/>
        <v>0.42898953648292248</v>
      </c>
      <c r="T856" s="357">
        <f t="shared" ca="1" si="378"/>
        <v>4.2083873528974696</v>
      </c>
      <c r="U856" s="364">
        <f t="shared" ca="1" si="379"/>
        <v>0</v>
      </c>
      <c r="V856" s="359">
        <f t="shared" ca="1" si="380"/>
        <v>1.225953318449196</v>
      </c>
      <c r="W856" s="357">
        <f t="shared" ca="1" si="381"/>
        <v>3.4015867884412709</v>
      </c>
      <c r="X856" s="343"/>
      <c r="Y856" s="367" t="str">
        <f t="shared" ca="1" si="399"/>
        <v/>
      </c>
      <c r="Z856" s="368" t="str">
        <f t="shared" ca="1" si="400"/>
        <v/>
      </c>
      <c r="AA856" s="369" t="str">
        <f t="shared" ca="1" si="401"/>
        <v/>
      </c>
      <c r="AB856" s="344"/>
      <c r="AC856" s="363" t="e">
        <f t="shared" ca="1" si="402"/>
        <v>#N/A</v>
      </c>
      <c r="AD856" s="376" t="e">
        <f t="shared" ca="1" si="403"/>
        <v>#N/A</v>
      </c>
      <c r="AE856" s="377" t="e">
        <f t="shared" ca="1" si="382"/>
        <v>#N/A</v>
      </c>
      <c r="AF856" s="344"/>
      <c r="AG856" s="359">
        <f t="shared" ca="1" si="404"/>
        <v>1.8419465722375152</v>
      </c>
      <c r="AH856" s="357">
        <f t="shared" ca="1" si="405"/>
        <v>-7.9292436362744914</v>
      </c>
    </row>
    <row r="857" spans="1:34">
      <c r="A857" s="402">
        <f t="shared" ca="1" si="383"/>
        <v>1E-4</v>
      </c>
      <c r="B857" s="357">
        <f t="shared" ca="1" si="384"/>
        <v>16.950399999999856</v>
      </c>
      <c r="C857" s="342"/>
      <c r="D857" s="359">
        <f t="shared" ca="1" si="385"/>
        <v>-0.70460948201015372</v>
      </c>
      <c r="E857" s="360">
        <f t="shared" ca="1" si="386"/>
        <v>-1.9120682411232846</v>
      </c>
      <c r="F857" s="357">
        <f t="shared" ca="1" si="387"/>
        <v>2.0377633525144443</v>
      </c>
      <c r="G857" s="359">
        <f t="shared" ca="1" si="388"/>
        <v>4.9854220138273577</v>
      </c>
      <c r="H857" s="360">
        <f t="shared" ca="1" si="389"/>
        <v>-55.882322167990118</v>
      </c>
      <c r="I857" s="357">
        <f t="shared" ca="1" si="390"/>
        <v>56.104263327691903</v>
      </c>
      <c r="J857" s="359">
        <f t="shared" ca="1" si="391"/>
        <v>184.26379383972827</v>
      </c>
      <c r="K857" s="360">
        <f t="shared" ca="1" si="392"/>
        <v>-7.7847526973107843</v>
      </c>
      <c r="L857" s="357">
        <f t="shared" ca="1" si="377"/>
        <v>184.42816513420115</v>
      </c>
      <c r="M857" s="359">
        <f t="shared" ca="1" si="393"/>
        <v>-1.4818190186365483</v>
      </c>
      <c r="N857" s="357">
        <f t="shared" ca="1" si="394"/>
        <v>-84.901975770091695</v>
      </c>
      <c r="O857" s="343"/>
      <c r="P857" s="363">
        <f t="shared" ca="1" si="395"/>
        <v>23</v>
      </c>
      <c r="Q857" s="357">
        <f t="shared" ca="1" si="396"/>
        <v>0</v>
      </c>
      <c r="R857" s="359">
        <f t="shared" ca="1" si="397"/>
        <v>0</v>
      </c>
      <c r="S857" s="360">
        <f t="shared" ca="1" si="398"/>
        <v>0.42898953648292248</v>
      </c>
      <c r="T857" s="357">
        <f t="shared" ca="1" si="378"/>
        <v>4.2083873528974696</v>
      </c>
      <c r="U857" s="364">
        <f t="shared" ca="1" si="379"/>
        <v>0</v>
      </c>
      <c r="V857" s="359">
        <f t="shared" ca="1" si="380"/>
        <v>1.2259540035395018</v>
      </c>
      <c r="W857" s="357">
        <f t="shared" ca="1" si="381"/>
        <v>3.4016110241341915</v>
      </c>
      <c r="X857" s="343"/>
      <c r="Y857" s="367" t="str">
        <f t="shared" ca="1" si="399"/>
        <v/>
      </c>
      <c r="Z857" s="368" t="str">
        <f t="shared" ca="1" si="400"/>
        <v/>
      </c>
      <c r="AA857" s="369" t="str">
        <f t="shared" ca="1" si="401"/>
        <v/>
      </c>
      <c r="AB857" s="344"/>
      <c r="AC857" s="363" t="e">
        <f t="shared" ca="1" si="402"/>
        <v>#N/A</v>
      </c>
      <c r="AD857" s="376" t="e">
        <f t="shared" ca="1" si="403"/>
        <v>#N/A</v>
      </c>
      <c r="AE857" s="377" t="e">
        <f t="shared" ca="1" si="382"/>
        <v>#N/A</v>
      </c>
      <c r="AF857" s="344"/>
      <c r="AG857" s="359">
        <f t="shared" ca="1" si="404"/>
        <v>1.8418914306008558</v>
      </c>
      <c r="AH857" s="357">
        <f t="shared" ca="1" si="405"/>
        <v>-7.9293001324210239</v>
      </c>
    </row>
    <row r="858" spans="1:34">
      <c r="A858" s="402">
        <f t="shared" ca="1" si="383"/>
        <v>1E-4</v>
      </c>
      <c r="B858" s="357">
        <f t="shared" ca="1" si="384"/>
        <v>16.950499999999856</v>
      </c>
      <c r="C858" s="342"/>
      <c r="D858" s="359">
        <f t="shared" ca="1" si="385"/>
        <v>-0.70460223056696603</v>
      </c>
      <c r="E858" s="360">
        <f t="shared" ca="1" si="386"/>
        <v>-1.9120108749832303</v>
      </c>
      <c r="F858" s="357">
        <f t="shared" ca="1" si="387"/>
        <v>2.0377070175503844</v>
      </c>
      <c r="G858" s="359">
        <f t="shared" ca="1" si="388"/>
        <v>4.9853515536043007</v>
      </c>
      <c r="H858" s="360">
        <f t="shared" ca="1" si="389"/>
        <v>-55.882513369077614</v>
      </c>
      <c r="I858" s="357">
        <f t="shared" ca="1" si="390"/>
        <v>56.104447511388642</v>
      </c>
      <c r="J858" s="359">
        <f t="shared" ca="1" si="391"/>
        <v>184.26379383972827</v>
      </c>
      <c r="K858" s="360">
        <f t="shared" ca="1" si="392"/>
        <v>-7.7903409390876375</v>
      </c>
      <c r="L858" s="357">
        <f t="shared" ca="1" si="377"/>
        <v>184.42840109960588</v>
      </c>
      <c r="M858" s="359">
        <f t="shared" ca="1" si="393"/>
        <v>-1.4818205723745219</v>
      </c>
      <c r="N858" s="357">
        <f t="shared" ca="1" si="394"/>
        <v>-84.902064792720054</v>
      </c>
      <c r="O858" s="343"/>
      <c r="P858" s="363">
        <f t="shared" ca="1" si="395"/>
        <v>23</v>
      </c>
      <c r="Q858" s="357">
        <f t="shared" ca="1" si="396"/>
        <v>0</v>
      </c>
      <c r="R858" s="359">
        <f t="shared" ca="1" si="397"/>
        <v>0</v>
      </c>
      <c r="S858" s="360">
        <f t="shared" ca="1" si="398"/>
        <v>0.42898953648292248</v>
      </c>
      <c r="T858" s="357">
        <f t="shared" ca="1" si="378"/>
        <v>4.2083873528974696</v>
      </c>
      <c r="U858" s="364">
        <f t="shared" ca="1" si="379"/>
        <v>0</v>
      </c>
      <c r="V858" s="359">
        <f t="shared" ca="1" si="380"/>
        <v>1.2259546886325354</v>
      </c>
      <c r="W858" s="357">
        <f t="shared" ca="1" si="381"/>
        <v>3.4016352592643315</v>
      </c>
      <c r="X858" s="343"/>
      <c r="Y858" s="367" t="str">
        <f t="shared" ca="1" si="399"/>
        <v/>
      </c>
      <c r="Z858" s="368" t="str">
        <f t="shared" ca="1" si="400"/>
        <v/>
      </c>
      <c r="AA858" s="369" t="str">
        <f t="shared" ca="1" si="401"/>
        <v/>
      </c>
      <c r="AB858" s="344"/>
      <c r="AC858" s="363" t="e">
        <f t="shared" ca="1" si="402"/>
        <v>#N/A</v>
      </c>
      <c r="AD858" s="376" t="e">
        <f t="shared" ca="1" si="403"/>
        <v>#N/A</v>
      </c>
      <c r="AE858" s="377" t="e">
        <f t="shared" ca="1" si="382"/>
        <v>#N/A</v>
      </c>
      <c r="AF858" s="344"/>
      <c r="AG858" s="359">
        <f t="shared" ca="1" si="404"/>
        <v>1.8418362902244754</v>
      </c>
      <c r="AH858" s="357">
        <f t="shared" ca="1" si="405"/>
        <v>-7.9293566272556513</v>
      </c>
    </row>
    <row r="859" spans="1:34">
      <c r="A859" s="402">
        <f t="shared" ca="1" si="383"/>
        <v>1E-4</v>
      </c>
      <c r="B859" s="357">
        <f t="shared" ca="1" si="384"/>
        <v>16.950599999999856</v>
      </c>
      <c r="C859" s="342"/>
      <c r="D859" s="359">
        <f t="shared" ca="1" si="385"/>
        <v>-0.70459497908465474</v>
      </c>
      <c r="E859" s="360">
        <f t="shared" ca="1" si="386"/>
        <v>-1.9119535101759872</v>
      </c>
      <c r="F859" s="357">
        <f t="shared" ca="1" si="387"/>
        <v>2.037650683906735</v>
      </c>
      <c r="G859" s="359">
        <f t="shared" ca="1" si="388"/>
        <v>4.9852810941063925</v>
      </c>
      <c r="H859" s="360">
        <f t="shared" ca="1" si="389"/>
        <v>-55.882704564428629</v>
      </c>
      <c r="I859" s="357">
        <f t="shared" ca="1" si="390"/>
        <v>56.104631689571463</v>
      </c>
      <c r="J859" s="359">
        <f t="shared" ca="1" si="391"/>
        <v>184.26379383972827</v>
      </c>
      <c r="K859" s="360">
        <f t="shared" ca="1" si="392"/>
        <v>-7.7959291999843128</v>
      </c>
      <c r="L859" s="357">
        <f t="shared" ca="1" si="377"/>
        <v>184.42863723484226</v>
      </c>
      <c r="M859" s="359">
        <f t="shared" ca="1" si="393"/>
        <v>-1.4818221260803353</v>
      </c>
      <c r="N859" s="357">
        <f t="shared" ca="1" si="394"/>
        <v>-84.902153813505763</v>
      </c>
      <c r="O859" s="343"/>
      <c r="P859" s="363">
        <f t="shared" ca="1" si="395"/>
        <v>23</v>
      </c>
      <c r="Q859" s="357">
        <f t="shared" ca="1" si="396"/>
        <v>0</v>
      </c>
      <c r="R859" s="359">
        <f t="shared" ca="1" si="397"/>
        <v>0</v>
      </c>
      <c r="S859" s="360">
        <f t="shared" ca="1" si="398"/>
        <v>0.42898953648292248</v>
      </c>
      <c r="T859" s="357">
        <f t="shared" ca="1" si="378"/>
        <v>4.2083873528974696</v>
      </c>
      <c r="U859" s="364">
        <f t="shared" ca="1" si="379"/>
        <v>0</v>
      </c>
      <c r="V859" s="359">
        <f t="shared" ca="1" si="380"/>
        <v>1.2259553737282953</v>
      </c>
      <c r="W859" s="357">
        <f t="shared" ca="1" si="381"/>
        <v>3.4016594938316933</v>
      </c>
      <c r="X859" s="343"/>
      <c r="Y859" s="367" t="str">
        <f t="shared" ca="1" si="399"/>
        <v/>
      </c>
      <c r="Z859" s="368" t="str">
        <f t="shared" ca="1" si="400"/>
        <v/>
      </c>
      <c r="AA859" s="369" t="str">
        <f t="shared" ca="1" si="401"/>
        <v/>
      </c>
      <c r="AB859" s="344"/>
      <c r="AC859" s="363" t="e">
        <f t="shared" ca="1" si="402"/>
        <v>#N/A</v>
      </c>
      <c r="AD859" s="376" t="e">
        <f t="shared" ca="1" si="403"/>
        <v>#N/A</v>
      </c>
      <c r="AE859" s="377" t="e">
        <f t="shared" ca="1" si="382"/>
        <v>#N/A</v>
      </c>
      <c r="AF859" s="344"/>
      <c r="AG859" s="359">
        <f t="shared" ca="1" si="404"/>
        <v>1.8417811511083428</v>
      </c>
      <c r="AH859" s="357">
        <f t="shared" ca="1" si="405"/>
        <v>-7.9294131207784044</v>
      </c>
    </row>
    <row r="860" spans="1:34">
      <c r="A860" s="402">
        <f t="shared" ca="1" si="383"/>
        <v>1E-4</v>
      </c>
      <c r="B860" s="357">
        <f t="shared" ca="1" si="384"/>
        <v>16.950699999999856</v>
      </c>
      <c r="C860" s="342"/>
      <c r="D860" s="359">
        <f t="shared" ca="1" si="385"/>
        <v>-0.70458772756322119</v>
      </c>
      <c r="E860" s="360">
        <f t="shared" ca="1" si="386"/>
        <v>-1.9118961467015536</v>
      </c>
      <c r="F860" s="357">
        <f t="shared" ca="1" si="387"/>
        <v>2.0375943515834924</v>
      </c>
      <c r="G860" s="359">
        <f t="shared" ca="1" si="388"/>
        <v>4.9852106353336358</v>
      </c>
      <c r="H860" s="360">
        <f t="shared" ca="1" si="389"/>
        <v>-55.882895754043297</v>
      </c>
      <c r="I860" s="357">
        <f t="shared" ca="1" si="390"/>
        <v>56.104815862240507</v>
      </c>
      <c r="J860" s="359">
        <f t="shared" ca="1" si="391"/>
        <v>184.26379383972827</v>
      </c>
      <c r="K860" s="360">
        <f t="shared" ca="1" si="392"/>
        <v>-7.8015174800002365</v>
      </c>
      <c r="L860" s="357">
        <f t="shared" ca="1" si="377"/>
        <v>184.42887353991142</v>
      </c>
      <c r="M860" s="359">
        <f t="shared" ca="1" si="393"/>
        <v>-1.481823679753989</v>
      </c>
      <c r="N860" s="357">
        <f t="shared" ca="1" si="394"/>
        <v>-84.902242832448863</v>
      </c>
      <c r="O860" s="343"/>
      <c r="P860" s="363">
        <f t="shared" ca="1" si="395"/>
        <v>23</v>
      </c>
      <c r="Q860" s="357">
        <f t="shared" ca="1" si="396"/>
        <v>0</v>
      </c>
      <c r="R860" s="359">
        <f t="shared" ca="1" si="397"/>
        <v>0</v>
      </c>
      <c r="S860" s="360">
        <f t="shared" ca="1" si="398"/>
        <v>0.42898953648292248</v>
      </c>
      <c r="T860" s="357">
        <f t="shared" ca="1" si="378"/>
        <v>4.2083873528974696</v>
      </c>
      <c r="U860" s="364">
        <f t="shared" ca="1" si="379"/>
        <v>0</v>
      </c>
      <c r="V860" s="359">
        <f t="shared" ca="1" si="380"/>
        <v>1.2259560588267824</v>
      </c>
      <c r="W860" s="357">
        <f t="shared" ca="1" si="381"/>
        <v>3.4016837278362897</v>
      </c>
      <c r="X860" s="343"/>
      <c r="Y860" s="367" t="str">
        <f t="shared" ca="1" si="399"/>
        <v/>
      </c>
      <c r="Z860" s="368" t="str">
        <f t="shared" ca="1" si="400"/>
        <v/>
      </c>
      <c r="AA860" s="369" t="str">
        <f t="shared" ca="1" si="401"/>
        <v/>
      </c>
      <c r="AB860" s="344"/>
      <c r="AC860" s="363" t="e">
        <f t="shared" ca="1" si="402"/>
        <v>#N/A</v>
      </c>
      <c r="AD860" s="376" t="e">
        <f t="shared" ca="1" si="403"/>
        <v>#N/A</v>
      </c>
      <c r="AE860" s="377" t="e">
        <f t="shared" ca="1" si="382"/>
        <v>#N/A</v>
      </c>
      <c r="AF860" s="344"/>
      <c r="AG860" s="359">
        <f t="shared" ca="1" si="404"/>
        <v>1.8417260132524591</v>
      </c>
      <c r="AH860" s="357">
        <f t="shared" ca="1" si="405"/>
        <v>-7.9294696129892879</v>
      </c>
    </row>
    <row r="861" spans="1:34">
      <c r="A861" s="402">
        <f t="shared" ca="1" si="383"/>
        <v>1E-4</v>
      </c>
      <c r="B861" s="357">
        <f t="shared" ca="1" si="384"/>
        <v>16.950799999999855</v>
      </c>
      <c r="C861" s="342"/>
      <c r="D861" s="359">
        <f t="shared" ca="1" si="385"/>
        <v>-0.70458047600267437</v>
      </c>
      <c r="E861" s="360">
        <f t="shared" ca="1" si="386"/>
        <v>-1.9118387845598956</v>
      </c>
      <c r="F861" s="357">
        <f t="shared" ca="1" si="387"/>
        <v>2.0375380205806257</v>
      </c>
      <c r="G861" s="359">
        <f t="shared" ca="1" si="388"/>
        <v>4.985140177286036</v>
      </c>
      <c r="H861" s="360">
        <f t="shared" ca="1" si="389"/>
        <v>-55.883086937921753</v>
      </c>
      <c r="I861" s="357">
        <f t="shared" ca="1" si="390"/>
        <v>56.105000029395882</v>
      </c>
      <c r="J861" s="359">
        <f t="shared" ca="1" si="391"/>
        <v>184.26379383972827</v>
      </c>
      <c r="K861" s="360">
        <f t="shared" ca="1" si="392"/>
        <v>-7.8071057791348348</v>
      </c>
      <c r="L861" s="357">
        <f t="shared" ca="1" si="377"/>
        <v>184.42911001481431</v>
      </c>
      <c r="M861" s="359">
        <f t="shared" ca="1" si="393"/>
        <v>-1.481825233395484</v>
      </c>
      <c r="N861" s="357">
        <f t="shared" ca="1" si="394"/>
        <v>-84.902331849549398</v>
      </c>
      <c r="O861" s="343"/>
      <c r="P861" s="363">
        <f t="shared" ca="1" si="395"/>
        <v>23</v>
      </c>
      <c r="Q861" s="357">
        <f t="shared" ca="1" si="396"/>
        <v>0</v>
      </c>
      <c r="R861" s="359">
        <f t="shared" ca="1" si="397"/>
        <v>0</v>
      </c>
      <c r="S861" s="360">
        <f t="shared" ca="1" si="398"/>
        <v>0.42898953648292248</v>
      </c>
      <c r="T861" s="357">
        <f t="shared" ca="1" si="378"/>
        <v>4.2083873528974696</v>
      </c>
      <c r="U861" s="364">
        <f t="shared" ca="1" si="379"/>
        <v>0</v>
      </c>
      <c r="V861" s="359">
        <f t="shared" ca="1" si="380"/>
        <v>1.2259567439279966</v>
      </c>
      <c r="W861" s="357">
        <f t="shared" ca="1" si="381"/>
        <v>3.4017079612781256</v>
      </c>
      <c r="X861" s="343"/>
      <c r="Y861" s="367" t="str">
        <f t="shared" ca="1" si="399"/>
        <v/>
      </c>
      <c r="Z861" s="368" t="str">
        <f t="shared" ca="1" si="400"/>
        <v/>
      </c>
      <c r="AA861" s="369" t="str">
        <f t="shared" ca="1" si="401"/>
        <v/>
      </c>
      <c r="AB861" s="344"/>
      <c r="AC861" s="363" t="e">
        <f t="shared" ca="1" si="402"/>
        <v>#N/A</v>
      </c>
      <c r="AD861" s="376" t="e">
        <f t="shared" ca="1" si="403"/>
        <v>#N/A</v>
      </c>
      <c r="AE861" s="377" t="e">
        <f t="shared" ca="1" si="382"/>
        <v>#N/A</v>
      </c>
      <c r="AF861" s="344"/>
      <c r="AG861" s="359">
        <f t="shared" ca="1" si="404"/>
        <v>1.841670876656794</v>
      </c>
      <c r="AH861" s="357">
        <f t="shared" ca="1" si="405"/>
        <v>-7.9295261038883318</v>
      </c>
    </row>
    <row r="862" spans="1:34">
      <c r="A862" s="402">
        <f t="shared" ca="1" si="383"/>
        <v>1E-4</v>
      </c>
      <c r="B862" s="357">
        <f t="shared" ca="1" si="384"/>
        <v>16.950899999999855</v>
      </c>
      <c r="C862" s="342"/>
      <c r="D862" s="359">
        <f t="shared" ca="1" si="385"/>
        <v>-0.70457322440302006</v>
      </c>
      <c r="E862" s="360">
        <f t="shared" ca="1" si="386"/>
        <v>-1.9117814237510045</v>
      </c>
      <c r="F862" s="357">
        <f t="shared" ca="1" si="387"/>
        <v>2.0374816908981259</v>
      </c>
      <c r="G862" s="359">
        <f t="shared" ca="1" si="388"/>
        <v>4.9850697199635956</v>
      </c>
      <c r="H862" s="360">
        <f t="shared" ca="1" si="389"/>
        <v>-55.883278116064126</v>
      </c>
      <c r="I862" s="357">
        <f t="shared" ca="1" si="390"/>
        <v>56.105184191037729</v>
      </c>
      <c r="J862" s="359">
        <f t="shared" ca="1" si="391"/>
        <v>184.26379383972827</v>
      </c>
      <c r="K862" s="360">
        <f t="shared" ca="1" si="392"/>
        <v>-7.8126940973875341</v>
      </c>
      <c r="L862" s="357">
        <f t="shared" ca="1" si="377"/>
        <v>184.4293466595521</v>
      </c>
      <c r="M862" s="359">
        <f t="shared" ca="1" si="393"/>
        <v>-1.4818267870048214</v>
      </c>
      <c r="N862" s="357">
        <f t="shared" ca="1" si="394"/>
        <v>-84.902420864807453</v>
      </c>
      <c r="O862" s="343"/>
      <c r="P862" s="363">
        <f t="shared" ca="1" si="395"/>
        <v>23</v>
      </c>
      <c r="Q862" s="357">
        <f t="shared" ca="1" si="396"/>
        <v>0</v>
      </c>
      <c r="R862" s="359">
        <f t="shared" ca="1" si="397"/>
        <v>0</v>
      </c>
      <c r="S862" s="360">
        <f t="shared" ca="1" si="398"/>
        <v>0.42898953648292248</v>
      </c>
      <c r="T862" s="357">
        <f t="shared" ca="1" si="378"/>
        <v>4.2083873528974696</v>
      </c>
      <c r="U862" s="364">
        <f t="shared" ca="1" si="379"/>
        <v>0</v>
      </c>
      <c r="V862" s="359">
        <f t="shared" ca="1" si="380"/>
        <v>1.2259574290319375</v>
      </c>
      <c r="W862" s="357">
        <f t="shared" ca="1" si="381"/>
        <v>3.4017321941572107</v>
      </c>
      <c r="X862" s="343"/>
      <c r="Y862" s="367" t="str">
        <f t="shared" ca="1" si="399"/>
        <v/>
      </c>
      <c r="Z862" s="368" t="str">
        <f t="shared" ca="1" si="400"/>
        <v/>
      </c>
      <c r="AA862" s="369" t="str">
        <f t="shared" ca="1" si="401"/>
        <v/>
      </c>
      <c r="AB862" s="344"/>
      <c r="AC862" s="363" t="e">
        <f t="shared" ca="1" si="402"/>
        <v>#N/A</v>
      </c>
      <c r="AD862" s="376" t="e">
        <f t="shared" ca="1" si="403"/>
        <v>#N/A</v>
      </c>
      <c r="AE862" s="377" t="e">
        <f t="shared" ca="1" si="382"/>
        <v>#N/A</v>
      </c>
      <c r="AF862" s="344"/>
      <c r="AG862" s="359">
        <f t="shared" ca="1" si="404"/>
        <v>1.8416157413213377</v>
      </c>
      <c r="AH862" s="357">
        <f t="shared" ca="1" si="405"/>
        <v>-7.9295825934755477</v>
      </c>
    </row>
    <row r="863" spans="1:34">
      <c r="A863" s="402">
        <f t="shared" ca="1" si="383"/>
        <v>1E-4</v>
      </c>
      <c r="B863" s="357">
        <f t="shared" ca="1" si="384"/>
        <v>16.950999999999855</v>
      </c>
      <c r="C863" s="342"/>
      <c r="D863" s="359">
        <f t="shared" ca="1" si="385"/>
        <v>-0.70456597276426314</v>
      </c>
      <c r="E863" s="360">
        <f t="shared" ca="1" si="386"/>
        <v>-1.9117240642748534</v>
      </c>
      <c r="F863" s="357">
        <f t="shared" ca="1" si="387"/>
        <v>2.0374253625359668</v>
      </c>
      <c r="G863" s="359">
        <f t="shared" ca="1" si="388"/>
        <v>4.9849992633663192</v>
      </c>
      <c r="H863" s="360">
        <f t="shared" ca="1" si="389"/>
        <v>-55.88346928847055</v>
      </c>
      <c r="I863" s="357">
        <f t="shared" ca="1" si="390"/>
        <v>56.105368347166156</v>
      </c>
      <c r="J863" s="359">
        <f t="shared" ca="1" si="391"/>
        <v>184.26379383972827</v>
      </c>
      <c r="K863" s="360">
        <f t="shared" ca="1" si="392"/>
        <v>-7.8182824347577604</v>
      </c>
      <c r="L863" s="357">
        <f t="shared" ca="1" si="377"/>
        <v>184.42958347412576</v>
      </c>
      <c r="M863" s="359">
        <f t="shared" ca="1" si="393"/>
        <v>-1.4818283405820021</v>
      </c>
      <c r="N863" s="357">
        <f t="shared" ca="1" si="394"/>
        <v>-84.902509878223043</v>
      </c>
      <c r="O863" s="343"/>
      <c r="P863" s="363">
        <f t="shared" ca="1" si="395"/>
        <v>23</v>
      </c>
      <c r="Q863" s="357">
        <f t="shared" ca="1" si="396"/>
        <v>0</v>
      </c>
      <c r="R863" s="359">
        <f t="shared" ca="1" si="397"/>
        <v>0</v>
      </c>
      <c r="S863" s="360">
        <f t="shared" ca="1" si="398"/>
        <v>0.42898953648292248</v>
      </c>
      <c r="T863" s="357">
        <f t="shared" ca="1" si="378"/>
        <v>4.2083873528974696</v>
      </c>
      <c r="U863" s="364">
        <f t="shared" ca="1" si="379"/>
        <v>0</v>
      </c>
      <c r="V863" s="359">
        <f t="shared" ca="1" si="380"/>
        <v>1.2259581141386049</v>
      </c>
      <c r="W863" s="357">
        <f t="shared" ca="1" si="381"/>
        <v>3.4017564264735491</v>
      </c>
      <c r="X863" s="343"/>
      <c r="Y863" s="367" t="str">
        <f t="shared" ca="1" si="399"/>
        <v/>
      </c>
      <c r="Z863" s="368" t="str">
        <f t="shared" ca="1" si="400"/>
        <v/>
      </c>
      <c r="AA863" s="369" t="str">
        <f t="shared" ca="1" si="401"/>
        <v/>
      </c>
      <c r="AB863" s="344"/>
      <c r="AC863" s="363" t="e">
        <f t="shared" ca="1" si="402"/>
        <v>#N/A</v>
      </c>
      <c r="AD863" s="376" t="e">
        <f t="shared" ca="1" si="403"/>
        <v>#N/A</v>
      </c>
      <c r="AE863" s="377" t="e">
        <f t="shared" ca="1" si="382"/>
        <v>#N/A</v>
      </c>
      <c r="AF863" s="344"/>
      <c r="AG863" s="359">
        <f t="shared" ca="1" si="404"/>
        <v>1.8415606072460742</v>
      </c>
      <c r="AH863" s="357">
        <f t="shared" ca="1" si="405"/>
        <v>-7.9296390817509588</v>
      </c>
    </row>
    <row r="864" spans="1:34">
      <c r="A864" s="402">
        <f t="shared" ca="1" si="383"/>
        <v>1E-4</v>
      </c>
      <c r="B864" s="357">
        <f t="shared" ca="1" si="384"/>
        <v>16.951099999999855</v>
      </c>
      <c r="C864" s="342"/>
      <c r="D864" s="359">
        <f t="shared" ca="1" si="385"/>
        <v>-0.70455872108640882</v>
      </c>
      <c r="E864" s="360">
        <f t="shared" ca="1" si="386"/>
        <v>-1.9116667061314381</v>
      </c>
      <c r="F864" s="357">
        <f t="shared" ca="1" si="387"/>
        <v>2.0373690354941436</v>
      </c>
      <c r="G864" s="359">
        <f t="shared" ca="1" si="388"/>
        <v>4.9849288074942102</v>
      </c>
      <c r="H864" s="360">
        <f t="shared" ca="1" si="389"/>
        <v>-55.883660455141161</v>
      </c>
      <c r="I864" s="357">
        <f t="shared" ca="1" si="390"/>
        <v>56.105552497781304</v>
      </c>
      <c r="J864" s="359">
        <f t="shared" ca="1" si="391"/>
        <v>184.26379383972827</v>
      </c>
      <c r="K864" s="360">
        <f t="shared" ca="1" si="392"/>
        <v>-7.823870791244941</v>
      </c>
      <c r="L864" s="357">
        <f t="shared" ca="1" si="377"/>
        <v>184.42982045853643</v>
      </c>
      <c r="M864" s="359">
        <f t="shared" ca="1" si="393"/>
        <v>-1.4818298941270267</v>
      </c>
      <c r="N864" s="357">
        <f t="shared" ca="1" si="394"/>
        <v>-84.902598889796238</v>
      </c>
      <c r="O864" s="343"/>
      <c r="P864" s="363">
        <f t="shared" ca="1" si="395"/>
        <v>23</v>
      </c>
      <c r="Q864" s="357">
        <f t="shared" ca="1" si="396"/>
        <v>0</v>
      </c>
      <c r="R864" s="359">
        <f t="shared" ca="1" si="397"/>
        <v>0</v>
      </c>
      <c r="S864" s="360">
        <f t="shared" ca="1" si="398"/>
        <v>0.42898953648292248</v>
      </c>
      <c r="T864" s="357">
        <f t="shared" ca="1" si="378"/>
        <v>4.2083873528974696</v>
      </c>
      <c r="U864" s="364">
        <f t="shared" ca="1" si="379"/>
        <v>0</v>
      </c>
      <c r="V864" s="359">
        <f t="shared" ca="1" si="380"/>
        <v>1.2259587992479994</v>
      </c>
      <c r="W864" s="357">
        <f t="shared" ca="1" si="381"/>
        <v>3.4017806582271519</v>
      </c>
      <c r="X864" s="343"/>
      <c r="Y864" s="367" t="str">
        <f t="shared" ca="1" si="399"/>
        <v/>
      </c>
      <c r="Z864" s="368" t="str">
        <f t="shared" ca="1" si="400"/>
        <v/>
      </c>
      <c r="AA864" s="369" t="str">
        <f t="shared" ca="1" si="401"/>
        <v/>
      </c>
      <c r="AB864" s="344"/>
      <c r="AC864" s="363" t="e">
        <f t="shared" ca="1" si="402"/>
        <v>#N/A</v>
      </c>
      <c r="AD864" s="376" t="e">
        <f t="shared" ca="1" si="403"/>
        <v>#N/A</v>
      </c>
      <c r="AE864" s="377" t="e">
        <f t="shared" ca="1" si="382"/>
        <v>#N/A</v>
      </c>
      <c r="AF864" s="344"/>
      <c r="AG864" s="359">
        <f t="shared" ca="1" si="404"/>
        <v>1.841505474430992</v>
      </c>
      <c r="AH864" s="357">
        <f t="shared" ca="1" si="405"/>
        <v>-7.9296955687145729</v>
      </c>
    </row>
    <row r="865" spans="1:34">
      <c r="A865" s="402">
        <f t="shared" ca="1" si="383"/>
        <v>1E-4</v>
      </c>
      <c r="B865" s="357">
        <f t="shared" ca="1" si="384"/>
        <v>16.951199999999854</v>
      </c>
      <c r="C865" s="342"/>
      <c r="D865" s="359">
        <f t="shared" ca="1" si="385"/>
        <v>-0.704551469369466</v>
      </c>
      <c r="E865" s="360">
        <f t="shared" ca="1" si="386"/>
        <v>-1.9116093493207273</v>
      </c>
      <c r="F865" s="357">
        <f t="shared" ca="1" si="387"/>
        <v>2.0373127097726278</v>
      </c>
      <c r="G865" s="359">
        <f t="shared" ca="1" si="388"/>
        <v>4.9848583523472731</v>
      </c>
      <c r="H865" s="360">
        <f t="shared" ca="1" si="389"/>
        <v>-55.883851616076093</v>
      </c>
      <c r="I865" s="357">
        <f t="shared" ca="1" si="390"/>
        <v>56.105736642883294</v>
      </c>
      <c r="J865" s="359">
        <f t="shared" ca="1" si="391"/>
        <v>184.26379383972827</v>
      </c>
      <c r="K865" s="360">
        <f t="shared" ca="1" si="392"/>
        <v>-7.8294591668485021</v>
      </c>
      <c r="L865" s="357">
        <f t="shared" ca="1" si="377"/>
        <v>184.43005761278511</v>
      </c>
      <c r="M865" s="359">
        <f t="shared" ca="1" si="393"/>
        <v>-1.4818314476398964</v>
      </c>
      <c r="N865" s="357">
        <f t="shared" ca="1" si="394"/>
        <v>-84.902687899527095</v>
      </c>
      <c r="O865" s="343"/>
      <c r="P865" s="363">
        <f t="shared" ca="1" si="395"/>
        <v>23</v>
      </c>
      <c r="Q865" s="357">
        <f t="shared" ca="1" si="396"/>
        <v>0</v>
      </c>
      <c r="R865" s="359">
        <f t="shared" ca="1" si="397"/>
        <v>0</v>
      </c>
      <c r="S865" s="360">
        <f t="shared" ca="1" si="398"/>
        <v>0.42898953648292248</v>
      </c>
      <c r="T865" s="357">
        <f t="shared" ca="1" si="378"/>
        <v>4.2083873528974696</v>
      </c>
      <c r="U865" s="364">
        <f t="shared" ca="1" si="379"/>
        <v>0</v>
      </c>
      <c r="V865" s="359">
        <f t="shared" ca="1" si="380"/>
        <v>1.22595948436012</v>
      </c>
      <c r="W865" s="357">
        <f t="shared" ca="1" si="381"/>
        <v>3.4018048894180244</v>
      </c>
      <c r="X865" s="343"/>
      <c r="Y865" s="367" t="str">
        <f t="shared" ca="1" si="399"/>
        <v/>
      </c>
      <c r="Z865" s="368" t="str">
        <f t="shared" ca="1" si="400"/>
        <v/>
      </c>
      <c r="AA865" s="369" t="str">
        <f t="shared" ca="1" si="401"/>
        <v/>
      </c>
      <c r="AB865" s="344"/>
      <c r="AC865" s="363" t="e">
        <f t="shared" ca="1" si="402"/>
        <v>#N/A</v>
      </c>
      <c r="AD865" s="376" t="e">
        <f t="shared" ca="1" si="403"/>
        <v>#N/A</v>
      </c>
      <c r="AE865" s="377" t="e">
        <f t="shared" ca="1" si="382"/>
        <v>#N/A</v>
      </c>
      <c r="AF865" s="344"/>
      <c r="AG865" s="359">
        <f t="shared" ca="1" si="404"/>
        <v>1.8414503428760689</v>
      </c>
      <c r="AH865" s="357">
        <f t="shared" ca="1" si="405"/>
        <v>-7.9297520543664177</v>
      </c>
    </row>
    <row r="866" spans="1:34">
      <c r="A866" s="402">
        <f t="shared" ca="1" si="383"/>
        <v>1E-4</v>
      </c>
      <c r="B866" s="357">
        <f t="shared" ca="1" si="384"/>
        <v>16.951299999999854</v>
      </c>
      <c r="C866" s="342"/>
      <c r="D866" s="359">
        <f t="shared" ca="1" si="385"/>
        <v>-0.70454421761343855</v>
      </c>
      <c r="E866" s="360">
        <f t="shared" ca="1" si="386"/>
        <v>-1.9115519938427115</v>
      </c>
      <c r="F866" s="357">
        <f t="shared" ca="1" si="387"/>
        <v>2.0372563853714087</v>
      </c>
      <c r="G866" s="359">
        <f t="shared" ca="1" si="388"/>
        <v>4.9847878979255116</v>
      </c>
      <c r="H866" s="360">
        <f t="shared" ca="1" si="389"/>
        <v>-55.884042771275475</v>
      </c>
      <c r="I866" s="357">
        <f t="shared" ca="1" si="390"/>
        <v>56.105920782472246</v>
      </c>
      <c r="J866" s="359">
        <f t="shared" ca="1" si="391"/>
        <v>184.26379383972827</v>
      </c>
      <c r="K866" s="360">
        <f t="shared" ca="1" si="392"/>
        <v>-7.8350475615678699</v>
      </c>
      <c r="L866" s="357">
        <f t="shared" ca="1" si="377"/>
        <v>184.43029493687285</v>
      </c>
      <c r="M866" s="359">
        <f t="shared" ca="1" si="393"/>
        <v>-1.481833001120612</v>
      </c>
      <c r="N866" s="357">
        <f t="shared" ca="1" si="394"/>
        <v>-84.902776907415657</v>
      </c>
      <c r="O866" s="343"/>
      <c r="P866" s="363">
        <f t="shared" ca="1" si="395"/>
        <v>23</v>
      </c>
      <c r="Q866" s="357">
        <f t="shared" ca="1" si="396"/>
        <v>0</v>
      </c>
      <c r="R866" s="359">
        <f t="shared" ca="1" si="397"/>
        <v>0</v>
      </c>
      <c r="S866" s="360">
        <f t="shared" ca="1" si="398"/>
        <v>0.42898953648292248</v>
      </c>
      <c r="T866" s="357">
        <f t="shared" ca="1" si="378"/>
        <v>4.2083873528974696</v>
      </c>
      <c r="U866" s="364">
        <f t="shared" ca="1" si="379"/>
        <v>0</v>
      </c>
      <c r="V866" s="359">
        <f t="shared" ca="1" si="380"/>
        <v>1.2259601694749671</v>
      </c>
      <c r="W866" s="357">
        <f t="shared" ca="1" si="381"/>
        <v>3.401829120046175</v>
      </c>
      <c r="X866" s="343"/>
      <c r="Y866" s="367" t="str">
        <f t="shared" ca="1" si="399"/>
        <v/>
      </c>
      <c r="Z866" s="368" t="str">
        <f t="shared" ca="1" si="400"/>
        <v/>
      </c>
      <c r="AA866" s="369" t="str">
        <f t="shared" ca="1" si="401"/>
        <v/>
      </c>
      <c r="AB866" s="344"/>
      <c r="AC866" s="363" t="e">
        <f t="shared" ca="1" si="402"/>
        <v>#N/A</v>
      </c>
      <c r="AD866" s="376" t="e">
        <f t="shared" ca="1" si="403"/>
        <v>#N/A</v>
      </c>
      <c r="AE866" s="377" t="e">
        <f t="shared" ca="1" si="382"/>
        <v>#N/A</v>
      </c>
      <c r="AF866" s="344"/>
      <c r="AG866" s="359">
        <f t="shared" ca="1" si="404"/>
        <v>1.8413952125812934</v>
      </c>
      <c r="AH866" s="357">
        <f t="shared" ca="1" si="405"/>
        <v>-7.9298085387065047</v>
      </c>
    </row>
    <row r="867" spans="1:34">
      <c r="A867" s="402">
        <f t="shared" ca="1" si="383"/>
        <v>1E-4</v>
      </c>
      <c r="B867" s="357">
        <f t="shared" ca="1" si="384"/>
        <v>16.951399999999854</v>
      </c>
      <c r="C867" s="342"/>
      <c r="D867" s="359">
        <f t="shared" ca="1" si="385"/>
        <v>-0.70453696581833281</v>
      </c>
      <c r="E867" s="360">
        <f t="shared" ca="1" si="386"/>
        <v>-1.9114946396973682</v>
      </c>
      <c r="F867" s="357">
        <f t="shared" ca="1" si="387"/>
        <v>2.0372000622904651</v>
      </c>
      <c r="G867" s="359">
        <f t="shared" ca="1" si="388"/>
        <v>4.9847174442289299</v>
      </c>
      <c r="H867" s="360">
        <f t="shared" ca="1" si="389"/>
        <v>-55.884233920739447</v>
      </c>
      <c r="I867" s="357">
        <f t="shared" ca="1" si="390"/>
        <v>56.106104916548297</v>
      </c>
      <c r="J867" s="359">
        <f t="shared" ca="1" si="391"/>
        <v>184.26379383972827</v>
      </c>
      <c r="K867" s="360">
        <f t="shared" ca="1" si="392"/>
        <v>-7.8406359754024706</v>
      </c>
      <c r="L867" s="357">
        <f t="shared" ca="1" si="377"/>
        <v>184.43053243080078</v>
      </c>
      <c r="M867" s="359">
        <f t="shared" ca="1" si="393"/>
        <v>-1.4818345545691747</v>
      </c>
      <c r="N867" s="357">
        <f t="shared" ca="1" si="394"/>
        <v>-84.902865913461994</v>
      </c>
      <c r="O867" s="343"/>
      <c r="P867" s="363">
        <f t="shared" ca="1" si="395"/>
        <v>23</v>
      </c>
      <c r="Q867" s="357">
        <f t="shared" ca="1" si="396"/>
        <v>0</v>
      </c>
      <c r="R867" s="359">
        <f t="shared" ca="1" si="397"/>
        <v>0</v>
      </c>
      <c r="S867" s="360">
        <f t="shared" ca="1" si="398"/>
        <v>0.42898953648292248</v>
      </c>
      <c r="T867" s="357">
        <f t="shared" ca="1" si="378"/>
        <v>4.2083873528974696</v>
      </c>
      <c r="U867" s="364">
        <f t="shared" ca="1" si="379"/>
        <v>0</v>
      </c>
      <c r="V867" s="359">
        <f t="shared" ca="1" si="380"/>
        <v>1.2259608545925409</v>
      </c>
      <c r="W867" s="357">
        <f t="shared" ca="1" si="381"/>
        <v>3.4018533501116117</v>
      </c>
      <c r="X867" s="343"/>
      <c r="Y867" s="367" t="str">
        <f t="shared" ca="1" si="399"/>
        <v/>
      </c>
      <c r="Z867" s="368" t="str">
        <f t="shared" ca="1" si="400"/>
        <v/>
      </c>
      <c r="AA867" s="369" t="str">
        <f t="shared" ca="1" si="401"/>
        <v/>
      </c>
      <c r="AB867" s="344"/>
      <c r="AC867" s="363" t="e">
        <f t="shared" ca="1" si="402"/>
        <v>#N/A</v>
      </c>
      <c r="AD867" s="376" t="e">
        <f t="shared" ca="1" si="403"/>
        <v>#N/A</v>
      </c>
      <c r="AE867" s="377" t="e">
        <f t="shared" ca="1" si="382"/>
        <v>#N/A</v>
      </c>
      <c r="AF867" s="344"/>
      <c r="AG867" s="359">
        <f t="shared" ca="1" si="404"/>
        <v>1.8413400835466502</v>
      </c>
      <c r="AH867" s="357">
        <f t="shared" ca="1" si="405"/>
        <v>-7.9298650217348543</v>
      </c>
    </row>
    <row r="868" spans="1:34">
      <c r="A868" s="402">
        <f t="shared" ca="1" si="383"/>
        <v>1E-4</v>
      </c>
      <c r="B868" s="357">
        <f t="shared" ca="1" si="384"/>
        <v>16.951499999999854</v>
      </c>
      <c r="C868" s="342"/>
      <c r="D868" s="359">
        <f t="shared" ca="1" si="385"/>
        <v>-0.70452971398415309</v>
      </c>
      <c r="E868" s="360">
        <f t="shared" ca="1" si="386"/>
        <v>-1.9114372868846798</v>
      </c>
      <c r="F868" s="357">
        <f t="shared" ca="1" si="387"/>
        <v>2.0371437405297788</v>
      </c>
      <c r="G868" s="359">
        <f t="shared" ca="1" si="388"/>
        <v>4.9846469912575317</v>
      </c>
      <c r="H868" s="360">
        <f t="shared" ca="1" si="389"/>
        <v>-55.884425064468132</v>
      </c>
      <c r="I868" s="357">
        <f t="shared" ca="1" si="390"/>
        <v>56.106289045111573</v>
      </c>
      <c r="J868" s="359">
        <f t="shared" ca="1" si="391"/>
        <v>184.26379383972827</v>
      </c>
      <c r="K868" s="360">
        <f t="shared" ca="1" si="392"/>
        <v>-7.8462244083517314</v>
      </c>
      <c r="L868" s="357">
        <f t="shared" ca="1" si="377"/>
        <v>184.43077009456991</v>
      </c>
      <c r="M868" s="359">
        <f t="shared" ca="1" si="393"/>
        <v>-1.4818361079855848</v>
      </c>
      <c r="N868" s="357">
        <f t="shared" ca="1" si="394"/>
        <v>-84.902954917666122</v>
      </c>
      <c r="O868" s="343"/>
      <c r="P868" s="363">
        <f t="shared" ca="1" si="395"/>
        <v>23</v>
      </c>
      <c r="Q868" s="357">
        <f t="shared" ca="1" si="396"/>
        <v>0</v>
      </c>
      <c r="R868" s="359">
        <f t="shared" ca="1" si="397"/>
        <v>0</v>
      </c>
      <c r="S868" s="360">
        <f t="shared" ca="1" si="398"/>
        <v>0.42898953648292248</v>
      </c>
      <c r="T868" s="357">
        <f t="shared" ca="1" si="378"/>
        <v>4.2083873528974696</v>
      </c>
      <c r="U868" s="364">
        <f t="shared" ca="1" si="379"/>
        <v>0</v>
      </c>
      <c r="V868" s="359">
        <f t="shared" ca="1" si="380"/>
        <v>1.2259615397128416</v>
      </c>
      <c r="W868" s="357">
        <f t="shared" ca="1" si="381"/>
        <v>3.4018775796143452</v>
      </c>
      <c r="X868" s="343"/>
      <c r="Y868" s="367" t="str">
        <f t="shared" ca="1" si="399"/>
        <v/>
      </c>
      <c r="Z868" s="368" t="str">
        <f t="shared" ca="1" si="400"/>
        <v/>
      </c>
      <c r="AA868" s="369" t="str">
        <f t="shared" ca="1" si="401"/>
        <v/>
      </c>
      <c r="AB868" s="344"/>
      <c r="AC868" s="363" t="e">
        <f t="shared" ca="1" si="402"/>
        <v>#N/A</v>
      </c>
      <c r="AD868" s="376" t="e">
        <f t="shared" ca="1" si="403"/>
        <v>#N/A</v>
      </c>
      <c r="AE868" s="377" t="e">
        <f t="shared" ca="1" si="382"/>
        <v>#N/A</v>
      </c>
      <c r="AF868" s="344"/>
      <c r="AG868" s="359">
        <f t="shared" ca="1" si="404"/>
        <v>1.8412849557721209</v>
      </c>
      <c r="AH868" s="357">
        <f t="shared" ca="1" si="405"/>
        <v>-7.9299215034514834</v>
      </c>
    </row>
    <row r="869" spans="1:34">
      <c r="A869" s="402">
        <f t="shared" ca="1" si="383"/>
        <v>1E-4</v>
      </c>
      <c r="B869" s="357">
        <f t="shared" ca="1" si="384"/>
        <v>16.951599999999853</v>
      </c>
      <c r="C869" s="342"/>
      <c r="D869" s="359">
        <f t="shared" ca="1" si="385"/>
        <v>-0.70452246211091007</v>
      </c>
      <c r="E869" s="360">
        <f t="shared" ca="1" si="386"/>
        <v>-1.9113799354046224</v>
      </c>
      <c r="F869" s="357">
        <f t="shared" ca="1" si="387"/>
        <v>2.0370874200893287</v>
      </c>
      <c r="G869" s="359">
        <f t="shared" ca="1" si="388"/>
        <v>4.9845765390113206</v>
      </c>
      <c r="H869" s="360">
        <f t="shared" ca="1" si="389"/>
        <v>-55.884616202461672</v>
      </c>
      <c r="I869" s="357">
        <f t="shared" ca="1" si="390"/>
        <v>56.106473168162189</v>
      </c>
      <c r="J869" s="359">
        <f t="shared" ca="1" si="391"/>
        <v>184.26379383972827</v>
      </c>
      <c r="K869" s="360">
        <f t="shared" ca="1" si="392"/>
        <v>-7.8518128604150776</v>
      </c>
      <c r="L869" s="357">
        <f t="shared" ca="1" si="377"/>
        <v>184.43100792818129</v>
      </c>
      <c r="M869" s="359">
        <f t="shared" ca="1" si="393"/>
        <v>-1.4818376613698439</v>
      </c>
      <c r="N869" s="357">
        <f t="shared" ca="1" si="394"/>
        <v>-84.903043920028125</v>
      </c>
      <c r="O869" s="343"/>
      <c r="P869" s="363">
        <f t="shared" ca="1" si="395"/>
        <v>23</v>
      </c>
      <c r="Q869" s="357">
        <f t="shared" ca="1" si="396"/>
        <v>0</v>
      </c>
      <c r="R869" s="359">
        <f t="shared" ca="1" si="397"/>
        <v>0</v>
      </c>
      <c r="S869" s="360">
        <f t="shared" ca="1" si="398"/>
        <v>0.42898953648292248</v>
      </c>
      <c r="T869" s="357">
        <f t="shared" ca="1" si="378"/>
        <v>4.2083873528974696</v>
      </c>
      <c r="U869" s="364">
        <f t="shared" ca="1" si="379"/>
        <v>0</v>
      </c>
      <c r="V869" s="359">
        <f t="shared" ca="1" si="380"/>
        <v>1.2259622248358681</v>
      </c>
      <c r="W869" s="357">
        <f t="shared" ca="1" si="381"/>
        <v>3.4019018085543768</v>
      </c>
      <c r="X869" s="343"/>
      <c r="Y869" s="367" t="str">
        <f t="shared" ca="1" si="399"/>
        <v/>
      </c>
      <c r="Z869" s="368" t="str">
        <f t="shared" ca="1" si="400"/>
        <v/>
      </c>
      <c r="AA869" s="369" t="str">
        <f t="shared" ca="1" si="401"/>
        <v/>
      </c>
      <c r="AB869" s="344"/>
      <c r="AC869" s="363" t="e">
        <f t="shared" ca="1" si="402"/>
        <v>#N/A</v>
      </c>
      <c r="AD869" s="376" t="e">
        <f t="shared" ca="1" si="403"/>
        <v>#N/A</v>
      </c>
      <c r="AE869" s="377" t="e">
        <f t="shared" ca="1" si="382"/>
        <v>#N/A</v>
      </c>
      <c r="AF869" s="344"/>
      <c r="AG869" s="359">
        <f t="shared" ca="1" si="404"/>
        <v>1.8412298292576859</v>
      </c>
      <c r="AH869" s="357">
        <f t="shared" ca="1" si="405"/>
        <v>-7.9299779838564186</v>
      </c>
    </row>
    <row r="870" spans="1:34">
      <c r="A870" s="402">
        <f t="shared" ca="1" si="383"/>
        <v>1E-4</v>
      </c>
      <c r="B870" s="357">
        <f t="shared" ca="1" si="384"/>
        <v>16.951699999999853</v>
      </c>
      <c r="C870" s="342"/>
      <c r="D870" s="359">
        <f t="shared" ca="1" si="385"/>
        <v>-0.70451521019860497</v>
      </c>
      <c r="E870" s="360">
        <f t="shared" ca="1" si="386"/>
        <v>-1.9113225852571905</v>
      </c>
      <c r="F870" s="357">
        <f t="shared" ca="1" si="387"/>
        <v>2.0370311009691076</v>
      </c>
      <c r="G870" s="359">
        <f t="shared" ca="1" si="388"/>
        <v>4.9845060874903009</v>
      </c>
      <c r="H870" s="360">
        <f t="shared" ca="1" si="389"/>
        <v>-55.8848073347202</v>
      </c>
      <c r="I870" s="357">
        <f t="shared" ca="1" si="390"/>
        <v>56.10665728570028</v>
      </c>
      <c r="J870" s="359">
        <f t="shared" ca="1" si="391"/>
        <v>184.26379383972827</v>
      </c>
      <c r="K870" s="360">
        <f t="shared" ca="1" si="392"/>
        <v>-7.8574013315919364</v>
      </c>
      <c r="L870" s="357">
        <f t="shared" ca="1" si="377"/>
        <v>184.43124593163594</v>
      </c>
      <c r="M870" s="359">
        <f t="shared" ca="1" si="393"/>
        <v>-1.4818392147219526</v>
      </c>
      <c r="N870" s="357">
        <f t="shared" ca="1" si="394"/>
        <v>-84.903132920548046</v>
      </c>
      <c r="O870" s="343"/>
      <c r="P870" s="363">
        <f t="shared" ca="1" si="395"/>
        <v>23</v>
      </c>
      <c r="Q870" s="357">
        <f t="shared" ca="1" si="396"/>
        <v>0</v>
      </c>
      <c r="R870" s="359">
        <f t="shared" ca="1" si="397"/>
        <v>0</v>
      </c>
      <c r="S870" s="360">
        <f t="shared" ca="1" si="398"/>
        <v>0.42898953648292248</v>
      </c>
      <c r="T870" s="357">
        <f t="shared" ca="1" si="378"/>
        <v>4.2083873528974696</v>
      </c>
      <c r="U870" s="364">
        <f t="shared" ca="1" si="379"/>
        <v>0</v>
      </c>
      <c r="V870" s="359">
        <f t="shared" ca="1" si="380"/>
        <v>1.2259629099616207</v>
      </c>
      <c r="W870" s="357">
        <f t="shared" ca="1" si="381"/>
        <v>3.4019260369317181</v>
      </c>
      <c r="X870" s="343"/>
      <c r="Y870" s="367" t="str">
        <f t="shared" ca="1" si="399"/>
        <v/>
      </c>
      <c r="Z870" s="368" t="str">
        <f t="shared" ca="1" si="400"/>
        <v/>
      </c>
      <c r="AA870" s="369" t="str">
        <f t="shared" ca="1" si="401"/>
        <v/>
      </c>
      <c r="AB870" s="344"/>
      <c r="AC870" s="363" t="e">
        <f t="shared" ca="1" si="402"/>
        <v>#N/A</v>
      </c>
      <c r="AD870" s="376" t="e">
        <f t="shared" ca="1" si="403"/>
        <v>#N/A</v>
      </c>
      <c r="AE870" s="377" t="e">
        <f t="shared" ca="1" si="382"/>
        <v>#N/A</v>
      </c>
      <c r="AF870" s="344"/>
      <c r="AG870" s="359">
        <f t="shared" ca="1" si="404"/>
        <v>1.8411747040033388</v>
      </c>
      <c r="AH870" s="357">
        <f t="shared" ca="1" si="405"/>
        <v>-7.9300344629496626</v>
      </c>
    </row>
    <row r="871" spans="1:34">
      <c r="A871" s="402">
        <f t="shared" ca="1" si="383"/>
        <v>1E-4</v>
      </c>
      <c r="B871" s="357">
        <f t="shared" ca="1" si="384"/>
        <v>16.951799999999853</v>
      </c>
      <c r="C871" s="342"/>
      <c r="D871" s="359">
        <f t="shared" ca="1" si="385"/>
        <v>-0.70450795824724455</v>
      </c>
      <c r="E871" s="360">
        <f t="shared" ca="1" si="386"/>
        <v>-1.9112652364423575</v>
      </c>
      <c r="F871" s="357">
        <f t="shared" ca="1" si="387"/>
        <v>2.0369747831690903</v>
      </c>
      <c r="G871" s="359">
        <f t="shared" ca="1" si="388"/>
        <v>4.9844356366944762</v>
      </c>
      <c r="H871" s="360">
        <f t="shared" ca="1" si="389"/>
        <v>-55.884998461243846</v>
      </c>
      <c r="I871" s="357">
        <f t="shared" ca="1" si="390"/>
        <v>56.106841397725972</v>
      </c>
      <c r="J871" s="359">
        <f t="shared" ca="1" si="391"/>
        <v>184.26379383972827</v>
      </c>
      <c r="K871" s="360">
        <f t="shared" ca="1" si="392"/>
        <v>-7.8629898218817349</v>
      </c>
      <c r="L871" s="357">
        <f t="shared" ca="1" si="377"/>
        <v>184.43148410493501</v>
      </c>
      <c r="M871" s="359">
        <f t="shared" ca="1" si="393"/>
        <v>-1.4818407680419119</v>
      </c>
      <c r="N871" s="357">
        <f t="shared" ca="1" si="394"/>
        <v>-84.903221919225956</v>
      </c>
      <c r="O871" s="343"/>
      <c r="P871" s="363">
        <f t="shared" ca="1" si="395"/>
        <v>23</v>
      </c>
      <c r="Q871" s="357">
        <f t="shared" ca="1" si="396"/>
        <v>0</v>
      </c>
      <c r="R871" s="359">
        <f t="shared" ca="1" si="397"/>
        <v>0</v>
      </c>
      <c r="S871" s="360">
        <f t="shared" ca="1" si="398"/>
        <v>0.42898953648292248</v>
      </c>
      <c r="T871" s="357">
        <f t="shared" ca="1" si="378"/>
        <v>4.2083873528974696</v>
      </c>
      <c r="U871" s="364">
        <f t="shared" ca="1" si="379"/>
        <v>0</v>
      </c>
      <c r="V871" s="359">
        <f t="shared" ca="1" si="380"/>
        <v>1.2259635950901</v>
      </c>
      <c r="W871" s="357">
        <f t="shared" ca="1" si="381"/>
        <v>3.4019502647463775</v>
      </c>
      <c r="X871" s="343"/>
      <c r="Y871" s="367" t="str">
        <f t="shared" ca="1" si="399"/>
        <v/>
      </c>
      <c r="Z871" s="368" t="str">
        <f t="shared" ca="1" si="400"/>
        <v/>
      </c>
      <c r="AA871" s="369" t="str">
        <f t="shared" ca="1" si="401"/>
        <v/>
      </c>
      <c r="AB871" s="344"/>
      <c r="AC871" s="363" t="e">
        <f t="shared" ca="1" si="402"/>
        <v>#N/A</v>
      </c>
      <c r="AD871" s="376" t="e">
        <f t="shared" ca="1" si="403"/>
        <v>#N/A</v>
      </c>
      <c r="AE871" s="377" t="e">
        <f t="shared" ca="1" si="382"/>
        <v>#N/A</v>
      </c>
      <c r="AF871" s="344"/>
      <c r="AG871" s="359">
        <f t="shared" ca="1" si="404"/>
        <v>1.8411195800090603</v>
      </c>
      <c r="AH871" s="357">
        <f t="shared" ca="1" si="405"/>
        <v>-7.9300909407312421</v>
      </c>
    </row>
    <row r="872" spans="1:34">
      <c r="A872" s="402">
        <f t="shared" ca="1" si="383"/>
        <v>1E-4</v>
      </c>
      <c r="B872" s="357">
        <f t="shared" ca="1" si="384"/>
        <v>16.951899999999853</v>
      </c>
      <c r="C872" s="342"/>
      <c r="D872" s="359">
        <f t="shared" ca="1" si="385"/>
        <v>-0.70450070625683547</v>
      </c>
      <c r="E872" s="360">
        <f t="shared" ca="1" si="386"/>
        <v>-1.911207888960103</v>
      </c>
      <c r="F872" s="357">
        <f t="shared" ca="1" si="387"/>
        <v>2.036918466689257</v>
      </c>
      <c r="G872" s="359">
        <f t="shared" ca="1" si="388"/>
        <v>4.9843651866238501</v>
      </c>
      <c r="H872" s="360">
        <f t="shared" ca="1" si="389"/>
        <v>-55.885189582032744</v>
      </c>
      <c r="I872" s="357">
        <f t="shared" ca="1" si="390"/>
        <v>56.107025504239388</v>
      </c>
      <c r="J872" s="359">
        <f t="shared" ca="1" si="391"/>
        <v>184.26379383972827</v>
      </c>
      <c r="K872" s="360">
        <f t="shared" ca="1" si="392"/>
        <v>-7.8685783312838984</v>
      </c>
      <c r="L872" s="357">
        <f t="shared" ca="1" si="377"/>
        <v>184.43172244807951</v>
      </c>
      <c r="M872" s="359">
        <f t="shared" ca="1" si="393"/>
        <v>-1.4818423213297227</v>
      </c>
      <c r="N872" s="357">
        <f t="shared" ca="1" si="394"/>
        <v>-84.903310916061884</v>
      </c>
      <c r="O872" s="343"/>
      <c r="P872" s="363">
        <f t="shared" ca="1" si="395"/>
        <v>23</v>
      </c>
      <c r="Q872" s="357">
        <f t="shared" ca="1" si="396"/>
        <v>0</v>
      </c>
      <c r="R872" s="359">
        <f t="shared" ca="1" si="397"/>
        <v>0</v>
      </c>
      <c r="S872" s="360">
        <f t="shared" ca="1" si="398"/>
        <v>0.42898953648292248</v>
      </c>
      <c r="T872" s="357">
        <f t="shared" ca="1" si="378"/>
        <v>4.2083873528974696</v>
      </c>
      <c r="U872" s="364">
        <f t="shared" ca="1" si="379"/>
        <v>0</v>
      </c>
      <c r="V872" s="359">
        <f t="shared" ca="1" si="380"/>
        <v>1.2259642802213049</v>
      </c>
      <c r="W872" s="357">
        <f t="shared" ca="1" si="381"/>
        <v>3.4019744919983603</v>
      </c>
      <c r="X872" s="343"/>
      <c r="Y872" s="367" t="str">
        <f t="shared" ca="1" si="399"/>
        <v/>
      </c>
      <c r="Z872" s="368" t="str">
        <f t="shared" ca="1" si="400"/>
        <v/>
      </c>
      <c r="AA872" s="369" t="str">
        <f t="shared" ca="1" si="401"/>
        <v/>
      </c>
      <c r="AB872" s="344"/>
      <c r="AC872" s="363" t="e">
        <f t="shared" ca="1" si="402"/>
        <v>#N/A</v>
      </c>
      <c r="AD872" s="376" t="e">
        <f t="shared" ca="1" si="403"/>
        <v>#N/A</v>
      </c>
      <c r="AE872" s="377" t="e">
        <f t="shared" ca="1" si="382"/>
        <v>#N/A</v>
      </c>
      <c r="AF872" s="344"/>
      <c r="AG872" s="359">
        <f t="shared" ca="1" si="404"/>
        <v>1.8410644572748325</v>
      </c>
      <c r="AH872" s="357">
        <f t="shared" ca="1" si="405"/>
        <v>-7.9301474172011766</v>
      </c>
    </row>
    <row r="873" spans="1:34">
      <c r="A873" s="402">
        <f t="shared" ca="1" si="383"/>
        <v>1E-4</v>
      </c>
      <c r="B873" s="357">
        <f t="shared" ca="1" si="384"/>
        <v>16.951999999999853</v>
      </c>
      <c r="C873" s="342"/>
      <c r="D873" s="359">
        <f t="shared" ca="1" si="385"/>
        <v>-0.7044934542273833</v>
      </c>
      <c r="E873" s="360">
        <f t="shared" ca="1" si="386"/>
        <v>-1.9111505428104163</v>
      </c>
      <c r="F873" s="357">
        <f t="shared" ca="1" si="387"/>
        <v>2.036862151529597</v>
      </c>
      <c r="G873" s="359">
        <f t="shared" ca="1" si="388"/>
        <v>4.984294737278427</v>
      </c>
      <c r="H873" s="360">
        <f t="shared" ca="1" si="389"/>
        <v>-55.885380697087022</v>
      </c>
      <c r="I873" s="357">
        <f t="shared" ca="1" si="390"/>
        <v>56.107209605240648</v>
      </c>
      <c r="J873" s="359">
        <f t="shared" ca="1" si="391"/>
        <v>184.26379383972827</v>
      </c>
      <c r="K873" s="360">
        <f t="shared" ca="1" si="392"/>
        <v>-7.874166859797854</v>
      </c>
      <c r="L873" s="357">
        <f t="shared" ca="1" si="377"/>
        <v>184.43196096107047</v>
      </c>
      <c r="M873" s="359">
        <f t="shared" ca="1" si="393"/>
        <v>-1.4818438745853857</v>
      </c>
      <c r="N873" s="357">
        <f t="shared" ca="1" si="394"/>
        <v>-84.903399911055871</v>
      </c>
      <c r="O873" s="343"/>
      <c r="P873" s="363">
        <f t="shared" ca="1" si="395"/>
        <v>23</v>
      </c>
      <c r="Q873" s="357">
        <f t="shared" ca="1" si="396"/>
        <v>0</v>
      </c>
      <c r="R873" s="359">
        <f t="shared" ca="1" si="397"/>
        <v>0</v>
      </c>
      <c r="S873" s="360">
        <f t="shared" ca="1" si="398"/>
        <v>0.42898953648292248</v>
      </c>
      <c r="T873" s="357">
        <f t="shared" ca="1" si="378"/>
        <v>4.2083873528974696</v>
      </c>
      <c r="U873" s="364">
        <f t="shared" ca="1" si="379"/>
        <v>0</v>
      </c>
      <c r="V873" s="359">
        <f t="shared" ca="1" si="380"/>
        <v>1.2259649653552362</v>
      </c>
      <c r="W873" s="357">
        <f t="shared" ca="1" si="381"/>
        <v>3.401998718687675</v>
      </c>
      <c r="X873" s="343"/>
      <c r="Y873" s="367" t="str">
        <f t="shared" ca="1" si="399"/>
        <v/>
      </c>
      <c r="Z873" s="368" t="str">
        <f t="shared" ca="1" si="400"/>
        <v/>
      </c>
      <c r="AA873" s="369" t="str">
        <f t="shared" ca="1" si="401"/>
        <v/>
      </c>
      <c r="AB873" s="344"/>
      <c r="AC873" s="363" t="e">
        <f t="shared" ca="1" si="402"/>
        <v>#N/A</v>
      </c>
      <c r="AD873" s="376" t="e">
        <f t="shared" ca="1" si="403"/>
        <v>#N/A</v>
      </c>
      <c r="AE873" s="377" t="e">
        <f t="shared" ca="1" si="382"/>
        <v>#N/A</v>
      </c>
      <c r="AF873" s="344"/>
      <c r="AG873" s="359">
        <f t="shared" ca="1" si="404"/>
        <v>1.841009335800643</v>
      </c>
      <c r="AH873" s="357">
        <f t="shared" ca="1" si="405"/>
        <v>-7.9302038923594784</v>
      </c>
    </row>
    <row r="874" spans="1:34">
      <c r="A874" s="402">
        <f t="shared" ca="1" si="383"/>
        <v>1E-4</v>
      </c>
      <c r="B874" s="357">
        <f t="shared" ca="1" si="384"/>
        <v>16.952099999999852</v>
      </c>
      <c r="C874" s="342"/>
      <c r="D874" s="359">
        <f t="shared" ca="1" si="385"/>
        <v>-0.70448620215889612</v>
      </c>
      <c r="E874" s="360">
        <f t="shared" ca="1" si="386"/>
        <v>-1.9110931979932744</v>
      </c>
      <c r="F874" s="357">
        <f t="shared" ca="1" si="387"/>
        <v>2.036805837690089</v>
      </c>
      <c r="G874" s="359">
        <f t="shared" ca="1" si="388"/>
        <v>4.9842242886582113</v>
      </c>
      <c r="H874" s="360">
        <f t="shared" ca="1" si="389"/>
        <v>-55.885571806406823</v>
      </c>
      <c r="I874" s="357">
        <f t="shared" ca="1" si="390"/>
        <v>56.10739370072988</v>
      </c>
      <c r="J874" s="359">
        <f t="shared" ca="1" si="391"/>
        <v>184.26379383972827</v>
      </c>
      <c r="K874" s="360">
        <f t="shared" ca="1" si="392"/>
        <v>-7.8797554074230289</v>
      </c>
      <c r="L874" s="357">
        <f t="shared" ca="1" si="377"/>
        <v>184.43219964390897</v>
      </c>
      <c r="M874" s="359">
        <f t="shared" ca="1" si="393"/>
        <v>-1.4818454278089022</v>
      </c>
      <c r="N874" s="357">
        <f t="shared" ca="1" si="394"/>
        <v>-84.903488904208004</v>
      </c>
      <c r="O874" s="343"/>
      <c r="P874" s="363">
        <f t="shared" ca="1" si="395"/>
        <v>23</v>
      </c>
      <c r="Q874" s="357">
        <f t="shared" ca="1" si="396"/>
        <v>0</v>
      </c>
      <c r="R874" s="359">
        <f t="shared" ca="1" si="397"/>
        <v>0</v>
      </c>
      <c r="S874" s="360">
        <f t="shared" ca="1" si="398"/>
        <v>0.42898953648292248</v>
      </c>
      <c r="T874" s="357">
        <f t="shared" ca="1" si="378"/>
        <v>4.2083873528974696</v>
      </c>
      <c r="U874" s="364">
        <f t="shared" ca="1" si="379"/>
        <v>0</v>
      </c>
      <c r="V874" s="359">
        <f t="shared" ca="1" si="380"/>
        <v>1.2259656504918937</v>
      </c>
      <c r="W874" s="357">
        <f t="shared" ca="1" si="381"/>
        <v>3.4020229448143291</v>
      </c>
      <c r="X874" s="343"/>
      <c r="Y874" s="367" t="str">
        <f t="shared" ca="1" si="399"/>
        <v/>
      </c>
      <c r="Z874" s="368" t="str">
        <f t="shared" ca="1" si="400"/>
        <v/>
      </c>
      <c r="AA874" s="369" t="str">
        <f t="shared" ca="1" si="401"/>
        <v/>
      </c>
      <c r="AB874" s="344"/>
      <c r="AC874" s="363" t="e">
        <f t="shared" ca="1" si="402"/>
        <v>#N/A</v>
      </c>
      <c r="AD874" s="376" t="e">
        <f t="shared" ca="1" si="403"/>
        <v>#N/A</v>
      </c>
      <c r="AE874" s="377" t="e">
        <f t="shared" ca="1" si="382"/>
        <v>#N/A</v>
      </c>
      <c r="AF874" s="344"/>
      <c r="AG874" s="359">
        <f t="shared" ca="1" si="404"/>
        <v>1.8409542155864766</v>
      </c>
      <c r="AH874" s="357">
        <f t="shared" ca="1" si="405"/>
        <v>-7.9302603662061681</v>
      </c>
    </row>
    <row r="875" spans="1:34">
      <c r="A875" s="402">
        <f t="shared" ca="1" si="383"/>
        <v>1E-4</v>
      </c>
      <c r="B875" s="357">
        <f t="shared" ca="1" si="384"/>
        <v>16.952199999999852</v>
      </c>
      <c r="C875" s="342"/>
      <c r="D875" s="359">
        <f t="shared" ca="1" si="385"/>
        <v>-0.70447895005137651</v>
      </c>
      <c r="E875" s="360">
        <f t="shared" ca="1" si="386"/>
        <v>-1.9110358545086621</v>
      </c>
      <c r="F875" s="357">
        <f t="shared" ca="1" si="387"/>
        <v>2.0367495251707175</v>
      </c>
      <c r="G875" s="359">
        <f t="shared" ca="1" si="388"/>
        <v>4.9841538407632058</v>
      </c>
      <c r="H875" s="360">
        <f t="shared" ca="1" si="389"/>
        <v>-55.885762909992273</v>
      </c>
      <c r="I875" s="357">
        <f t="shared" ca="1" si="390"/>
        <v>56.107577790707225</v>
      </c>
      <c r="J875" s="359">
        <f t="shared" ca="1" si="391"/>
        <v>184.26379383972827</v>
      </c>
      <c r="K875" s="360">
        <f t="shared" ca="1" si="392"/>
        <v>-7.8853439741588485</v>
      </c>
      <c r="L875" s="357">
        <f t="shared" ca="1" si="377"/>
        <v>184.43243849659606</v>
      </c>
      <c r="M875" s="359">
        <f t="shared" ca="1" si="393"/>
        <v>-1.4818469810002728</v>
      </c>
      <c r="N875" s="357">
        <f t="shared" ca="1" si="394"/>
        <v>-84.903577895518325</v>
      </c>
      <c r="O875" s="343"/>
      <c r="P875" s="363">
        <f t="shared" ca="1" si="395"/>
        <v>23</v>
      </c>
      <c r="Q875" s="357">
        <f t="shared" ca="1" si="396"/>
        <v>0</v>
      </c>
      <c r="R875" s="359">
        <f t="shared" ca="1" si="397"/>
        <v>0</v>
      </c>
      <c r="S875" s="360">
        <f t="shared" ca="1" si="398"/>
        <v>0.42898953648292248</v>
      </c>
      <c r="T875" s="357">
        <f t="shared" ca="1" si="378"/>
        <v>4.2083873528974696</v>
      </c>
      <c r="U875" s="364">
        <f t="shared" ca="1" si="379"/>
        <v>0</v>
      </c>
      <c r="V875" s="359">
        <f t="shared" ca="1" si="380"/>
        <v>1.2259663356312767</v>
      </c>
      <c r="W875" s="357">
        <f t="shared" ca="1" si="381"/>
        <v>3.4020471703783315</v>
      </c>
      <c r="X875" s="343"/>
      <c r="Y875" s="367" t="str">
        <f t="shared" ca="1" si="399"/>
        <v/>
      </c>
      <c r="Z875" s="368" t="str">
        <f t="shared" ca="1" si="400"/>
        <v/>
      </c>
      <c r="AA875" s="369" t="str">
        <f t="shared" ca="1" si="401"/>
        <v/>
      </c>
      <c r="AB875" s="344"/>
      <c r="AC875" s="363" t="e">
        <f t="shared" ca="1" si="402"/>
        <v>#N/A</v>
      </c>
      <c r="AD875" s="376" t="e">
        <f t="shared" ca="1" si="403"/>
        <v>#N/A</v>
      </c>
      <c r="AE875" s="377" t="e">
        <f t="shared" ca="1" si="382"/>
        <v>#N/A</v>
      </c>
      <c r="AF875" s="344"/>
      <c r="AG875" s="359">
        <f t="shared" ca="1" si="404"/>
        <v>1.8408990966323158</v>
      </c>
      <c r="AH875" s="357">
        <f t="shared" ca="1" si="405"/>
        <v>-7.9303168387412617</v>
      </c>
    </row>
    <row r="876" spans="1:34">
      <c r="A876" s="402">
        <f t="shared" ca="1" si="383"/>
        <v>1E-4</v>
      </c>
      <c r="B876" s="357">
        <f t="shared" ca="1" si="384"/>
        <v>16.952299999999852</v>
      </c>
      <c r="C876" s="342"/>
      <c r="D876" s="359">
        <f t="shared" ca="1" si="385"/>
        <v>-0.70447169790483299</v>
      </c>
      <c r="E876" s="360">
        <f t="shared" ca="1" si="386"/>
        <v>-1.9109785123565555</v>
      </c>
      <c r="F876" s="357">
        <f t="shared" ca="1" si="387"/>
        <v>2.0366932139714593</v>
      </c>
      <c r="G876" s="359">
        <f t="shared" ca="1" si="388"/>
        <v>4.9840833935934157</v>
      </c>
      <c r="H876" s="360">
        <f t="shared" ca="1" si="389"/>
        <v>-55.885954007843509</v>
      </c>
      <c r="I876" s="357">
        <f t="shared" ca="1" si="390"/>
        <v>56.107761875172798</v>
      </c>
      <c r="J876" s="359">
        <f t="shared" ca="1" si="391"/>
        <v>184.26379383972827</v>
      </c>
      <c r="K876" s="360">
        <f t="shared" ca="1" si="392"/>
        <v>-7.8909325600047406</v>
      </c>
      <c r="L876" s="357">
        <f t="shared" ca="1" si="377"/>
        <v>184.4326775191328</v>
      </c>
      <c r="M876" s="359">
        <f t="shared" ca="1" si="393"/>
        <v>-1.4818485341594987</v>
      </c>
      <c r="N876" s="357">
        <f t="shared" ca="1" si="394"/>
        <v>-84.903666884986876</v>
      </c>
      <c r="O876" s="343"/>
      <c r="P876" s="363">
        <f t="shared" ca="1" si="395"/>
        <v>23</v>
      </c>
      <c r="Q876" s="357">
        <f t="shared" ca="1" si="396"/>
        <v>0</v>
      </c>
      <c r="R876" s="359">
        <f t="shared" ca="1" si="397"/>
        <v>0</v>
      </c>
      <c r="S876" s="360">
        <f t="shared" ca="1" si="398"/>
        <v>0.42898953648292248</v>
      </c>
      <c r="T876" s="357">
        <f t="shared" ca="1" si="378"/>
        <v>4.2083873528974696</v>
      </c>
      <c r="U876" s="364">
        <f t="shared" ca="1" si="379"/>
        <v>0</v>
      </c>
      <c r="V876" s="359">
        <f t="shared" ca="1" si="380"/>
        <v>1.2259670207733859</v>
      </c>
      <c r="W876" s="357">
        <f t="shared" ca="1" si="381"/>
        <v>3.4020713953796897</v>
      </c>
      <c r="X876" s="343"/>
      <c r="Y876" s="367" t="str">
        <f t="shared" ca="1" si="399"/>
        <v/>
      </c>
      <c r="Z876" s="368" t="str">
        <f t="shared" ca="1" si="400"/>
        <v/>
      </c>
      <c r="AA876" s="369" t="str">
        <f t="shared" ca="1" si="401"/>
        <v/>
      </c>
      <c r="AB876" s="344"/>
      <c r="AC876" s="363" t="e">
        <f t="shared" ca="1" si="402"/>
        <v>#N/A</v>
      </c>
      <c r="AD876" s="376" t="e">
        <f t="shared" ca="1" si="403"/>
        <v>#N/A</v>
      </c>
      <c r="AE876" s="377" t="e">
        <f t="shared" ca="1" si="382"/>
        <v>#N/A</v>
      </c>
      <c r="AF876" s="344"/>
      <c r="AG876" s="359">
        <f t="shared" ca="1" si="404"/>
        <v>1.8408439789381426</v>
      </c>
      <c r="AH876" s="357">
        <f t="shared" ca="1" si="405"/>
        <v>-7.9303733099647822</v>
      </c>
    </row>
    <row r="877" spans="1:34">
      <c r="A877" s="402">
        <f t="shared" ca="1" si="383"/>
        <v>1E-4</v>
      </c>
      <c r="B877" s="357">
        <f t="shared" ca="1" si="384"/>
        <v>16.952399999999852</v>
      </c>
      <c r="C877" s="342"/>
      <c r="D877" s="359">
        <f t="shared" ca="1" si="385"/>
        <v>-0.70446444571926947</v>
      </c>
      <c r="E877" s="360">
        <f t="shared" ca="1" si="386"/>
        <v>-1.9109211715369394</v>
      </c>
      <c r="F877" s="357">
        <f t="shared" ca="1" si="387"/>
        <v>2.0366369040922998</v>
      </c>
      <c r="G877" s="359">
        <f t="shared" ca="1" si="388"/>
        <v>4.9840129471488437</v>
      </c>
      <c r="H877" s="360">
        <f t="shared" ca="1" si="389"/>
        <v>-55.886145099960665</v>
      </c>
      <c r="I877" s="357">
        <f t="shared" ca="1" si="390"/>
        <v>56.107945954126713</v>
      </c>
      <c r="J877" s="359">
        <f t="shared" ca="1" si="391"/>
        <v>184.26379383972827</v>
      </c>
      <c r="K877" s="360">
        <f t="shared" ca="1" si="392"/>
        <v>-7.8965211649601308</v>
      </c>
      <c r="L877" s="357">
        <f t="shared" ca="1" si="377"/>
        <v>184.43291671152019</v>
      </c>
      <c r="M877" s="359">
        <f t="shared" ca="1" si="393"/>
        <v>-1.4818500872865805</v>
      </c>
      <c r="N877" s="357">
        <f t="shared" ca="1" si="394"/>
        <v>-84.903755872613715</v>
      </c>
      <c r="O877" s="343"/>
      <c r="P877" s="363">
        <f t="shared" ca="1" si="395"/>
        <v>23</v>
      </c>
      <c r="Q877" s="357">
        <f t="shared" ca="1" si="396"/>
        <v>0</v>
      </c>
      <c r="R877" s="359">
        <f t="shared" ca="1" si="397"/>
        <v>0</v>
      </c>
      <c r="S877" s="360">
        <f t="shared" ca="1" si="398"/>
        <v>0.42898953648292248</v>
      </c>
      <c r="T877" s="357">
        <f t="shared" ca="1" si="378"/>
        <v>4.2083873528974696</v>
      </c>
      <c r="U877" s="364">
        <f t="shared" ca="1" si="379"/>
        <v>0</v>
      </c>
      <c r="V877" s="359">
        <f t="shared" ca="1" si="380"/>
        <v>1.2259677059182208</v>
      </c>
      <c r="W877" s="357">
        <f t="shared" ca="1" si="381"/>
        <v>3.4020956198184074</v>
      </c>
      <c r="X877" s="343"/>
      <c r="Y877" s="367" t="str">
        <f t="shared" ca="1" si="399"/>
        <v/>
      </c>
      <c r="Z877" s="368" t="str">
        <f t="shared" ca="1" si="400"/>
        <v/>
      </c>
      <c r="AA877" s="369" t="str">
        <f t="shared" ca="1" si="401"/>
        <v/>
      </c>
      <c r="AB877" s="344"/>
      <c r="AC877" s="363" t="e">
        <f t="shared" ca="1" si="402"/>
        <v>#N/A</v>
      </c>
      <c r="AD877" s="376" t="e">
        <f t="shared" ca="1" si="403"/>
        <v>#N/A</v>
      </c>
      <c r="AE877" s="377" t="e">
        <f t="shared" ca="1" si="382"/>
        <v>#N/A</v>
      </c>
      <c r="AF877" s="344"/>
      <c r="AG877" s="359">
        <f t="shared" ca="1" si="404"/>
        <v>1.8407888625039437</v>
      </c>
      <c r="AH877" s="357">
        <f t="shared" ca="1" si="405"/>
        <v>-7.9304297798767447</v>
      </c>
    </row>
    <row r="878" spans="1:34">
      <c r="A878" s="402">
        <f t="shared" ca="1" si="383"/>
        <v>1E-4</v>
      </c>
      <c r="B878" s="357">
        <f t="shared" ca="1" si="384"/>
        <v>16.952499999999851</v>
      </c>
      <c r="C878" s="342"/>
      <c r="D878" s="359">
        <f t="shared" ca="1" si="385"/>
        <v>-0.70445719349469338</v>
      </c>
      <c r="E878" s="360">
        <f t="shared" ca="1" si="386"/>
        <v>-1.9108638320498041</v>
      </c>
      <c r="F878" s="357">
        <f t="shared" ca="1" si="387"/>
        <v>2.0365805955332292</v>
      </c>
      <c r="G878" s="359">
        <f t="shared" ca="1" si="388"/>
        <v>4.9839425014294942</v>
      </c>
      <c r="H878" s="360">
        <f t="shared" ca="1" si="389"/>
        <v>-55.886336186343868</v>
      </c>
      <c r="I878" s="357">
        <f t="shared" ca="1" si="390"/>
        <v>56.108130027569118</v>
      </c>
      <c r="J878" s="359">
        <f t="shared" ca="1" si="391"/>
        <v>184.26379383972827</v>
      </c>
      <c r="K878" s="360">
        <f t="shared" ca="1" si="392"/>
        <v>-7.9021097890244461</v>
      </c>
      <c r="L878" s="357">
        <f t="shared" ca="1" si="377"/>
        <v>184.43315607375936</v>
      </c>
      <c r="M878" s="359">
        <f t="shared" ca="1" si="393"/>
        <v>-1.4818516403815194</v>
      </c>
      <c r="N878" s="357">
        <f t="shared" ca="1" si="394"/>
        <v>-84.903844858398898</v>
      </c>
      <c r="O878" s="343"/>
      <c r="P878" s="363">
        <f t="shared" ca="1" si="395"/>
        <v>23</v>
      </c>
      <c r="Q878" s="357">
        <f t="shared" ca="1" si="396"/>
        <v>0</v>
      </c>
      <c r="R878" s="359">
        <f t="shared" ca="1" si="397"/>
        <v>0</v>
      </c>
      <c r="S878" s="360">
        <f t="shared" ca="1" si="398"/>
        <v>0.42898953648292248</v>
      </c>
      <c r="T878" s="357">
        <f t="shared" ca="1" si="378"/>
        <v>4.2083873528974696</v>
      </c>
      <c r="U878" s="364">
        <f t="shared" ca="1" si="379"/>
        <v>0</v>
      </c>
      <c r="V878" s="359">
        <f t="shared" ca="1" si="380"/>
        <v>1.2259683910657819</v>
      </c>
      <c r="W878" s="357">
        <f t="shared" ca="1" si="381"/>
        <v>3.4021198436944999</v>
      </c>
      <c r="X878" s="343"/>
      <c r="Y878" s="367" t="str">
        <f t="shared" ca="1" si="399"/>
        <v/>
      </c>
      <c r="Z878" s="368" t="str">
        <f t="shared" ca="1" si="400"/>
        <v/>
      </c>
      <c r="AA878" s="369" t="str">
        <f t="shared" ca="1" si="401"/>
        <v/>
      </c>
      <c r="AB878" s="344"/>
      <c r="AC878" s="363" t="e">
        <f t="shared" ca="1" si="402"/>
        <v>#N/A</v>
      </c>
      <c r="AD878" s="376" t="e">
        <f t="shared" ca="1" si="403"/>
        <v>#N/A</v>
      </c>
      <c r="AE878" s="377" t="e">
        <f t="shared" ca="1" si="382"/>
        <v>#N/A</v>
      </c>
      <c r="AF878" s="344"/>
      <c r="AG878" s="359">
        <f t="shared" ca="1" si="404"/>
        <v>1.8407337473297112</v>
      </c>
      <c r="AH878" s="357">
        <f t="shared" ca="1" si="405"/>
        <v>-7.930486248477159</v>
      </c>
    </row>
    <row r="879" spans="1:34">
      <c r="A879" s="402">
        <f t="shared" ca="1" si="383"/>
        <v>1E-4</v>
      </c>
      <c r="B879" s="357">
        <f t="shared" ca="1" si="384"/>
        <v>16.952599999999851</v>
      </c>
      <c r="C879" s="342"/>
      <c r="D879" s="359">
        <f t="shared" ca="1" si="385"/>
        <v>-0.70444994123111082</v>
      </c>
      <c r="E879" s="360">
        <f t="shared" ca="1" si="386"/>
        <v>-1.9108064938951133</v>
      </c>
      <c r="F879" s="357">
        <f t="shared" ca="1" si="387"/>
        <v>2.0365242882942129</v>
      </c>
      <c r="G879" s="359">
        <f t="shared" ca="1" si="388"/>
        <v>4.9838720564353709</v>
      </c>
      <c r="H879" s="360">
        <f t="shared" ca="1" si="389"/>
        <v>-55.886527266993255</v>
      </c>
      <c r="I879" s="357">
        <f t="shared" ca="1" si="390"/>
        <v>56.108314095500127</v>
      </c>
      <c r="J879" s="359">
        <f t="shared" ca="1" si="391"/>
        <v>184.26379383972827</v>
      </c>
      <c r="K879" s="360">
        <f t="shared" ca="1" si="392"/>
        <v>-7.9076984321971127</v>
      </c>
      <c r="L879" s="357">
        <f t="shared" ca="1" si="377"/>
        <v>184.43339560585133</v>
      </c>
      <c r="M879" s="359">
        <f t="shared" ca="1" si="393"/>
        <v>-1.4818531934443162</v>
      </c>
      <c r="N879" s="357">
        <f t="shared" ca="1" si="394"/>
        <v>-84.903933842342468</v>
      </c>
      <c r="O879" s="343"/>
      <c r="P879" s="363">
        <f t="shared" ca="1" si="395"/>
        <v>23</v>
      </c>
      <c r="Q879" s="357">
        <f t="shared" ca="1" si="396"/>
        <v>0</v>
      </c>
      <c r="R879" s="359">
        <f t="shared" ca="1" si="397"/>
        <v>0</v>
      </c>
      <c r="S879" s="360">
        <f t="shared" ca="1" si="398"/>
        <v>0.42898953648292248</v>
      </c>
      <c r="T879" s="357">
        <f t="shared" ca="1" si="378"/>
        <v>4.2083873528974696</v>
      </c>
      <c r="U879" s="364">
        <f t="shared" ca="1" si="379"/>
        <v>0</v>
      </c>
      <c r="V879" s="359">
        <f t="shared" ca="1" si="380"/>
        <v>1.2259690762160682</v>
      </c>
      <c r="W879" s="357">
        <f t="shared" ca="1" si="381"/>
        <v>3.4021440670079683</v>
      </c>
      <c r="X879" s="343"/>
      <c r="Y879" s="367" t="str">
        <f t="shared" ca="1" si="399"/>
        <v/>
      </c>
      <c r="Z879" s="368" t="str">
        <f t="shared" ca="1" si="400"/>
        <v/>
      </c>
      <c r="AA879" s="369" t="str">
        <f t="shared" ca="1" si="401"/>
        <v/>
      </c>
      <c r="AB879" s="344"/>
      <c r="AC879" s="363" t="e">
        <f t="shared" ca="1" si="402"/>
        <v>#N/A</v>
      </c>
      <c r="AD879" s="376" t="e">
        <f t="shared" ca="1" si="403"/>
        <v>#N/A</v>
      </c>
      <c r="AE879" s="377" t="e">
        <f t="shared" ca="1" si="382"/>
        <v>#N/A</v>
      </c>
      <c r="AF879" s="344"/>
      <c r="AG879" s="359">
        <f t="shared" ca="1" si="404"/>
        <v>1.8406786334154104</v>
      </c>
      <c r="AH879" s="357">
        <f t="shared" ca="1" si="405"/>
        <v>-7.9305427157660615</v>
      </c>
    </row>
    <row r="880" spans="1:34">
      <c r="A880" s="402">
        <f t="shared" ca="1" si="383"/>
        <v>1E-4</v>
      </c>
      <c r="B880" s="357">
        <f t="shared" ca="1" si="384"/>
        <v>16.952699999999851</v>
      </c>
      <c r="C880" s="342"/>
      <c r="D880" s="359">
        <f t="shared" ca="1" si="385"/>
        <v>-0.70444268892852624</v>
      </c>
      <c r="E880" s="360">
        <f t="shared" ca="1" si="386"/>
        <v>-1.9107491570728641</v>
      </c>
      <c r="F880" s="357">
        <f t="shared" ca="1" si="387"/>
        <v>2.0364679823752478</v>
      </c>
      <c r="G880" s="359">
        <f t="shared" ca="1" si="388"/>
        <v>4.9838016121664781</v>
      </c>
      <c r="H880" s="360">
        <f t="shared" ca="1" si="389"/>
        <v>-55.88671834190896</v>
      </c>
      <c r="I880" s="357">
        <f t="shared" ca="1" si="390"/>
        <v>56.108498157919861</v>
      </c>
      <c r="J880" s="359">
        <f t="shared" ca="1" si="391"/>
        <v>184.26379383972827</v>
      </c>
      <c r="K880" s="360">
        <f t="shared" ca="1" si="392"/>
        <v>-7.9132870944775577</v>
      </c>
      <c r="L880" s="357">
        <f t="shared" ca="1" si="377"/>
        <v>184.43363530779712</v>
      </c>
      <c r="M880" s="359">
        <f t="shared" ca="1" si="393"/>
        <v>-1.4818547464749718</v>
      </c>
      <c r="N880" s="357">
        <f t="shared" ca="1" si="394"/>
        <v>-84.904022824444496</v>
      </c>
      <c r="O880" s="343"/>
      <c r="P880" s="363">
        <f t="shared" ca="1" si="395"/>
        <v>23</v>
      </c>
      <c r="Q880" s="357">
        <f t="shared" ca="1" si="396"/>
        <v>0</v>
      </c>
      <c r="R880" s="359">
        <f t="shared" ca="1" si="397"/>
        <v>0</v>
      </c>
      <c r="S880" s="360">
        <f t="shared" ca="1" si="398"/>
        <v>0.42898953648292248</v>
      </c>
      <c r="T880" s="357">
        <f t="shared" ca="1" si="378"/>
        <v>4.2083873528974696</v>
      </c>
      <c r="U880" s="364">
        <f t="shared" ca="1" si="379"/>
        <v>0</v>
      </c>
      <c r="V880" s="359">
        <f t="shared" ca="1" si="380"/>
        <v>1.2259697613690799</v>
      </c>
      <c r="W880" s="357">
        <f t="shared" ca="1" si="381"/>
        <v>3.4021682897588206</v>
      </c>
      <c r="X880" s="343"/>
      <c r="Y880" s="367" t="str">
        <f t="shared" ca="1" si="399"/>
        <v/>
      </c>
      <c r="Z880" s="368" t="str">
        <f t="shared" ca="1" si="400"/>
        <v/>
      </c>
      <c r="AA880" s="369" t="str">
        <f t="shared" ca="1" si="401"/>
        <v/>
      </c>
      <c r="AB880" s="344"/>
      <c r="AC880" s="363" t="e">
        <f t="shared" ca="1" si="402"/>
        <v>#N/A</v>
      </c>
      <c r="AD880" s="376" t="e">
        <f t="shared" ca="1" si="403"/>
        <v>#N/A</v>
      </c>
      <c r="AE880" s="377" t="e">
        <f t="shared" ca="1" si="382"/>
        <v>#N/A</v>
      </c>
      <c r="AF880" s="344"/>
      <c r="AG880" s="359">
        <f t="shared" ca="1" si="404"/>
        <v>1.840623520761044</v>
      </c>
      <c r="AH880" s="357">
        <f t="shared" ca="1" si="405"/>
        <v>-7.9305991817434531</v>
      </c>
    </row>
    <row r="881" spans="1:34">
      <c r="A881" s="402">
        <f t="shared" ca="1" si="383"/>
        <v>1E-4</v>
      </c>
      <c r="B881" s="357">
        <f t="shared" ca="1" si="384"/>
        <v>16.952799999999851</v>
      </c>
      <c r="C881" s="342"/>
      <c r="D881" s="359">
        <f t="shared" ca="1" si="385"/>
        <v>-0.70443543658694618</v>
      </c>
      <c r="E881" s="360">
        <f t="shared" ca="1" si="386"/>
        <v>-1.910691821583038</v>
      </c>
      <c r="F881" s="357">
        <f t="shared" ca="1" si="387"/>
        <v>2.0364116777763157</v>
      </c>
      <c r="G881" s="359">
        <f t="shared" ca="1" si="388"/>
        <v>4.9837311686228194</v>
      </c>
      <c r="H881" s="360">
        <f t="shared" ca="1" si="389"/>
        <v>-55.886909411091118</v>
      </c>
      <c r="I881" s="357">
        <f t="shared" ca="1" si="390"/>
        <v>56.108682214828463</v>
      </c>
      <c r="J881" s="359">
        <f t="shared" ca="1" si="391"/>
        <v>184.26379383972827</v>
      </c>
      <c r="K881" s="360">
        <f t="shared" ca="1" si="392"/>
        <v>-7.9188757758652075</v>
      </c>
      <c r="L881" s="357">
        <f t="shared" ca="1" si="377"/>
        <v>184.43387517959783</v>
      </c>
      <c r="M881" s="359">
        <f t="shared" ca="1" si="393"/>
        <v>-1.4818562994734872</v>
      </c>
      <c r="N881" s="357">
        <f t="shared" ca="1" si="394"/>
        <v>-84.904111804705011</v>
      </c>
      <c r="O881" s="343"/>
      <c r="P881" s="363">
        <f t="shared" ca="1" si="395"/>
        <v>23</v>
      </c>
      <c r="Q881" s="357">
        <f t="shared" ca="1" si="396"/>
        <v>0</v>
      </c>
      <c r="R881" s="359">
        <f t="shared" ca="1" si="397"/>
        <v>0</v>
      </c>
      <c r="S881" s="360">
        <f t="shared" ca="1" si="398"/>
        <v>0.42898953648292248</v>
      </c>
      <c r="T881" s="357">
        <f t="shared" ca="1" si="378"/>
        <v>4.2083873528974696</v>
      </c>
      <c r="U881" s="364">
        <f t="shared" ca="1" si="379"/>
        <v>0</v>
      </c>
      <c r="V881" s="359">
        <f t="shared" ca="1" si="380"/>
        <v>1.2259704465248173</v>
      </c>
      <c r="W881" s="357">
        <f t="shared" ca="1" si="381"/>
        <v>3.4021925119470686</v>
      </c>
      <c r="X881" s="343"/>
      <c r="Y881" s="367" t="str">
        <f t="shared" ca="1" si="399"/>
        <v/>
      </c>
      <c r="Z881" s="368" t="str">
        <f t="shared" ca="1" si="400"/>
        <v/>
      </c>
      <c r="AA881" s="369" t="str">
        <f t="shared" ca="1" si="401"/>
        <v/>
      </c>
      <c r="AB881" s="344"/>
      <c r="AC881" s="363" t="e">
        <f t="shared" ca="1" si="402"/>
        <v>#N/A</v>
      </c>
      <c r="AD881" s="376" t="e">
        <f t="shared" ca="1" si="403"/>
        <v>#N/A</v>
      </c>
      <c r="AE881" s="377" t="e">
        <f t="shared" ca="1" si="382"/>
        <v>#N/A</v>
      </c>
      <c r="AF881" s="344"/>
      <c r="AG881" s="359">
        <f t="shared" ca="1" si="404"/>
        <v>1.8405684093665924</v>
      </c>
      <c r="AH881" s="357">
        <f t="shared" ca="1" si="405"/>
        <v>-7.9306556464093534</v>
      </c>
    </row>
    <row r="882" spans="1:34">
      <c r="A882" s="402">
        <f t="shared" ca="1" si="383"/>
        <v>1E-4</v>
      </c>
      <c r="B882" s="357">
        <f t="shared" ca="1" si="384"/>
        <v>16.95289999999985</v>
      </c>
      <c r="C882" s="342"/>
      <c r="D882" s="359">
        <f t="shared" ca="1" si="385"/>
        <v>-0.70442818420637765</v>
      </c>
      <c r="E882" s="360">
        <f t="shared" ca="1" si="386"/>
        <v>-1.9106344874256056</v>
      </c>
      <c r="F882" s="357">
        <f t="shared" ca="1" si="387"/>
        <v>2.0363553744973886</v>
      </c>
      <c r="G882" s="359">
        <f t="shared" ca="1" si="388"/>
        <v>4.9836607258043983</v>
      </c>
      <c r="H882" s="360">
        <f t="shared" ca="1" si="389"/>
        <v>-55.887100474539864</v>
      </c>
      <c r="I882" s="357">
        <f t="shared" ca="1" si="390"/>
        <v>56.108866266226052</v>
      </c>
      <c r="J882" s="359">
        <f t="shared" ca="1" si="391"/>
        <v>184.26379383972827</v>
      </c>
      <c r="K882" s="360">
        <f t="shared" ca="1" si="392"/>
        <v>-7.9244644763594891</v>
      </c>
      <c r="L882" s="357">
        <f t="shared" ca="1" si="377"/>
        <v>184.43411522125444</v>
      </c>
      <c r="M882" s="359">
        <f t="shared" ca="1" si="393"/>
        <v>-1.4818578524398633</v>
      </c>
      <c r="N882" s="357">
        <f t="shared" ca="1" si="394"/>
        <v>-84.904200783124097</v>
      </c>
      <c r="O882" s="343"/>
      <c r="P882" s="363">
        <f t="shared" ca="1" si="395"/>
        <v>23</v>
      </c>
      <c r="Q882" s="357">
        <f t="shared" ca="1" si="396"/>
        <v>0</v>
      </c>
      <c r="R882" s="359">
        <f t="shared" ca="1" si="397"/>
        <v>0</v>
      </c>
      <c r="S882" s="360">
        <f t="shared" ca="1" si="398"/>
        <v>0.42898953648292248</v>
      </c>
      <c r="T882" s="357">
        <f t="shared" ca="1" si="378"/>
        <v>4.2083873528974696</v>
      </c>
      <c r="U882" s="364">
        <f t="shared" ca="1" si="379"/>
        <v>0</v>
      </c>
      <c r="V882" s="359">
        <f t="shared" ca="1" si="380"/>
        <v>1.2259711316832804</v>
      </c>
      <c r="W882" s="357">
        <f t="shared" ca="1" si="381"/>
        <v>3.4022167335727183</v>
      </c>
      <c r="X882" s="343"/>
      <c r="Y882" s="367" t="str">
        <f t="shared" ca="1" si="399"/>
        <v/>
      </c>
      <c r="Z882" s="368" t="str">
        <f t="shared" ca="1" si="400"/>
        <v/>
      </c>
      <c r="AA882" s="369" t="str">
        <f t="shared" ca="1" si="401"/>
        <v/>
      </c>
      <c r="AB882" s="344"/>
      <c r="AC882" s="363" t="e">
        <f t="shared" ca="1" si="402"/>
        <v>#N/A</v>
      </c>
      <c r="AD882" s="376" t="e">
        <f t="shared" ca="1" si="403"/>
        <v>#N/A</v>
      </c>
      <c r="AE882" s="377" t="e">
        <f t="shared" ca="1" si="382"/>
        <v>#N/A</v>
      </c>
      <c r="AF882" s="344"/>
      <c r="AG882" s="359">
        <f t="shared" ca="1" si="404"/>
        <v>1.8405132992320317</v>
      </c>
      <c r="AH882" s="357">
        <f t="shared" ca="1" si="405"/>
        <v>-7.9307121097637898</v>
      </c>
    </row>
    <row r="883" spans="1:34">
      <c r="A883" s="402">
        <f t="shared" ca="1" si="383"/>
        <v>1E-4</v>
      </c>
      <c r="B883" s="357">
        <f t="shared" ca="1" si="384"/>
        <v>16.95299999999985</v>
      </c>
      <c r="C883" s="342"/>
      <c r="D883" s="359">
        <f t="shared" ca="1" si="385"/>
        <v>-0.70442093178682452</v>
      </c>
      <c r="E883" s="360">
        <f t="shared" ca="1" si="386"/>
        <v>-1.9105771546005537</v>
      </c>
      <c r="F883" s="357">
        <f t="shared" ca="1" si="387"/>
        <v>2.0362990725384535</v>
      </c>
      <c r="G883" s="359">
        <f t="shared" ca="1" si="388"/>
        <v>4.9835902837112194</v>
      </c>
      <c r="H883" s="360">
        <f t="shared" ca="1" si="389"/>
        <v>-55.887291532255325</v>
      </c>
      <c r="I883" s="357">
        <f t="shared" ca="1" si="390"/>
        <v>56.109050312112736</v>
      </c>
      <c r="J883" s="359">
        <f t="shared" ca="1" si="391"/>
        <v>184.26379383972827</v>
      </c>
      <c r="K883" s="360">
        <f t="shared" ca="1" si="392"/>
        <v>-7.9300531959598288</v>
      </c>
      <c r="L883" s="357">
        <f t="shared" ca="1" si="377"/>
        <v>184.43435543276809</v>
      </c>
      <c r="M883" s="359">
        <f t="shared" ca="1" si="393"/>
        <v>-1.481859405374101</v>
      </c>
      <c r="N883" s="357">
        <f t="shared" ca="1" si="394"/>
        <v>-84.904289759701769</v>
      </c>
      <c r="O883" s="343"/>
      <c r="P883" s="363">
        <f t="shared" ca="1" si="395"/>
        <v>23</v>
      </c>
      <c r="Q883" s="357">
        <f t="shared" ca="1" si="396"/>
        <v>0</v>
      </c>
      <c r="R883" s="359">
        <f t="shared" ca="1" si="397"/>
        <v>0</v>
      </c>
      <c r="S883" s="360">
        <f t="shared" ca="1" si="398"/>
        <v>0.42898953648292248</v>
      </c>
      <c r="T883" s="357">
        <f t="shared" ca="1" si="378"/>
        <v>4.2083873528974696</v>
      </c>
      <c r="U883" s="364">
        <f t="shared" ca="1" si="379"/>
        <v>0</v>
      </c>
      <c r="V883" s="359">
        <f t="shared" ca="1" si="380"/>
        <v>1.2259718168444689</v>
      </c>
      <c r="W883" s="357">
        <f t="shared" ca="1" si="381"/>
        <v>3.4022409546357744</v>
      </c>
      <c r="X883" s="343"/>
      <c r="Y883" s="367" t="str">
        <f t="shared" ca="1" si="399"/>
        <v/>
      </c>
      <c r="Z883" s="368" t="str">
        <f t="shared" ca="1" si="400"/>
        <v/>
      </c>
      <c r="AA883" s="369" t="str">
        <f t="shared" ca="1" si="401"/>
        <v/>
      </c>
      <c r="AB883" s="344"/>
      <c r="AC883" s="363" t="e">
        <f t="shared" ca="1" si="402"/>
        <v>#N/A</v>
      </c>
      <c r="AD883" s="376" t="e">
        <f t="shared" ca="1" si="403"/>
        <v>#N/A</v>
      </c>
      <c r="AE883" s="377" t="e">
        <f t="shared" ca="1" si="382"/>
        <v>#N/A</v>
      </c>
      <c r="AF883" s="344"/>
      <c r="AG883" s="359">
        <f t="shared" ca="1" si="404"/>
        <v>1.8404581903573529</v>
      </c>
      <c r="AH883" s="357">
        <f t="shared" ca="1" si="405"/>
        <v>-7.9307685718067766</v>
      </c>
    </row>
    <row r="884" spans="1:34">
      <c r="A884" s="402">
        <f t="shared" ca="1" si="383"/>
        <v>1E-4</v>
      </c>
      <c r="B884" s="357">
        <f t="shared" ca="1" si="384"/>
        <v>16.95309999999985</v>
      </c>
      <c r="C884" s="342"/>
      <c r="D884" s="359">
        <f t="shared" ca="1" si="385"/>
        <v>-0.70441367932829435</v>
      </c>
      <c r="E884" s="360">
        <f t="shared" ca="1" si="386"/>
        <v>-1.9105198231078724</v>
      </c>
      <c r="F884" s="357">
        <f t="shared" ca="1" si="387"/>
        <v>2.0362427718995004</v>
      </c>
      <c r="G884" s="359">
        <f t="shared" ca="1" si="388"/>
        <v>4.9835198423432869</v>
      </c>
      <c r="H884" s="360">
        <f t="shared" ca="1" si="389"/>
        <v>-55.887482584237638</v>
      </c>
      <c r="I884" s="357">
        <f t="shared" ca="1" si="390"/>
        <v>56.10923435248867</v>
      </c>
      <c r="J884" s="359">
        <f t="shared" ca="1" si="391"/>
        <v>184.26379383972827</v>
      </c>
      <c r="K884" s="360">
        <f t="shared" ca="1" si="392"/>
        <v>-7.9356419346656537</v>
      </c>
      <c r="L884" s="357">
        <f t="shared" ca="1" si="377"/>
        <v>184.43459581413978</v>
      </c>
      <c r="M884" s="359">
        <f t="shared" ca="1" si="393"/>
        <v>-1.4818609582762012</v>
      </c>
      <c r="N884" s="357">
        <f t="shared" ca="1" si="394"/>
        <v>-84.904378734438112</v>
      </c>
      <c r="O884" s="343"/>
      <c r="P884" s="363">
        <f t="shared" ca="1" si="395"/>
        <v>23</v>
      </c>
      <c r="Q884" s="357">
        <f t="shared" ca="1" si="396"/>
        <v>0</v>
      </c>
      <c r="R884" s="359">
        <f t="shared" ca="1" si="397"/>
        <v>0</v>
      </c>
      <c r="S884" s="360">
        <f t="shared" ca="1" si="398"/>
        <v>0.42898953648292248</v>
      </c>
      <c r="T884" s="357">
        <f t="shared" ca="1" si="378"/>
        <v>4.2083873528974696</v>
      </c>
      <c r="U884" s="364">
        <f t="shared" ca="1" si="379"/>
        <v>0</v>
      </c>
      <c r="V884" s="359">
        <f t="shared" ca="1" si="380"/>
        <v>1.2259725020083827</v>
      </c>
      <c r="W884" s="357">
        <f t="shared" ca="1" si="381"/>
        <v>3.4022651751362494</v>
      </c>
      <c r="X884" s="343"/>
      <c r="Y884" s="367" t="str">
        <f t="shared" ca="1" si="399"/>
        <v/>
      </c>
      <c r="Z884" s="368" t="str">
        <f t="shared" ca="1" si="400"/>
        <v/>
      </c>
      <c r="AA884" s="369" t="str">
        <f t="shared" ca="1" si="401"/>
        <v/>
      </c>
      <c r="AB884" s="344"/>
      <c r="AC884" s="363" t="e">
        <f t="shared" ca="1" si="402"/>
        <v>#N/A</v>
      </c>
      <c r="AD884" s="376" t="e">
        <f t="shared" ca="1" si="403"/>
        <v>#N/A</v>
      </c>
      <c r="AE884" s="377" t="e">
        <f t="shared" ca="1" si="382"/>
        <v>#N/A</v>
      </c>
      <c r="AF884" s="344"/>
      <c r="AG884" s="359">
        <f t="shared" ca="1" si="404"/>
        <v>1.8404030827425419</v>
      </c>
      <c r="AH884" s="357">
        <f t="shared" ca="1" si="405"/>
        <v>-7.9308250325383245</v>
      </c>
    </row>
    <row r="885" spans="1:34">
      <c r="A885" s="402">
        <f t="shared" ca="1" si="383"/>
        <v>1E-4</v>
      </c>
      <c r="B885" s="357">
        <f t="shared" ca="1" si="384"/>
        <v>16.95319999999985</v>
      </c>
      <c r="C885" s="342"/>
      <c r="D885" s="359">
        <f t="shared" ca="1" si="385"/>
        <v>-0.70440642683079246</v>
      </c>
      <c r="E885" s="360">
        <f t="shared" ca="1" si="386"/>
        <v>-1.9104624929475298</v>
      </c>
      <c r="F885" s="357">
        <f t="shared" ca="1" si="387"/>
        <v>2.036186472580499</v>
      </c>
      <c r="G885" s="359">
        <f t="shared" ca="1" si="388"/>
        <v>4.9834494017006037</v>
      </c>
      <c r="H885" s="360">
        <f t="shared" ca="1" si="389"/>
        <v>-55.88767363048693</v>
      </c>
      <c r="I885" s="357">
        <f t="shared" ca="1" si="390"/>
        <v>56.109418387353955</v>
      </c>
      <c r="J885" s="359">
        <f t="shared" ca="1" si="391"/>
        <v>184.26379383972827</v>
      </c>
      <c r="K885" s="360">
        <f t="shared" ca="1" si="392"/>
        <v>-7.94123069247639</v>
      </c>
      <c r="L885" s="357">
        <f t="shared" ca="1" si="377"/>
        <v>184.43483636537056</v>
      </c>
      <c r="M885" s="359">
        <f t="shared" ca="1" si="393"/>
        <v>-1.4818625111461647</v>
      </c>
      <c r="N885" s="357">
        <f t="shared" ca="1" si="394"/>
        <v>-84.904467707333154</v>
      </c>
      <c r="O885" s="343"/>
      <c r="P885" s="363">
        <f t="shared" ca="1" si="395"/>
        <v>23</v>
      </c>
      <c r="Q885" s="357">
        <f t="shared" ca="1" si="396"/>
        <v>0</v>
      </c>
      <c r="R885" s="359">
        <f t="shared" ca="1" si="397"/>
        <v>0</v>
      </c>
      <c r="S885" s="360">
        <f t="shared" ca="1" si="398"/>
        <v>0.42898953648292248</v>
      </c>
      <c r="T885" s="357">
        <f t="shared" ca="1" si="378"/>
        <v>4.2083873528974696</v>
      </c>
      <c r="U885" s="364">
        <f t="shared" ca="1" si="379"/>
        <v>0</v>
      </c>
      <c r="V885" s="359">
        <f t="shared" ca="1" si="380"/>
        <v>1.2259731871750215</v>
      </c>
      <c r="W885" s="357">
        <f t="shared" ca="1" si="381"/>
        <v>3.4022893950741455</v>
      </c>
      <c r="X885" s="343"/>
      <c r="Y885" s="367" t="str">
        <f t="shared" ca="1" si="399"/>
        <v/>
      </c>
      <c r="Z885" s="368" t="str">
        <f t="shared" ca="1" si="400"/>
        <v/>
      </c>
      <c r="AA885" s="369" t="str">
        <f t="shared" ca="1" si="401"/>
        <v/>
      </c>
      <c r="AB885" s="344"/>
      <c r="AC885" s="363" t="e">
        <f t="shared" ca="1" si="402"/>
        <v>#N/A</v>
      </c>
      <c r="AD885" s="376" t="e">
        <f t="shared" ca="1" si="403"/>
        <v>#N/A</v>
      </c>
      <c r="AE885" s="377" t="e">
        <f t="shared" ca="1" si="382"/>
        <v>#N/A</v>
      </c>
      <c r="AF885" s="344"/>
      <c r="AG885" s="359">
        <f t="shared" ca="1" si="404"/>
        <v>1.8403479763875792</v>
      </c>
      <c r="AH885" s="357">
        <f t="shared" ca="1" si="405"/>
        <v>-7.9308814919584618</v>
      </c>
    </row>
    <row r="886" spans="1:34">
      <c r="A886" s="402">
        <f t="shared" ca="1" si="383"/>
        <v>1E-4</v>
      </c>
      <c r="B886" s="357">
        <f t="shared" ca="1" si="384"/>
        <v>16.953299999999849</v>
      </c>
      <c r="C886" s="342"/>
      <c r="D886" s="359">
        <f t="shared" ca="1" si="385"/>
        <v>-0.70439917429432564</v>
      </c>
      <c r="E886" s="360">
        <f t="shared" ca="1" si="386"/>
        <v>-1.9104051641195232</v>
      </c>
      <c r="F886" s="357">
        <f t="shared" ca="1" si="387"/>
        <v>2.0361301745814462</v>
      </c>
      <c r="G886" s="359">
        <f t="shared" ca="1" si="388"/>
        <v>4.9833789617831741</v>
      </c>
      <c r="H886" s="360">
        <f t="shared" ca="1" si="389"/>
        <v>-55.887864671003342</v>
      </c>
      <c r="I886" s="357">
        <f t="shared" ca="1" si="390"/>
        <v>56.109602416708732</v>
      </c>
      <c r="J886" s="359">
        <f t="shared" ca="1" si="391"/>
        <v>184.26379383972827</v>
      </c>
      <c r="K886" s="360">
        <f t="shared" ca="1" si="392"/>
        <v>-7.9468194693914649</v>
      </c>
      <c r="L886" s="357">
        <f t="shared" ca="1" si="377"/>
        <v>184.43507708646146</v>
      </c>
      <c r="M886" s="359">
        <f t="shared" ca="1" si="393"/>
        <v>-1.4818640639839926</v>
      </c>
      <c r="N886" s="357">
        <f t="shared" ca="1" si="394"/>
        <v>-84.904556678386953</v>
      </c>
      <c r="O886" s="343"/>
      <c r="P886" s="363">
        <f t="shared" ca="1" si="395"/>
        <v>23</v>
      </c>
      <c r="Q886" s="357">
        <f t="shared" ca="1" si="396"/>
        <v>0</v>
      </c>
      <c r="R886" s="359">
        <f t="shared" ca="1" si="397"/>
        <v>0</v>
      </c>
      <c r="S886" s="360">
        <f t="shared" ca="1" si="398"/>
        <v>0.42898953648292248</v>
      </c>
      <c r="T886" s="357">
        <f t="shared" ca="1" si="378"/>
        <v>4.2083873528974696</v>
      </c>
      <c r="U886" s="364">
        <f t="shared" ca="1" si="379"/>
        <v>0</v>
      </c>
      <c r="V886" s="359">
        <f t="shared" ca="1" si="380"/>
        <v>1.2259738723443858</v>
      </c>
      <c r="W886" s="357">
        <f t="shared" ca="1" si="381"/>
        <v>3.4023136144494748</v>
      </c>
      <c r="X886" s="343"/>
      <c r="Y886" s="367" t="str">
        <f t="shared" ca="1" si="399"/>
        <v/>
      </c>
      <c r="Z886" s="368" t="str">
        <f t="shared" ca="1" si="400"/>
        <v/>
      </c>
      <c r="AA886" s="369" t="str">
        <f t="shared" ca="1" si="401"/>
        <v/>
      </c>
      <c r="AB886" s="344"/>
      <c r="AC886" s="363" t="e">
        <f t="shared" ca="1" si="402"/>
        <v>#N/A</v>
      </c>
      <c r="AD886" s="376" t="e">
        <f t="shared" ca="1" si="403"/>
        <v>#N/A</v>
      </c>
      <c r="AE886" s="377" t="e">
        <f t="shared" ca="1" si="382"/>
        <v>#N/A</v>
      </c>
      <c r="AF886" s="344"/>
      <c r="AG886" s="359">
        <f t="shared" ca="1" si="404"/>
        <v>1.8402928712924549</v>
      </c>
      <c r="AH886" s="357">
        <f t="shared" ca="1" si="405"/>
        <v>-7.9309379500671948</v>
      </c>
    </row>
    <row r="887" spans="1:34">
      <c r="A887" s="402">
        <f t="shared" ca="1" si="383"/>
        <v>1E-4</v>
      </c>
      <c r="B887" s="357">
        <f t="shared" ca="1" si="384"/>
        <v>16.953399999999849</v>
      </c>
      <c r="C887" s="342"/>
      <c r="D887" s="359">
        <f t="shared" ca="1" si="385"/>
        <v>-0.70439192171889942</v>
      </c>
      <c r="E887" s="360">
        <f t="shared" ca="1" si="386"/>
        <v>-1.9103478366238198</v>
      </c>
      <c r="F887" s="357">
        <f t="shared" ca="1" si="387"/>
        <v>2.0360738779023104</v>
      </c>
      <c r="G887" s="359">
        <f t="shared" ca="1" si="388"/>
        <v>4.9833085225910025</v>
      </c>
      <c r="H887" s="360">
        <f t="shared" ca="1" si="389"/>
        <v>-55.888055705787004</v>
      </c>
      <c r="I887" s="357">
        <f t="shared" ca="1" si="390"/>
        <v>56.109786440553123</v>
      </c>
      <c r="J887" s="359">
        <f t="shared" ca="1" si="391"/>
        <v>184.26379383972827</v>
      </c>
      <c r="K887" s="360">
        <f t="shared" ca="1" si="392"/>
        <v>-7.9524082654103045</v>
      </c>
      <c r="L887" s="357">
        <f t="shared" ca="1" si="377"/>
        <v>184.43531797741358</v>
      </c>
      <c r="M887" s="359">
        <f t="shared" ca="1" si="393"/>
        <v>-1.481865616789686</v>
      </c>
      <c r="N887" s="357">
        <f t="shared" ca="1" si="394"/>
        <v>-84.904645647599594</v>
      </c>
      <c r="O887" s="343"/>
      <c r="P887" s="363">
        <f t="shared" ca="1" si="395"/>
        <v>23</v>
      </c>
      <c r="Q887" s="357">
        <f t="shared" ca="1" si="396"/>
        <v>0</v>
      </c>
      <c r="R887" s="359">
        <f t="shared" ca="1" si="397"/>
        <v>0</v>
      </c>
      <c r="S887" s="360">
        <f t="shared" ca="1" si="398"/>
        <v>0.42898953648292248</v>
      </c>
      <c r="T887" s="357">
        <f t="shared" ca="1" si="378"/>
        <v>4.2083873528974696</v>
      </c>
      <c r="U887" s="364">
        <f t="shared" ca="1" si="379"/>
        <v>0</v>
      </c>
      <c r="V887" s="359">
        <f t="shared" ca="1" si="380"/>
        <v>1.2259745575164751</v>
      </c>
      <c r="W887" s="357">
        <f t="shared" ca="1" si="381"/>
        <v>3.4023378332622434</v>
      </c>
      <c r="X887" s="343"/>
      <c r="Y887" s="367" t="str">
        <f t="shared" ca="1" si="399"/>
        <v/>
      </c>
      <c r="Z887" s="368" t="str">
        <f t="shared" ca="1" si="400"/>
        <v/>
      </c>
      <c r="AA887" s="369" t="str">
        <f t="shared" ca="1" si="401"/>
        <v/>
      </c>
      <c r="AB887" s="344"/>
      <c r="AC887" s="363" t="e">
        <f t="shared" ca="1" si="402"/>
        <v>#N/A</v>
      </c>
      <c r="AD887" s="376" t="e">
        <f t="shared" ca="1" si="403"/>
        <v>#N/A</v>
      </c>
      <c r="AE887" s="377" t="e">
        <f t="shared" ca="1" si="382"/>
        <v>#N/A</v>
      </c>
      <c r="AF887" s="344"/>
      <c r="AG887" s="359">
        <f t="shared" ca="1" si="404"/>
        <v>1.840237767457146</v>
      </c>
      <c r="AH887" s="357">
        <f t="shared" ca="1" si="405"/>
        <v>-7.9309944068645519</v>
      </c>
    </row>
    <row r="888" spans="1:34">
      <c r="A888" s="402">
        <f t="shared" ca="1" si="383"/>
        <v>1E-4</v>
      </c>
      <c r="B888" s="357">
        <f t="shared" ca="1" si="384"/>
        <v>16.953499999999849</v>
      </c>
      <c r="C888" s="342"/>
      <c r="D888" s="359">
        <f t="shared" ca="1" si="385"/>
        <v>-0.70438466910451747</v>
      </c>
      <c r="E888" s="360">
        <f t="shared" ca="1" si="386"/>
        <v>-1.9102905104604107</v>
      </c>
      <c r="F888" s="357">
        <f t="shared" ca="1" si="387"/>
        <v>2.0360175825430824</v>
      </c>
      <c r="G888" s="359">
        <f t="shared" ca="1" si="388"/>
        <v>4.9832380841240917</v>
      </c>
      <c r="H888" s="360">
        <f t="shared" ca="1" si="389"/>
        <v>-55.888246734838049</v>
      </c>
      <c r="I888" s="357">
        <f t="shared" ca="1" si="390"/>
        <v>56.109970458887254</v>
      </c>
      <c r="J888" s="359">
        <f t="shared" ca="1" si="391"/>
        <v>184.26379383972827</v>
      </c>
      <c r="K888" s="360">
        <f t="shared" ca="1" si="392"/>
        <v>-7.9579970805323361</v>
      </c>
      <c r="L888" s="357">
        <f t="shared" ca="1" si="377"/>
        <v>184.43555903822789</v>
      </c>
      <c r="M888" s="359">
        <f t="shared" ca="1" si="393"/>
        <v>-1.4818671695632453</v>
      </c>
      <c r="N888" s="357">
        <f t="shared" ca="1" si="394"/>
        <v>-84.904734614971076</v>
      </c>
      <c r="O888" s="343"/>
      <c r="P888" s="363">
        <f t="shared" ca="1" si="395"/>
        <v>23</v>
      </c>
      <c r="Q888" s="357">
        <f t="shared" ca="1" si="396"/>
        <v>0</v>
      </c>
      <c r="R888" s="359">
        <f t="shared" ca="1" si="397"/>
        <v>0</v>
      </c>
      <c r="S888" s="360">
        <f t="shared" ca="1" si="398"/>
        <v>0.42898953648292248</v>
      </c>
      <c r="T888" s="357">
        <f t="shared" ca="1" si="378"/>
        <v>4.2083873528974696</v>
      </c>
      <c r="U888" s="364">
        <f t="shared" ca="1" si="379"/>
        <v>0</v>
      </c>
      <c r="V888" s="359">
        <f t="shared" ca="1" si="380"/>
        <v>1.2259752426912898</v>
      </c>
      <c r="W888" s="357">
        <f t="shared" ca="1" si="381"/>
        <v>3.4023620515124602</v>
      </c>
      <c r="X888" s="343"/>
      <c r="Y888" s="367" t="str">
        <f t="shared" ca="1" si="399"/>
        <v/>
      </c>
      <c r="Z888" s="368" t="str">
        <f t="shared" ca="1" si="400"/>
        <v/>
      </c>
      <c r="AA888" s="369" t="str">
        <f t="shared" ca="1" si="401"/>
        <v/>
      </c>
      <c r="AB888" s="344"/>
      <c r="AC888" s="363" t="e">
        <f t="shared" ca="1" si="402"/>
        <v>#N/A</v>
      </c>
      <c r="AD888" s="376" t="e">
        <f t="shared" ca="1" si="403"/>
        <v>#N/A</v>
      </c>
      <c r="AE888" s="377" t="e">
        <f t="shared" ca="1" si="382"/>
        <v>#N/A</v>
      </c>
      <c r="AF888" s="344"/>
      <c r="AG888" s="359">
        <f t="shared" ca="1" si="404"/>
        <v>1.8401826648816382</v>
      </c>
      <c r="AH888" s="357">
        <f t="shared" ca="1" si="405"/>
        <v>-7.9310508623505456</v>
      </c>
    </row>
    <row r="889" spans="1:34">
      <c r="A889" s="402">
        <f t="shared" ca="1" si="383"/>
        <v>1E-4</v>
      </c>
      <c r="B889" s="357">
        <f t="shared" ca="1" si="384"/>
        <v>16.953599999999849</v>
      </c>
      <c r="C889" s="342"/>
      <c r="D889" s="359">
        <f t="shared" ca="1" si="385"/>
        <v>-0.70437741645119023</v>
      </c>
      <c r="E889" s="360">
        <f t="shared" ca="1" si="386"/>
        <v>-1.91023318562927</v>
      </c>
      <c r="F889" s="357">
        <f t="shared" ca="1" si="387"/>
        <v>2.0359612885037386</v>
      </c>
      <c r="G889" s="359">
        <f t="shared" ca="1" si="388"/>
        <v>4.983167646382447</v>
      </c>
      <c r="H889" s="360">
        <f t="shared" ca="1" si="389"/>
        <v>-55.888437758156613</v>
      </c>
      <c r="I889" s="357">
        <f t="shared" ca="1" si="390"/>
        <v>56.110154471711255</v>
      </c>
      <c r="J889" s="359">
        <f t="shared" ca="1" si="391"/>
        <v>184.26379383972827</v>
      </c>
      <c r="K889" s="360">
        <f t="shared" ca="1" si="392"/>
        <v>-7.9635859147569859</v>
      </c>
      <c r="L889" s="357">
        <f t="shared" ca="1" si="377"/>
        <v>184.4358002689055</v>
      </c>
      <c r="M889" s="359">
        <f t="shared" ca="1" si="393"/>
        <v>-1.4818687223046718</v>
      </c>
      <c r="N889" s="357">
        <f t="shared" ca="1" si="394"/>
        <v>-84.9048235805015</v>
      </c>
      <c r="O889" s="343"/>
      <c r="P889" s="363">
        <f t="shared" ca="1" si="395"/>
        <v>23</v>
      </c>
      <c r="Q889" s="357">
        <f t="shared" ca="1" si="396"/>
        <v>0</v>
      </c>
      <c r="R889" s="359">
        <f t="shared" ca="1" si="397"/>
        <v>0</v>
      </c>
      <c r="S889" s="360">
        <f t="shared" ca="1" si="398"/>
        <v>0.42898953648292248</v>
      </c>
      <c r="T889" s="357">
        <f t="shared" ca="1" si="378"/>
        <v>4.2083873528974696</v>
      </c>
      <c r="U889" s="364">
        <f t="shared" ca="1" si="379"/>
        <v>0</v>
      </c>
      <c r="V889" s="359">
        <f t="shared" ca="1" si="380"/>
        <v>1.2259759278688291</v>
      </c>
      <c r="W889" s="357">
        <f t="shared" ca="1" si="381"/>
        <v>3.4023862692001305</v>
      </c>
      <c r="X889" s="343"/>
      <c r="Y889" s="367" t="str">
        <f t="shared" ca="1" si="399"/>
        <v/>
      </c>
      <c r="Z889" s="368" t="str">
        <f t="shared" ca="1" si="400"/>
        <v/>
      </c>
      <c r="AA889" s="369" t="str">
        <f t="shared" ca="1" si="401"/>
        <v/>
      </c>
      <c r="AB889" s="344"/>
      <c r="AC889" s="363" t="e">
        <f t="shared" ca="1" si="402"/>
        <v>#N/A</v>
      </c>
      <c r="AD889" s="376" t="e">
        <f t="shared" ca="1" si="403"/>
        <v>#N/A</v>
      </c>
      <c r="AE889" s="377" t="e">
        <f t="shared" ca="1" si="382"/>
        <v>#N/A</v>
      </c>
      <c r="AF889" s="344"/>
      <c r="AG889" s="359">
        <f t="shared" ca="1" si="404"/>
        <v>1.8401275635659173</v>
      </c>
      <c r="AH889" s="357">
        <f t="shared" ca="1" si="405"/>
        <v>-7.9311073165251988</v>
      </c>
    </row>
    <row r="890" spans="1:34">
      <c r="A890" s="402">
        <f t="shared" ca="1" si="383"/>
        <v>1E-4</v>
      </c>
      <c r="B890" s="357">
        <f t="shared" ca="1" si="384"/>
        <v>16.953699999999849</v>
      </c>
      <c r="C890" s="342"/>
      <c r="D890" s="359">
        <f t="shared" ca="1" si="385"/>
        <v>-0.70437016375891948</v>
      </c>
      <c r="E890" s="360">
        <f t="shared" ca="1" si="386"/>
        <v>-1.9101758621303864</v>
      </c>
      <c r="F890" s="357">
        <f t="shared" ca="1" si="387"/>
        <v>2.0359049957842656</v>
      </c>
      <c r="G890" s="359">
        <f t="shared" ca="1" si="388"/>
        <v>4.983097209366071</v>
      </c>
      <c r="H890" s="360">
        <f t="shared" ca="1" si="389"/>
        <v>-55.888628775742824</v>
      </c>
      <c r="I890" s="357">
        <f t="shared" ca="1" si="390"/>
        <v>56.110338479025245</v>
      </c>
      <c r="J890" s="359">
        <f t="shared" ca="1" si="391"/>
        <v>184.26379383972827</v>
      </c>
      <c r="K890" s="360">
        <f t="shared" ca="1" si="392"/>
        <v>-7.9691747680836809</v>
      </c>
      <c r="L890" s="357">
        <f t="shared" ca="1" si="377"/>
        <v>184.43604166944741</v>
      </c>
      <c r="M890" s="359">
        <f t="shared" ca="1" si="393"/>
        <v>-1.4818702750139663</v>
      </c>
      <c r="N890" s="357">
        <f t="shared" ca="1" si="394"/>
        <v>-84.904912544190879</v>
      </c>
      <c r="O890" s="343"/>
      <c r="P890" s="363">
        <f t="shared" ca="1" si="395"/>
        <v>23</v>
      </c>
      <c r="Q890" s="357">
        <f t="shared" ca="1" si="396"/>
        <v>0</v>
      </c>
      <c r="R890" s="359">
        <f t="shared" ca="1" si="397"/>
        <v>0</v>
      </c>
      <c r="S890" s="360">
        <f t="shared" ca="1" si="398"/>
        <v>0.42898953648292248</v>
      </c>
      <c r="T890" s="357">
        <f t="shared" ca="1" si="378"/>
        <v>4.2083873528974696</v>
      </c>
      <c r="U890" s="364">
        <f t="shared" ca="1" si="379"/>
        <v>0</v>
      </c>
      <c r="V890" s="359">
        <f t="shared" ca="1" si="380"/>
        <v>1.2259766130490939</v>
      </c>
      <c r="W890" s="357">
        <f t="shared" ca="1" si="381"/>
        <v>3.4024104863252651</v>
      </c>
      <c r="X890" s="343"/>
      <c r="Y890" s="367" t="str">
        <f t="shared" ca="1" si="399"/>
        <v/>
      </c>
      <c r="Z890" s="368" t="str">
        <f t="shared" ca="1" si="400"/>
        <v/>
      </c>
      <c r="AA890" s="369" t="str">
        <f t="shared" ca="1" si="401"/>
        <v/>
      </c>
      <c r="AB890" s="344"/>
      <c r="AC890" s="363" t="e">
        <f t="shared" ca="1" si="402"/>
        <v>#N/A</v>
      </c>
      <c r="AD890" s="376" t="e">
        <f t="shared" ca="1" si="403"/>
        <v>#N/A</v>
      </c>
      <c r="AE890" s="377" t="e">
        <f t="shared" ca="1" si="382"/>
        <v>#N/A</v>
      </c>
      <c r="AF890" s="344"/>
      <c r="AG890" s="359">
        <f t="shared" ca="1" si="404"/>
        <v>1.840072463509971</v>
      </c>
      <c r="AH890" s="357">
        <f t="shared" ca="1" si="405"/>
        <v>-7.9311637693885224</v>
      </c>
    </row>
    <row r="891" spans="1:34">
      <c r="A891" s="402">
        <f t="shared" ca="1" si="383"/>
        <v>1E-4</v>
      </c>
      <c r="B891" s="357">
        <f t="shared" ca="1" si="384"/>
        <v>16.953799999999848</v>
      </c>
      <c r="C891" s="342"/>
      <c r="D891" s="359">
        <f t="shared" ca="1" si="385"/>
        <v>-0.70436291102771409</v>
      </c>
      <c r="E891" s="360">
        <f t="shared" ca="1" si="386"/>
        <v>-1.9101185399637366</v>
      </c>
      <c r="F891" s="357">
        <f t="shared" ca="1" si="387"/>
        <v>2.0358487043846436</v>
      </c>
      <c r="G891" s="359">
        <f t="shared" ca="1" si="388"/>
        <v>4.9830267730749682</v>
      </c>
      <c r="H891" s="360">
        <f t="shared" ca="1" si="389"/>
        <v>-55.888819787596823</v>
      </c>
      <c r="I891" s="357">
        <f t="shared" ca="1" si="390"/>
        <v>56.110522480829353</v>
      </c>
      <c r="J891" s="359">
        <f t="shared" ca="1" si="391"/>
        <v>184.26379383972827</v>
      </c>
      <c r="K891" s="360">
        <f t="shared" ca="1" si="392"/>
        <v>-7.9747636405118483</v>
      </c>
      <c r="L891" s="357">
        <f t="shared" ca="1" si="377"/>
        <v>184.4362832398547</v>
      </c>
      <c r="M891" s="359">
        <f t="shared" ca="1" si="393"/>
        <v>-1.4818718276911298</v>
      </c>
      <c r="N891" s="357">
        <f t="shared" ca="1" si="394"/>
        <v>-84.905001506039298</v>
      </c>
      <c r="O891" s="343"/>
      <c r="P891" s="363">
        <f t="shared" ca="1" si="395"/>
        <v>23</v>
      </c>
      <c r="Q891" s="357">
        <f t="shared" ca="1" si="396"/>
        <v>0</v>
      </c>
      <c r="R891" s="359">
        <f t="shared" ca="1" si="397"/>
        <v>0</v>
      </c>
      <c r="S891" s="360">
        <f t="shared" ca="1" si="398"/>
        <v>0.42898953648292248</v>
      </c>
      <c r="T891" s="357">
        <f t="shared" ca="1" si="378"/>
        <v>4.2083873528974696</v>
      </c>
      <c r="U891" s="364">
        <f t="shared" ca="1" si="379"/>
        <v>0</v>
      </c>
      <c r="V891" s="359">
        <f t="shared" ca="1" si="380"/>
        <v>1.2259772982320831</v>
      </c>
      <c r="W891" s="357">
        <f t="shared" ca="1" si="381"/>
        <v>3.4024347028878679</v>
      </c>
      <c r="X891" s="343"/>
      <c r="Y891" s="367" t="str">
        <f t="shared" ca="1" si="399"/>
        <v/>
      </c>
      <c r="Z891" s="368" t="str">
        <f t="shared" ca="1" si="400"/>
        <v/>
      </c>
      <c r="AA891" s="369" t="str">
        <f t="shared" ca="1" si="401"/>
        <v/>
      </c>
      <c r="AB891" s="344"/>
      <c r="AC891" s="363" t="e">
        <f t="shared" ca="1" si="402"/>
        <v>#N/A</v>
      </c>
      <c r="AD891" s="376" t="e">
        <f t="shared" ca="1" si="403"/>
        <v>#N/A</v>
      </c>
      <c r="AE891" s="377" t="e">
        <f t="shared" ca="1" si="382"/>
        <v>#N/A</v>
      </c>
      <c r="AF891" s="344"/>
      <c r="AG891" s="359">
        <f t="shared" ca="1" si="404"/>
        <v>1.8400173647137734</v>
      </c>
      <c r="AH891" s="357">
        <f t="shared" ca="1" si="405"/>
        <v>-7.931220220940542</v>
      </c>
    </row>
    <row r="892" spans="1:34">
      <c r="A892" s="402">
        <f t="shared" ca="1" si="383"/>
        <v>1E-4</v>
      </c>
      <c r="B892" s="357">
        <f t="shared" ca="1" si="384"/>
        <v>16.953899999999848</v>
      </c>
      <c r="C892" s="342"/>
      <c r="D892" s="359">
        <f t="shared" ca="1" si="385"/>
        <v>-0.7043556582575774</v>
      </c>
      <c r="E892" s="360">
        <f t="shared" ca="1" si="386"/>
        <v>-1.9100612191293074</v>
      </c>
      <c r="F892" s="357">
        <f t="shared" ca="1" si="387"/>
        <v>2.0357924143048578</v>
      </c>
      <c r="G892" s="359">
        <f t="shared" ca="1" si="388"/>
        <v>4.9829563375091421</v>
      </c>
      <c r="H892" s="360">
        <f t="shared" ca="1" si="389"/>
        <v>-55.889010793718739</v>
      </c>
      <c r="I892" s="357">
        <f t="shared" ca="1" si="390"/>
        <v>56.110706477123706</v>
      </c>
      <c r="J892" s="359">
        <f t="shared" ca="1" si="391"/>
        <v>184.26379383972827</v>
      </c>
      <c r="K892" s="360">
        <f t="shared" ca="1" si="392"/>
        <v>-7.9803525320409143</v>
      </c>
      <c r="L892" s="357">
        <f t="shared" ca="1" si="377"/>
        <v>184.43652498012841</v>
      </c>
      <c r="M892" s="359">
        <f t="shared" ca="1" si="393"/>
        <v>-1.481873380336163</v>
      </c>
      <c r="N892" s="357">
        <f t="shared" ca="1" si="394"/>
        <v>-84.905090466046772</v>
      </c>
      <c r="O892" s="343"/>
      <c r="P892" s="363">
        <f t="shared" ca="1" si="395"/>
        <v>23</v>
      </c>
      <c r="Q892" s="357">
        <f t="shared" ca="1" si="396"/>
        <v>0</v>
      </c>
      <c r="R892" s="359">
        <f t="shared" ca="1" si="397"/>
        <v>0</v>
      </c>
      <c r="S892" s="360">
        <f t="shared" ca="1" si="398"/>
        <v>0.42898953648292248</v>
      </c>
      <c r="T892" s="357">
        <f t="shared" ca="1" si="378"/>
        <v>4.2083873528974696</v>
      </c>
      <c r="U892" s="364">
        <f t="shared" ca="1" si="379"/>
        <v>0</v>
      </c>
      <c r="V892" s="359">
        <f t="shared" ca="1" si="380"/>
        <v>1.2259779834177975</v>
      </c>
      <c r="W892" s="357">
        <f t="shared" ca="1" si="381"/>
        <v>3.4024589188879504</v>
      </c>
      <c r="X892" s="343"/>
      <c r="Y892" s="367" t="str">
        <f t="shared" ca="1" si="399"/>
        <v/>
      </c>
      <c r="Z892" s="368" t="str">
        <f t="shared" ca="1" si="400"/>
        <v/>
      </c>
      <c r="AA892" s="369" t="str">
        <f t="shared" ca="1" si="401"/>
        <v/>
      </c>
      <c r="AB892" s="344"/>
      <c r="AC892" s="363" t="e">
        <f t="shared" ca="1" si="402"/>
        <v>#N/A</v>
      </c>
      <c r="AD892" s="376" t="e">
        <f t="shared" ca="1" si="403"/>
        <v>#N/A</v>
      </c>
      <c r="AE892" s="377" t="e">
        <f t="shared" ca="1" si="382"/>
        <v>#N/A</v>
      </c>
      <c r="AF892" s="344"/>
      <c r="AG892" s="359">
        <f t="shared" ca="1" si="404"/>
        <v>1.8399622671773246</v>
      </c>
      <c r="AH892" s="357">
        <f t="shared" ca="1" si="405"/>
        <v>-7.9312766711812666</v>
      </c>
    </row>
    <row r="893" spans="1:34">
      <c r="A893" s="402">
        <f t="shared" ca="1" si="383"/>
        <v>1E-4</v>
      </c>
      <c r="B893" s="357">
        <f t="shared" ca="1" si="384"/>
        <v>16.953999999999848</v>
      </c>
      <c r="C893" s="342"/>
      <c r="D893" s="359">
        <f t="shared" ca="1" si="385"/>
        <v>-0.7043484054485184</v>
      </c>
      <c r="E893" s="360">
        <f t="shared" ca="1" si="386"/>
        <v>-1.9100038996270756</v>
      </c>
      <c r="F893" s="357">
        <f t="shared" ca="1" si="387"/>
        <v>2.0357361255448865</v>
      </c>
      <c r="G893" s="359">
        <f t="shared" ca="1" si="388"/>
        <v>4.9828859026685972</v>
      </c>
      <c r="H893" s="360">
        <f t="shared" ca="1" si="389"/>
        <v>-55.8892017941087</v>
      </c>
      <c r="I893" s="357">
        <f t="shared" ca="1" si="390"/>
        <v>56.110890467908426</v>
      </c>
      <c r="J893" s="359">
        <f t="shared" ca="1" si="391"/>
        <v>184.26379383972827</v>
      </c>
      <c r="K893" s="360">
        <f t="shared" ca="1" si="392"/>
        <v>-7.9859414426703053</v>
      </c>
      <c r="L893" s="357">
        <f t="shared" ca="1" si="377"/>
        <v>184.43676689026958</v>
      </c>
      <c r="M893" s="359">
        <f t="shared" ca="1" si="393"/>
        <v>-1.4818749329490672</v>
      </c>
      <c r="N893" s="357">
        <f t="shared" ca="1" si="394"/>
        <v>-84.905179424213415</v>
      </c>
      <c r="O893" s="343"/>
      <c r="P893" s="363">
        <f t="shared" ca="1" si="395"/>
        <v>23</v>
      </c>
      <c r="Q893" s="357">
        <f t="shared" ca="1" si="396"/>
        <v>0</v>
      </c>
      <c r="R893" s="359">
        <f t="shared" ca="1" si="397"/>
        <v>0</v>
      </c>
      <c r="S893" s="360">
        <f t="shared" ca="1" si="398"/>
        <v>0.42898953648292248</v>
      </c>
      <c r="T893" s="357">
        <f t="shared" ca="1" si="378"/>
        <v>4.2083873528974696</v>
      </c>
      <c r="U893" s="364">
        <f t="shared" ca="1" si="379"/>
        <v>0</v>
      </c>
      <c r="V893" s="359">
        <f t="shared" ca="1" si="380"/>
        <v>1.2259786686062366</v>
      </c>
      <c r="W893" s="357">
        <f t="shared" ca="1" si="381"/>
        <v>3.4024831343255175</v>
      </c>
      <c r="X893" s="343"/>
      <c r="Y893" s="367" t="str">
        <f t="shared" ca="1" si="399"/>
        <v/>
      </c>
      <c r="Z893" s="368" t="str">
        <f t="shared" ca="1" si="400"/>
        <v/>
      </c>
      <c r="AA893" s="369" t="str">
        <f t="shared" ca="1" si="401"/>
        <v/>
      </c>
      <c r="AB893" s="344"/>
      <c r="AC893" s="363" t="e">
        <f t="shared" ca="1" si="402"/>
        <v>#N/A</v>
      </c>
      <c r="AD893" s="376" t="e">
        <f t="shared" ca="1" si="403"/>
        <v>#N/A</v>
      </c>
      <c r="AE893" s="377" t="e">
        <f t="shared" ca="1" si="382"/>
        <v>#N/A</v>
      </c>
      <c r="AF893" s="344"/>
      <c r="AG893" s="359">
        <f t="shared" ca="1" si="404"/>
        <v>1.8399071709005925</v>
      </c>
      <c r="AH893" s="357">
        <f t="shared" ca="1" si="405"/>
        <v>-7.9313331201107227</v>
      </c>
    </row>
    <row r="894" spans="1:34">
      <c r="A894" s="402">
        <f t="shared" ca="1" si="383"/>
        <v>1E-4</v>
      </c>
      <c r="B894" s="357">
        <f t="shared" ca="1" si="384"/>
        <v>16.954099999999848</v>
      </c>
      <c r="C894" s="342"/>
      <c r="D894" s="359">
        <f t="shared" ca="1" si="385"/>
        <v>-0.70434115260053909</v>
      </c>
      <c r="E894" s="360">
        <f t="shared" ca="1" si="386"/>
        <v>-1.9099465814570262</v>
      </c>
      <c r="F894" s="357">
        <f t="shared" ca="1" si="387"/>
        <v>2.0356798381047145</v>
      </c>
      <c r="G894" s="359">
        <f t="shared" ca="1" si="388"/>
        <v>4.982815468553337</v>
      </c>
      <c r="H894" s="360">
        <f t="shared" ca="1" si="389"/>
        <v>-55.889392788766848</v>
      </c>
      <c r="I894" s="357">
        <f t="shared" ca="1" si="390"/>
        <v>56.11107445318364</v>
      </c>
      <c r="J894" s="359">
        <f t="shared" ca="1" si="391"/>
        <v>184.26379383972827</v>
      </c>
      <c r="K894" s="360">
        <f t="shared" ca="1" si="392"/>
        <v>-7.9915303723994491</v>
      </c>
      <c r="L894" s="357">
        <f t="shared" ca="1" si="377"/>
        <v>184.43700897027924</v>
      </c>
      <c r="M894" s="359">
        <f t="shared" ca="1" si="393"/>
        <v>-1.481876485529843</v>
      </c>
      <c r="N894" s="357">
        <f t="shared" ca="1" si="394"/>
        <v>-84.905268380539212</v>
      </c>
      <c r="O894" s="343"/>
      <c r="P894" s="363">
        <f t="shared" ca="1" si="395"/>
        <v>23</v>
      </c>
      <c r="Q894" s="357">
        <f t="shared" ca="1" si="396"/>
        <v>0</v>
      </c>
      <c r="R894" s="359">
        <f t="shared" ca="1" si="397"/>
        <v>0</v>
      </c>
      <c r="S894" s="360">
        <f t="shared" ca="1" si="398"/>
        <v>0.42898953648292248</v>
      </c>
      <c r="T894" s="357">
        <f t="shared" ca="1" si="378"/>
        <v>4.2083873528974696</v>
      </c>
      <c r="U894" s="364">
        <f t="shared" ca="1" si="379"/>
        <v>0</v>
      </c>
      <c r="V894" s="359">
        <f t="shared" ca="1" si="380"/>
        <v>1.2259793537974002</v>
      </c>
      <c r="W894" s="357">
        <f t="shared" ca="1" si="381"/>
        <v>3.4025073492005768</v>
      </c>
      <c r="X894" s="343"/>
      <c r="Y894" s="367" t="str">
        <f t="shared" ca="1" si="399"/>
        <v/>
      </c>
      <c r="Z894" s="368" t="str">
        <f t="shared" ca="1" si="400"/>
        <v/>
      </c>
      <c r="AA894" s="369" t="str">
        <f t="shared" ca="1" si="401"/>
        <v/>
      </c>
      <c r="AB894" s="344"/>
      <c r="AC894" s="363" t="e">
        <f t="shared" ca="1" si="402"/>
        <v>#N/A</v>
      </c>
      <c r="AD894" s="376" t="e">
        <f t="shared" ca="1" si="403"/>
        <v>#N/A</v>
      </c>
      <c r="AE894" s="377" t="e">
        <f t="shared" ca="1" si="382"/>
        <v>#N/A</v>
      </c>
      <c r="AF894" s="344"/>
      <c r="AG894" s="359">
        <f t="shared" ca="1" si="404"/>
        <v>1.8398520758835755</v>
      </c>
      <c r="AH894" s="357">
        <f t="shared" ca="1" si="405"/>
        <v>-7.9313895677289228</v>
      </c>
    </row>
    <row r="895" spans="1:34">
      <c r="A895" s="402">
        <f t="shared" ca="1" si="383"/>
        <v>1E-4</v>
      </c>
      <c r="B895" s="357">
        <f t="shared" ca="1" si="384"/>
        <v>16.954199999999847</v>
      </c>
      <c r="C895" s="342"/>
      <c r="D895" s="359">
        <f t="shared" ca="1" si="385"/>
        <v>-0.70433389971364901</v>
      </c>
      <c r="E895" s="360">
        <f t="shared" ca="1" si="386"/>
        <v>-1.9098892646191432</v>
      </c>
      <c r="F895" s="357">
        <f t="shared" ca="1" si="387"/>
        <v>2.0356235519843269</v>
      </c>
      <c r="G895" s="359">
        <f t="shared" ca="1" si="388"/>
        <v>4.982745035163366</v>
      </c>
      <c r="H895" s="360">
        <f t="shared" ca="1" si="389"/>
        <v>-55.889583777693311</v>
      </c>
      <c r="I895" s="357">
        <f t="shared" ca="1" si="390"/>
        <v>56.111258432949484</v>
      </c>
      <c r="J895" s="359">
        <f t="shared" ca="1" si="391"/>
        <v>184.26379383972827</v>
      </c>
      <c r="K895" s="360">
        <f t="shared" ca="1" si="392"/>
        <v>-7.997119321227772</v>
      </c>
      <c r="L895" s="357">
        <f t="shared" ca="1" si="377"/>
        <v>184.43725122015843</v>
      </c>
      <c r="M895" s="359">
        <f t="shared" ca="1" si="393"/>
        <v>-1.4818780380784915</v>
      </c>
      <c r="N895" s="357">
        <f t="shared" ca="1" si="394"/>
        <v>-84.905357335024263</v>
      </c>
      <c r="O895" s="343"/>
      <c r="P895" s="363">
        <f t="shared" ca="1" si="395"/>
        <v>23</v>
      </c>
      <c r="Q895" s="357">
        <f t="shared" ca="1" si="396"/>
        <v>0</v>
      </c>
      <c r="R895" s="359">
        <f t="shared" ca="1" si="397"/>
        <v>0</v>
      </c>
      <c r="S895" s="360">
        <f t="shared" ca="1" si="398"/>
        <v>0.42898953648292248</v>
      </c>
      <c r="T895" s="357">
        <f t="shared" ca="1" si="378"/>
        <v>4.2083873528974696</v>
      </c>
      <c r="U895" s="364">
        <f t="shared" ca="1" si="379"/>
        <v>0</v>
      </c>
      <c r="V895" s="359">
        <f t="shared" ca="1" si="380"/>
        <v>1.2259800389912885</v>
      </c>
      <c r="W895" s="357">
        <f t="shared" ca="1" si="381"/>
        <v>3.4025315635131381</v>
      </c>
      <c r="X895" s="343"/>
      <c r="Y895" s="367" t="str">
        <f t="shared" ca="1" si="399"/>
        <v/>
      </c>
      <c r="Z895" s="368" t="str">
        <f t="shared" ca="1" si="400"/>
        <v/>
      </c>
      <c r="AA895" s="369" t="str">
        <f t="shared" ca="1" si="401"/>
        <v/>
      </c>
      <c r="AB895" s="344"/>
      <c r="AC895" s="363" t="e">
        <f t="shared" ca="1" si="402"/>
        <v>#N/A</v>
      </c>
      <c r="AD895" s="376" t="e">
        <f t="shared" ca="1" si="403"/>
        <v>#N/A</v>
      </c>
      <c r="AE895" s="377" t="e">
        <f t="shared" ca="1" si="382"/>
        <v>#N/A</v>
      </c>
      <c r="AF895" s="344"/>
      <c r="AG895" s="359">
        <f t="shared" ca="1" si="404"/>
        <v>1.8397969821262512</v>
      </c>
      <c r="AH895" s="357">
        <f t="shared" ca="1" si="405"/>
        <v>-7.9314460140358838</v>
      </c>
    </row>
    <row r="896" spans="1:34">
      <c r="A896" s="402">
        <f t="shared" ca="1" si="383"/>
        <v>1E-4</v>
      </c>
      <c r="B896" s="357">
        <f t="shared" ca="1" si="384"/>
        <v>16.954299999999847</v>
      </c>
      <c r="C896" s="342"/>
      <c r="D896" s="359">
        <f t="shared" ca="1" si="385"/>
        <v>-0.7043266467878514</v>
      </c>
      <c r="E896" s="360">
        <f t="shared" ca="1" si="386"/>
        <v>-1.9098319491134026</v>
      </c>
      <c r="F896" s="357">
        <f t="shared" ca="1" si="387"/>
        <v>2.0355672671837004</v>
      </c>
      <c r="G896" s="359">
        <f t="shared" ca="1" si="388"/>
        <v>4.9826746024986868</v>
      </c>
      <c r="H896" s="360">
        <f t="shared" ca="1" si="389"/>
        <v>-55.889774760888223</v>
      </c>
      <c r="I896" s="357">
        <f t="shared" ca="1" si="390"/>
        <v>56.11144240720607</v>
      </c>
      <c r="J896" s="359">
        <f t="shared" ca="1" si="391"/>
        <v>184.26379383972827</v>
      </c>
      <c r="K896" s="360">
        <f t="shared" ca="1" si="392"/>
        <v>-8.0027082891547003</v>
      </c>
      <c r="L896" s="357">
        <f t="shared" ca="1" si="377"/>
        <v>184.43749363990821</v>
      </c>
      <c r="M896" s="359">
        <f t="shared" ca="1" si="393"/>
        <v>-1.4818795905950135</v>
      </c>
      <c r="N896" s="357">
        <f t="shared" ca="1" si="394"/>
        <v>-84.905446287668596</v>
      </c>
      <c r="O896" s="343"/>
      <c r="P896" s="363">
        <f t="shared" ca="1" si="395"/>
        <v>23</v>
      </c>
      <c r="Q896" s="357">
        <f t="shared" ca="1" si="396"/>
        <v>0</v>
      </c>
      <c r="R896" s="359">
        <f t="shared" ca="1" si="397"/>
        <v>0</v>
      </c>
      <c r="S896" s="360">
        <f t="shared" ca="1" si="398"/>
        <v>0.42898953648292248</v>
      </c>
      <c r="T896" s="357">
        <f t="shared" ca="1" si="378"/>
        <v>4.2083873528974696</v>
      </c>
      <c r="U896" s="364">
        <f t="shared" ca="1" si="379"/>
        <v>0</v>
      </c>
      <c r="V896" s="359">
        <f t="shared" ca="1" si="380"/>
        <v>1.2259807241879008</v>
      </c>
      <c r="W896" s="357">
        <f t="shared" ca="1" si="381"/>
        <v>3.4025557772632058</v>
      </c>
      <c r="X896" s="343"/>
      <c r="Y896" s="367" t="str">
        <f t="shared" ca="1" si="399"/>
        <v/>
      </c>
      <c r="Z896" s="368" t="str">
        <f t="shared" ca="1" si="400"/>
        <v/>
      </c>
      <c r="AA896" s="369" t="str">
        <f t="shared" ca="1" si="401"/>
        <v/>
      </c>
      <c r="AB896" s="344"/>
      <c r="AC896" s="363" t="e">
        <f t="shared" ca="1" si="402"/>
        <v>#N/A</v>
      </c>
      <c r="AD896" s="376" t="e">
        <f t="shared" ca="1" si="403"/>
        <v>#N/A</v>
      </c>
      <c r="AE896" s="377" t="e">
        <f t="shared" ca="1" si="382"/>
        <v>#N/A</v>
      </c>
      <c r="AF896" s="344"/>
      <c r="AG896" s="359">
        <f t="shared" ca="1" si="404"/>
        <v>1.839741889628602</v>
      </c>
      <c r="AH896" s="357">
        <f t="shared" ca="1" si="405"/>
        <v>-7.9315024590316288</v>
      </c>
    </row>
    <row r="897" spans="1:34">
      <c r="A897" s="402">
        <f t="shared" ca="1" si="383"/>
        <v>1E-4</v>
      </c>
      <c r="B897" s="357">
        <f t="shared" ca="1" si="384"/>
        <v>16.954399999999847</v>
      </c>
      <c r="C897" s="342"/>
      <c r="D897" s="359">
        <f t="shared" ca="1" si="385"/>
        <v>-0.70431939382315356</v>
      </c>
      <c r="E897" s="360">
        <f t="shared" ca="1" si="386"/>
        <v>-1.9097746349397937</v>
      </c>
      <c r="F897" s="357">
        <f t="shared" ca="1" si="387"/>
        <v>2.0355109837028236</v>
      </c>
      <c r="G897" s="359">
        <f t="shared" ca="1" si="388"/>
        <v>4.9826041705593047</v>
      </c>
      <c r="H897" s="360">
        <f t="shared" ca="1" si="389"/>
        <v>-55.889965738351719</v>
      </c>
      <c r="I897" s="357">
        <f t="shared" ca="1" si="390"/>
        <v>56.111626375953534</v>
      </c>
      <c r="J897" s="359">
        <f t="shared" ca="1" si="391"/>
        <v>184.26379383972827</v>
      </c>
      <c r="K897" s="360">
        <f t="shared" ca="1" si="392"/>
        <v>-8.0082972761796629</v>
      </c>
      <c r="L897" s="357">
        <f t="shared" ca="1" si="377"/>
        <v>184.43773622952963</v>
      </c>
      <c r="M897" s="359">
        <f t="shared" ca="1" si="393"/>
        <v>-1.4818811430794099</v>
      </c>
      <c r="N897" s="357">
        <f t="shared" ca="1" si="394"/>
        <v>-84.905535238472268</v>
      </c>
      <c r="O897" s="343"/>
      <c r="P897" s="363">
        <f t="shared" ca="1" si="395"/>
        <v>23</v>
      </c>
      <c r="Q897" s="357">
        <f t="shared" ca="1" si="396"/>
        <v>0</v>
      </c>
      <c r="R897" s="359">
        <f t="shared" ca="1" si="397"/>
        <v>0</v>
      </c>
      <c r="S897" s="360">
        <f t="shared" ca="1" si="398"/>
        <v>0.42898953648292248</v>
      </c>
      <c r="T897" s="357">
        <f t="shared" ca="1" si="378"/>
        <v>4.2083873528974696</v>
      </c>
      <c r="U897" s="364">
        <f t="shared" ca="1" si="379"/>
        <v>0</v>
      </c>
      <c r="V897" s="359">
        <f t="shared" ca="1" si="380"/>
        <v>1.2259814093872383</v>
      </c>
      <c r="W897" s="357">
        <f t="shared" ca="1" si="381"/>
        <v>3.4025799904507923</v>
      </c>
      <c r="X897" s="343"/>
      <c r="Y897" s="367" t="str">
        <f t="shared" ca="1" si="399"/>
        <v/>
      </c>
      <c r="Z897" s="368" t="str">
        <f t="shared" ca="1" si="400"/>
        <v/>
      </c>
      <c r="AA897" s="369" t="str">
        <f t="shared" ca="1" si="401"/>
        <v/>
      </c>
      <c r="AB897" s="344"/>
      <c r="AC897" s="363" t="e">
        <f t="shared" ca="1" si="402"/>
        <v>#N/A</v>
      </c>
      <c r="AD897" s="376" t="e">
        <f t="shared" ca="1" si="403"/>
        <v>#N/A</v>
      </c>
      <c r="AE897" s="377" t="e">
        <f t="shared" ca="1" si="382"/>
        <v>#N/A</v>
      </c>
      <c r="AF897" s="344"/>
      <c r="AG897" s="359">
        <f t="shared" ca="1" si="404"/>
        <v>1.8396867983906215</v>
      </c>
      <c r="AH897" s="357">
        <f t="shared" ca="1" si="405"/>
        <v>-7.9315589027161675</v>
      </c>
    </row>
    <row r="898" spans="1:34">
      <c r="A898" s="402">
        <f t="shared" ca="1" si="383"/>
        <v>1E-4</v>
      </c>
      <c r="B898" s="357">
        <f t="shared" ca="1" si="384"/>
        <v>16.954499999999847</v>
      </c>
      <c r="C898" s="342"/>
      <c r="D898" s="359">
        <f t="shared" ca="1" si="385"/>
        <v>-0.70431214081956262</v>
      </c>
      <c r="E898" s="360">
        <f t="shared" ca="1" si="386"/>
        <v>-1.9097173220982873</v>
      </c>
      <c r="F898" s="357">
        <f t="shared" ca="1" si="387"/>
        <v>2.0354547015416697</v>
      </c>
      <c r="G898" s="359">
        <f t="shared" ca="1" si="388"/>
        <v>4.9825337393452225</v>
      </c>
      <c r="H898" s="360">
        <f t="shared" ca="1" si="389"/>
        <v>-55.890156710083929</v>
      </c>
      <c r="I898" s="357">
        <f t="shared" ca="1" si="390"/>
        <v>56.11181033919199</v>
      </c>
      <c r="J898" s="359">
        <f t="shared" ca="1" si="391"/>
        <v>184.26379383972827</v>
      </c>
      <c r="K898" s="360">
        <f t="shared" ca="1" si="392"/>
        <v>-8.0138862823020851</v>
      </c>
      <c r="L898" s="357">
        <f t="shared" ca="1" si="377"/>
        <v>184.43797898902372</v>
      </c>
      <c r="M898" s="359">
        <f t="shared" ca="1" si="393"/>
        <v>-1.4818826955316817</v>
      </c>
      <c r="N898" s="357">
        <f t="shared" ca="1" si="394"/>
        <v>-84.905624187435336</v>
      </c>
      <c r="O898" s="343"/>
      <c r="P898" s="363">
        <f t="shared" ca="1" si="395"/>
        <v>23</v>
      </c>
      <c r="Q898" s="357">
        <f t="shared" ca="1" si="396"/>
        <v>0</v>
      </c>
      <c r="R898" s="359">
        <f t="shared" ca="1" si="397"/>
        <v>0</v>
      </c>
      <c r="S898" s="360">
        <f t="shared" ca="1" si="398"/>
        <v>0.42898953648292248</v>
      </c>
      <c r="T898" s="357">
        <f t="shared" ca="1" si="378"/>
        <v>4.2083873528974696</v>
      </c>
      <c r="U898" s="364">
        <f t="shared" ca="1" si="379"/>
        <v>0</v>
      </c>
      <c r="V898" s="359">
        <f t="shared" ca="1" si="380"/>
        <v>1.2259820945892999</v>
      </c>
      <c r="W898" s="357">
        <f t="shared" ca="1" si="381"/>
        <v>3.4026042030759007</v>
      </c>
      <c r="X898" s="343"/>
      <c r="Y898" s="367" t="str">
        <f t="shared" ca="1" si="399"/>
        <v/>
      </c>
      <c r="Z898" s="368" t="str">
        <f t="shared" ca="1" si="400"/>
        <v/>
      </c>
      <c r="AA898" s="369" t="str">
        <f t="shared" ca="1" si="401"/>
        <v/>
      </c>
      <c r="AB898" s="344"/>
      <c r="AC898" s="363" t="e">
        <f t="shared" ca="1" si="402"/>
        <v>#N/A</v>
      </c>
      <c r="AD898" s="376" t="e">
        <f t="shared" ca="1" si="403"/>
        <v>#N/A</v>
      </c>
      <c r="AE898" s="377" t="e">
        <f t="shared" ca="1" si="382"/>
        <v>#N/A</v>
      </c>
      <c r="AF898" s="344"/>
      <c r="AG898" s="359">
        <f t="shared" ca="1" si="404"/>
        <v>1.8396317084122806</v>
      </c>
      <c r="AH898" s="357">
        <f t="shared" ca="1" si="405"/>
        <v>-7.9316153450895293</v>
      </c>
    </row>
    <row r="899" spans="1:34">
      <c r="A899" s="402">
        <f t="shared" ca="1" si="383"/>
        <v>1E-4</v>
      </c>
      <c r="B899" s="357">
        <f t="shared" ca="1" si="384"/>
        <v>16.954599999999846</v>
      </c>
      <c r="C899" s="342"/>
      <c r="D899" s="359">
        <f t="shared" ca="1" si="385"/>
        <v>-0.70430488777708178</v>
      </c>
      <c r="E899" s="360">
        <f t="shared" ca="1" si="386"/>
        <v>-1.9096600105888779</v>
      </c>
      <c r="F899" s="357">
        <f t="shared" ca="1" si="387"/>
        <v>2.0353984207002327</v>
      </c>
      <c r="G899" s="359">
        <f t="shared" ca="1" si="388"/>
        <v>4.9824633088564445</v>
      </c>
      <c r="H899" s="360">
        <f t="shared" ca="1" si="389"/>
        <v>-55.890347676084986</v>
      </c>
      <c r="I899" s="357">
        <f t="shared" ca="1" si="390"/>
        <v>56.111994296921573</v>
      </c>
      <c r="J899" s="359">
        <f t="shared" ca="1" si="391"/>
        <v>184.26379383972827</v>
      </c>
      <c r="K899" s="360">
        <f t="shared" ca="1" si="392"/>
        <v>-8.0194753075213931</v>
      </c>
      <c r="L899" s="357">
        <f t="shared" ca="1" si="377"/>
        <v>184.43822191839149</v>
      </c>
      <c r="M899" s="359">
        <f t="shared" ca="1" si="393"/>
        <v>-1.4818842479518297</v>
      </c>
      <c r="N899" s="357">
        <f t="shared" ca="1" si="394"/>
        <v>-84.905713134557857</v>
      </c>
      <c r="O899" s="343"/>
      <c r="P899" s="363">
        <f t="shared" ca="1" si="395"/>
        <v>23</v>
      </c>
      <c r="Q899" s="357">
        <f t="shared" ca="1" si="396"/>
        <v>0</v>
      </c>
      <c r="R899" s="359">
        <f t="shared" ca="1" si="397"/>
        <v>0</v>
      </c>
      <c r="S899" s="360">
        <f t="shared" ca="1" si="398"/>
        <v>0.42898953648292248</v>
      </c>
      <c r="T899" s="357">
        <f t="shared" ca="1" si="378"/>
        <v>4.2083873528974696</v>
      </c>
      <c r="U899" s="364">
        <f t="shared" ca="1" si="379"/>
        <v>0</v>
      </c>
      <c r="V899" s="359">
        <f t="shared" ca="1" si="380"/>
        <v>1.2259827797940863</v>
      </c>
      <c r="W899" s="357">
        <f t="shared" ca="1" si="381"/>
        <v>3.4026284151385418</v>
      </c>
      <c r="X899" s="343"/>
      <c r="Y899" s="367" t="str">
        <f t="shared" ca="1" si="399"/>
        <v/>
      </c>
      <c r="Z899" s="368" t="str">
        <f t="shared" ca="1" si="400"/>
        <v/>
      </c>
      <c r="AA899" s="369" t="str">
        <f t="shared" ca="1" si="401"/>
        <v/>
      </c>
      <c r="AB899" s="344"/>
      <c r="AC899" s="363" t="e">
        <f t="shared" ca="1" si="402"/>
        <v>#N/A</v>
      </c>
      <c r="AD899" s="376" t="e">
        <f t="shared" ca="1" si="403"/>
        <v>#N/A</v>
      </c>
      <c r="AE899" s="377" t="e">
        <f t="shared" ca="1" si="382"/>
        <v>#N/A</v>
      </c>
      <c r="AF899" s="344"/>
      <c r="AG899" s="359">
        <f t="shared" ca="1" si="404"/>
        <v>1.8395766196935757</v>
      </c>
      <c r="AH899" s="357">
        <f t="shared" ca="1" si="405"/>
        <v>-7.9316717861517212</v>
      </c>
    </row>
    <row r="900" spans="1:34">
      <c r="A900" s="402">
        <f t="shared" ca="1" si="383"/>
        <v>1E-4</v>
      </c>
      <c r="B900" s="357">
        <f t="shared" ca="1" si="384"/>
        <v>16.954699999999846</v>
      </c>
      <c r="C900" s="342"/>
      <c r="D900" s="359">
        <f t="shared" ca="1" si="385"/>
        <v>-0.70429763469571993</v>
      </c>
      <c r="E900" s="360">
        <f t="shared" ca="1" si="386"/>
        <v>-1.9096027004115372</v>
      </c>
      <c r="F900" s="357">
        <f t="shared" ca="1" si="387"/>
        <v>2.0353421411784853</v>
      </c>
      <c r="G900" s="359">
        <f t="shared" ca="1" si="388"/>
        <v>4.9823928790929752</v>
      </c>
      <c r="H900" s="360">
        <f t="shared" ca="1" si="389"/>
        <v>-55.890538636355025</v>
      </c>
      <c r="I900" s="357">
        <f t="shared" ca="1" si="390"/>
        <v>56.11217824914241</v>
      </c>
      <c r="J900" s="359">
        <f t="shared" ca="1" si="391"/>
        <v>184.26379383972827</v>
      </c>
      <c r="K900" s="360">
        <f t="shared" ca="1" si="392"/>
        <v>-8.0250643518370151</v>
      </c>
      <c r="L900" s="357">
        <f t="shared" ref="L900:L963" ca="1" si="406">SQRT(pos_x^2+pos_z^2)</f>
        <v>184.438465017634</v>
      </c>
      <c r="M900" s="359">
        <f t="shared" ca="1" si="393"/>
        <v>-1.4818858003398552</v>
      </c>
      <c r="N900" s="357">
        <f t="shared" ca="1" si="394"/>
        <v>-84.905802079839873</v>
      </c>
      <c r="O900" s="343"/>
      <c r="P900" s="363">
        <f t="shared" ca="1" si="395"/>
        <v>23</v>
      </c>
      <c r="Q900" s="357">
        <f t="shared" ca="1" si="396"/>
        <v>0</v>
      </c>
      <c r="R900" s="359">
        <f t="shared" ca="1" si="397"/>
        <v>0</v>
      </c>
      <c r="S900" s="360">
        <f t="shared" ca="1" si="398"/>
        <v>0.42898953648292248</v>
      </c>
      <c r="T900" s="357">
        <f t="shared" ref="T900:T963" ca="1" si="407">m*g</f>
        <v>4.2083873528974696</v>
      </c>
      <c r="U900" s="364">
        <f t="shared" ref="U900:U963" ca="1" si="408">IF(pos_xz&lt;L_rampe,Poids*COS(Beta),0)</f>
        <v>0</v>
      </c>
      <c r="V900" s="359">
        <f t="shared" ref="V900:V963" ca="1" si="409">Rho_moyen*(20000-Alt_rampe-pos_z)/(20000+Alt_rampe+pos_z)</f>
        <v>1.2259834650015964</v>
      </c>
      <c r="W900" s="357">
        <f t="shared" ref="W900:W963" ca="1" si="410">1/2*Rho*Sref*Cx*vit_xz^2</f>
        <v>3.4026526266387207</v>
      </c>
      <c r="X900" s="343"/>
      <c r="Y900" s="367" t="str">
        <f t="shared" ca="1" si="399"/>
        <v/>
      </c>
      <c r="Z900" s="368" t="str">
        <f t="shared" ca="1" si="400"/>
        <v/>
      </c>
      <c r="AA900" s="369" t="str">
        <f t="shared" ca="1" si="401"/>
        <v/>
      </c>
      <c r="AB900" s="344"/>
      <c r="AC900" s="363" t="e">
        <f t="shared" ca="1" si="402"/>
        <v>#N/A</v>
      </c>
      <c r="AD900" s="376" t="e">
        <f t="shared" ca="1" si="403"/>
        <v>#N/A</v>
      </c>
      <c r="AE900" s="377" t="e">
        <f t="shared" ref="AE900:AE963" ca="1" si="411">IF(t&lt;T_para, pos_z, NA())</f>
        <v>#N/A</v>
      </c>
      <c r="AF900" s="344"/>
      <c r="AG900" s="359">
        <f t="shared" ca="1" si="404"/>
        <v>1.8395215322344818</v>
      </c>
      <c r="AH900" s="357">
        <f t="shared" ca="1" si="405"/>
        <v>-7.9317282259027682</v>
      </c>
    </row>
    <row r="901" spans="1:34">
      <c r="A901" s="402">
        <f t="shared" ref="A901:A964" ca="1" si="412">IF(B900+0.01&lt;=T_ini+ROUNDUP(Temps_fin_propu,0), 0.01, IF(K900&gt;0, 0.1, 0.0001))</f>
        <v>1E-4</v>
      </c>
      <c r="B901" s="357">
        <f t="shared" ref="B901:B964" ca="1" si="413">B900+pas</f>
        <v>16.954799999999846</v>
      </c>
      <c r="C901" s="342"/>
      <c r="D901" s="359">
        <f t="shared" ref="D901:D964" ca="1" si="414">IF(AND(L900&lt;L_rampe,Poussee&lt;Poids*SIN(M900)),0,(-W900+Poussee)/m*COS(M900)-U900/m*SIN(M900))</f>
        <v>-0.70429038157547919</v>
      </c>
      <c r="E901" s="360">
        <f t="shared" ref="E901:E964" ca="1" si="415">IF(AND(L900&lt;L_rampe,Poussee&lt;Poids*SIN(M900)),0,(-W900+Poussee)/m*SIN(M900)+U900/m*COS(M900)-Poids/m)</f>
        <v>-1.9095453915662528</v>
      </c>
      <c r="F901" s="357">
        <f t="shared" ref="F901:F964" ca="1" si="416">SQRT(acc_x^2+acc_z^2)</f>
        <v>2.0352858629764143</v>
      </c>
      <c r="G901" s="359">
        <f t="shared" ref="G901:G964" ca="1" si="417">G900+acc_x*pas</f>
        <v>4.9823224500548173</v>
      </c>
      <c r="H901" s="360">
        <f t="shared" ref="H901:H964" ca="1" si="418">H900+acc_z*pas</f>
        <v>-55.890729590894182</v>
      </c>
      <c r="I901" s="357">
        <f t="shared" ref="I901:I964" ca="1" si="419">SQRT(vit_x^2+vit_z^2)</f>
        <v>56.112362195854622</v>
      </c>
      <c r="J901" s="359">
        <f t="shared" ref="J901:J964" ca="1" si="420">J900+0.5*(vit_x+G900)*pas*(K900&gt;=0)</f>
        <v>184.26379383972827</v>
      </c>
      <c r="K901" s="360">
        <f t="shared" ref="K901:K964" ca="1" si="421">K900+0.5*(vit_z+H900)*pas</f>
        <v>-8.0306534152483771</v>
      </c>
      <c r="L901" s="357">
        <f t="shared" ca="1" si="406"/>
        <v>184.43870828675233</v>
      </c>
      <c r="M901" s="359">
        <f t="shared" ref="M901:M964" ca="1" si="422">IF(AND(L900&gt;L_rampe,G901&gt;0),ATAN2(G901,H901),$M$4)</f>
        <v>-1.4818873526957586</v>
      </c>
      <c r="N901" s="357">
        <f t="shared" ref="N901:N964" ca="1" si="423">DEGREES(Beta)</f>
        <v>-84.905891023281441</v>
      </c>
      <c r="O901" s="343"/>
      <c r="P901" s="363">
        <f t="shared" ref="P901:P964" ca="1" si="424">MATCH(t-pas/2-T_ini,CdP_t)</f>
        <v>23</v>
      </c>
      <c r="Q901" s="357">
        <f t="shared" ref="Q901:Q964" ca="1" si="425">(INDEX(CdP,2,i_P+1)-INDEX(CdP,2,i_P+0))/(INDEX(CdP,1,i_P+1)-INDEX(CdP,1,i_P+0))*(t-pas/2-T_ini-INDEX(CdP,1,i_P+0))+INDEX(CdP,2,i_P+0)</f>
        <v>0</v>
      </c>
      <c r="R901" s="359">
        <f t="shared" ref="R901:R964" ca="1" si="426">Poussee/(g*ISP)</f>
        <v>0</v>
      </c>
      <c r="S901" s="360">
        <f t="shared" ref="S901:S964" ca="1" si="427">S900-Débit*pas</f>
        <v>0.42898953648292248</v>
      </c>
      <c r="T901" s="357">
        <f t="shared" ca="1" si="407"/>
        <v>4.2083873528974696</v>
      </c>
      <c r="U901" s="364">
        <f t="shared" ca="1" si="408"/>
        <v>0</v>
      </c>
      <c r="V901" s="359">
        <f t="shared" ca="1" si="409"/>
        <v>1.2259841502118309</v>
      </c>
      <c r="W901" s="357">
        <f t="shared" ca="1" si="410"/>
        <v>3.4026768375764469</v>
      </c>
      <c r="X901" s="343"/>
      <c r="Y901" s="367" t="str">
        <f t="shared" ref="Y901:Y964" ca="1" si="428">IF(AND(pos_z&lt;=0,K900&gt;0),"Impact balistique","") &amp; IF(AND(H902&lt;0,vit_z&gt;=0),"Apogée","") &amp; IF(AND(Poussee=0,Q900&gt;0),"Fin de propulsion","") &amp; IF(AND(L902&gt;L_rampe,pos_xz&lt;=L_rampe),"Sortie de rampe","")</f>
        <v/>
      </c>
      <c r="Z901" s="368" t="str">
        <f t="shared" ref="Z901:Z964" ca="1" si="429">IF(ABS(t-T_para)&lt;pas/2,"Para","")</f>
        <v/>
      </c>
      <c r="AA901" s="369" t="str">
        <f t="shared" ref="AA901:AA964" ca="1" si="430">IF(ABS(t-T_satellite)&lt;pas/2,"Satellite","")</f>
        <v/>
      </c>
      <c r="AB901" s="344"/>
      <c r="AC901" s="363" t="e">
        <f t="shared" ref="AC901:AC964" ca="1" si="431">IF(ABS(t-ROUND(t,0))&lt;0.001,t,NA())</f>
        <v>#N/A</v>
      </c>
      <c r="AD901" s="376" t="e">
        <f t="shared" ref="AD901:AD964" ca="1" si="432">IF(ABS(t-ROUND(t,0))&lt;0.001,pos_x,NA())</f>
        <v>#N/A</v>
      </c>
      <c r="AE901" s="377" t="e">
        <f t="shared" ca="1" si="411"/>
        <v>#N/A</v>
      </c>
      <c r="AF901" s="344"/>
      <c r="AG901" s="359">
        <f t="shared" ref="AG901:AG964" ca="1" si="433">IF(AND(L900&lt;L_rampe,Poussee&lt;Poids*SIN(M900)),0,(-W900+Poussee)/m-Poids*SIN(M900)/m)</f>
        <v>1.8394664460349928</v>
      </c>
      <c r="AH901" s="357">
        <f t="shared" ref="AH901:AH964" ca="1" si="434">IF(AND(L900&lt;L_rampe,Poussee&lt;Poids*SIN(M900)), g*SIN(M900), (-W900+Poussee)/m)</f>
        <v>-7.9317846643426835</v>
      </c>
    </row>
    <row r="902" spans="1:34">
      <c r="A902" s="402">
        <f t="shared" ca="1" si="412"/>
        <v>1E-4</v>
      </c>
      <c r="B902" s="357">
        <f t="shared" ca="1" si="413"/>
        <v>16.954899999999846</v>
      </c>
      <c r="C902" s="342"/>
      <c r="D902" s="359">
        <f t="shared" ca="1" si="414"/>
        <v>-0.70428312841636942</v>
      </c>
      <c r="E902" s="360">
        <f t="shared" ca="1" si="415"/>
        <v>-1.9094880840530051</v>
      </c>
      <c r="F902" s="357">
        <f t="shared" ca="1" si="416"/>
        <v>2.0352295860940024</v>
      </c>
      <c r="G902" s="359">
        <f t="shared" ca="1" si="417"/>
        <v>4.9822520217419761</v>
      </c>
      <c r="H902" s="360">
        <f t="shared" ca="1" si="418"/>
        <v>-55.890920539702584</v>
      </c>
      <c r="I902" s="357">
        <f t="shared" ca="1" si="419"/>
        <v>56.112546137058331</v>
      </c>
      <c r="J902" s="359">
        <f t="shared" ca="1" si="420"/>
        <v>184.26379383972827</v>
      </c>
      <c r="K902" s="360">
        <f t="shared" ca="1" si="421"/>
        <v>-8.0362424977549072</v>
      </c>
      <c r="L902" s="357">
        <f t="shared" ca="1" si="406"/>
        <v>184.43895172574747</v>
      </c>
      <c r="M902" s="359">
        <f t="shared" ca="1" si="422"/>
        <v>-1.481888905019541</v>
      </c>
      <c r="N902" s="357">
        <f t="shared" ca="1" si="423"/>
        <v>-84.905979964882604</v>
      </c>
      <c r="O902" s="343"/>
      <c r="P902" s="363">
        <f t="shared" ca="1" si="424"/>
        <v>23</v>
      </c>
      <c r="Q902" s="357">
        <f t="shared" ca="1" si="425"/>
        <v>0</v>
      </c>
      <c r="R902" s="359">
        <f t="shared" ca="1" si="426"/>
        <v>0</v>
      </c>
      <c r="S902" s="360">
        <f t="shared" ca="1" si="427"/>
        <v>0.42898953648292248</v>
      </c>
      <c r="T902" s="357">
        <f t="shared" ca="1" si="407"/>
        <v>4.2083873528974696</v>
      </c>
      <c r="U902" s="364">
        <f t="shared" ca="1" si="408"/>
        <v>0</v>
      </c>
      <c r="V902" s="359">
        <f t="shared" ca="1" si="409"/>
        <v>1.2259848354247898</v>
      </c>
      <c r="W902" s="357">
        <f t="shared" ca="1" si="410"/>
        <v>3.402701047951727</v>
      </c>
      <c r="X902" s="343"/>
      <c r="Y902" s="367" t="str">
        <f t="shared" ca="1" si="428"/>
        <v/>
      </c>
      <c r="Z902" s="368" t="str">
        <f t="shared" ca="1" si="429"/>
        <v/>
      </c>
      <c r="AA902" s="369" t="str">
        <f t="shared" ca="1" si="430"/>
        <v/>
      </c>
      <c r="AB902" s="344"/>
      <c r="AC902" s="363" t="e">
        <f t="shared" ca="1" si="431"/>
        <v>#N/A</v>
      </c>
      <c r="AD902" s="376" t="e">
        <f t="shared" ca="1" si="432"/>
        <v>#N/A</v>
      </c>
      <c r="AE902" s="377" t="e">
        <f t="shared" ca="1" si="411"/>
        <v>#N/A</v>
      </c>
      <c r="AF902" s="344"/>
      <c r="AG902" s="359">
        <f t="shared" ca="1" si="433"/>
        <v>1.8394113610950846</v>
      </c>
      <c r="AH902" s="357">
        <f t="shared" ca="1" si="434"/>
        <v>-7.9318411014714876</v>
      </c>
    </row>
    <row r="903" spans="1:34">
      <c r="A903" s="402">
        <f t="shared" ca="1" si="412"/>
        <v>1E-4</v>
      </c>
      <c r="B903" s="357">
        <f t="shared" ca="1" si="413"/>
        <v>16.954999999999846</v>
      </c>
      <c r="C903" s="342"/>
      <c r="D903" s="359">
        <f t="shared" ca="1" si="414"/>
        <v>-0.70427587521839496</v>
      </c>
      <c r="E903" s="360">
        <f t="shared" ca="1" si="415"/>
        <v>-1.9094307778717745</v>
      </c>
      <c r="F903" s="357">
        <f t="shared" ca="1" si="416"/>
        <v>2.03517331053123</v>
      </c>
      <c r="G903" s="359">
        <f t="shared" ca="1" si="417"/>
        <v>4.9821815941544543</v>
      </c>
      <c r="H903" s="360">
        <f t="shared" ca="1" si="418"/>
        <v>-55.891111482780374</v>
      </c>
      <c r="I903" s="357">
        <f t="shared" ca="1" si="419"/>
        <v>56.112730072753685</v>
      </c>
      <c r="J903" s="359">
        <f t="shared" ca="1" si="420"/>
        <v>184.26379383972827</v>
      </c>
      <c r="K903" s="360">
        <f t="shared" ca="1" si="421"/>
        <v>-8.0418315993560316</v>
      </c>
      <c r="L903" s="357">
        <f t="shared" ca="1" si="406"/>
        <v>184.43919533462045</v>
      </c>
      <c r="M903" s="359">
        <f t="shared" ca="1" si="422"/>
        <v>-1.4818904573112035</v>
      </c>
      <c r="N903" s="357">
        <f t="shared" ca="1" si="423"/>
        <v>-84.906068904643448</v>
      </c>
      <c r="O903" s="343"/>
      <c r="P903" s="363">
        <f t="shared" ca="1" si="424"/>
        <v>23</v>
      </c>
      <c r="Q903" s="357">
        <f t="shared" ca="1" si="425"/>
        <v>0</v>
      </c>
      <c r="R903" s="359">
        <f t="shared" ca="1" si="426"/>
        <v>0</v>
      </c>
      <c r="S903" s="360">
        <f t="shared" ca="1" si="427"/>
        <v>0.42898953648292248</v>
      </c>
      <c r="T903" s="357">
        <f t="shared" ca="1" si="407"/>
        <v>4.2083873528974696</v>
      </c>
      <c r="U903" s="364">
        <f t="shared" ca="1" si="408"/>
        <v>0</v>
      </c>
      <c r="V903" s="359">
        <f t="shared" ca="1" si="409"/>
        <v>1.2259855206404726</v>
      </c>
      <c r="W903" s="357">
        <f t="shared" ca="1" si="410"/>
        <v>3.4027252577645717</v>
      </c>
      <c r="X903" s="343"/>
      <c r="Y903" s="367" t="str">
        <f t="shared" ca="1" si="428"/>
        <v/>
      </c>
      <c r="Z903" s="368" t="str">
        <f t="shared" ca="1" si="429"/>
        <v/>
      </c>
      <c r="AA903" s="369" t="str">
        <f t="shared" ca="1" si="430"/>
        <v/>
      </c>
      <c r="AB903" s="344"/>
      <c r="AC903" s="363" t="e">
        <f t="shared" ca="1" si="431"/>
        <v>#N/A</v>
      </c>
      <c r="AD903" s="376" t="e">
        <f t="shared" ca="1" si="432"/>
        <v>#N/A</v>
      </c>
      <c r="AE903" s="377" t="e">
        <f t="shared" ca="1" si="411"/>
        <v>#N/A</v>
      </c>
      <c r="AF903" s="344"/>
      <c r="AG903" s="359">
        <f t="shared" ca="1" si="433"/>
        <v>1.8393562774147494</v>
      </c>
      <c r="AH903" s="357">
        <f t="shared" ca="1" si="434"/>
        <v>-7.9318975372891973</v>
      </c>
    </row>
    <row r="904" spans="1:34">
      <c r="A904" s="402">
        <f t="shared" ca="1" si="412"/>
        <v>1E-4</v>
      </c>
      <c r="B904" s="357">
        <f t="shared" ca="1" si="413"/>
        <v>16.955099999999845</v>
      </c>
      <c r="C904" s="342"/>
      <c r="D904" s="359">
        <f t="shared" ca="1" si="414"/>
        <v>-0.70426862198156082</v>
      </c>
      <c r="E904" s="360">
        <f t="shared" ca="1" si="415"/>
        <v>-1.9093734730225398</v>
      </c>
      <c r="F904" s="357">
        <f t="shared" ca="1" si="416"/>
        <v>2.0351170362880762</v>
      </c>
      <c r="G904" s="359">
        <f t="shared" ca="1" si="417"/>
        <v>4.9821111672922562</v>
      </c>
      <c r="H904" s="360">
        <f t="shared" ca="1" si="418"/>
        <v>-55.89130242012768</v>
      </c>
      <c r="I904" s="357">
        <f t="shared" ca="1" si="419"/>
        <v>56.112914002940791</v>
      </c>
      <c r="J904" s="359">
        <f t="shared" ca="1" si="420"/>
        <v>184.26379383972827</v>
      </c>
      <c r="K904" s="360">
        <f t="shared" ca="1" si="421"/>
        <v>-8.0474207200511767</v>
      </c>
      <c r="L904" s="357">
        <f t="shared" ca="1" si="406"/>
        <v>184.43943911337237</v>
      </c>
      <c r="M904" s="359">
        <f t="shared" ca="1" si="422"/>
        <v>-1.4818920095707468</v>
      </c>
      <c r="N904" s="357">
        <f t="shared" ca="1" si="423"/>
        <v>-84.906157842563985</v>
      </c>
      <c r="O904" s="343"/>
      <c r="P904" s="363">
        <f t="shared" ca="1" si="424"/>
        <v>23</v>
      </c>
      <c r="Q904" s="357">
        <f t="shared" ca="1" si="425"/>
        <v>0</v>
      </c>
      <c r="R904" s="359">
        <f t="shared" ca="1" si="426"/>
        <v>0</v>
      </c>
      <c r="S904" s="360">
        <f t="shared" ca="1" si="427"/>
        <v>0.42898953648292248</v>
      </c>
      <c r="T904" s="357">
        <f t="shared" ca="1" si="407"/>
        <v>4.2083873528974696</v>
      </c>
      <c r="U904" s="364">
        <f t="shared" ca="1" si="408"/>
        <v>0</v>
      </c>
      <c r="V904" s="359">
        <f t="shared" ca="1" si="409"/>
        <v>1.2259862058588793</v>
      </c>
      <c r="W904" s="357">
        <f t="shared" ca="1" si="410"/>
        <v>3.4027494670149845</v>
      </c>
      <c r="X904" s="343"/>
      <c r="Y904" s="367" t="str">
        <f t="shared" ca="1" si="428"/>
        <v/>
      </c>
      <c r="Z904" s="368" t="str">
        <f t="shared" ca="1" si="429"/>
        <v/>
      </c>
      <c r="AA904" s="369" t="str">
        <f t="shared" ca="1" si="430"/>
        <v/>
      </c>
      <c r="AB904" s="344"/>
      <c r="AC904" s="363" t="e">
        <f t="shared" ca="1" si="431"/>
        <v>#N/A</v>
      </c>
      <c r="AD904" s="376" t="e">
        <f t="shared" ca="1" si="432"/>
        <v>#N/A</v>
      </c>
      <c r="AE904" s="377" t="e">
        <f t="shared" ca="1" si="411"/>
        <v>#N/A</v>
      </c>
      <c r="AF904" s="344"/>
      <c r="AG904" s="359">
        <f t="shared" ca="1" si="433"/>
        <v>1.8393011949939586</v>
      </c>
      <c r="AH904" s="357">
        <f t="shared" ca="1" si="434"/>
        <v>-7.9319539717958358</v>
      </c>
    </row>
    <row r="905" spans="1:34">
      <c r="A905" s="402">
        <f t="shared" ca="1" si="412"/>
        <v>1E-4</v>
      </c>
      <c r="B905" s="357">
        <f t="shared" ca="1" si="413"/>
        <v>16.955199999999845</v>
      </c>
      <c r="C905" s="342"/>
      <c r="D905" s="359">
        <f t="shared" ca="1" si="414"/>
        <v>-0.70426136870587397</v>
      </c>
      <c r="E905" s="360">
        <f t="shared" ca="1" si="415"/>
        <v>-1.9093161695052903</v>
      </c>
      <c r="F905" s="357">
        <f t="shared" ca="1" si="416"/>
        <v>2.0350607633645303</v>
      </c>
      <c r="G905" s="359">
        <f t="shared" ca="1" si="417"/>
        <v>4.9820407411553855</v>
      </c>
      <c r="H905" s="360">
        <f t="shared" ca="1" si="418"/>
        <v>-55.891493351744629</v>
      </c>
      <c r="I905" s="357">
        <f t="shared" ca="1" si="419"/>
        <v>56.113097927619769</v>
      </c>
      <c r="J905" s="359">
        <f t="shared" ca="1" si="420"/>
        <v>184.26379383972827</v>
      </c>
      <c r="K905" s="360">
        <f t="shared" ca="1" si="421"/>
        <v>-8.0530098598397704</v>
      </c>
      <c r="L905" s="357">
        <f t="shared" ca="1" si="406"/>
        <v>184.43968306200421</v>
      </c>
      <c r="M905" s="359">
        <f t="shared" ca="1" si="422"/>
        <v>-1.4818935617981719</v>
      </c>
      <c r="N905" s="357">
        <f t="shared" ca="1" si="423"/>
        <v>-84.906246778644288</v>
      </c>
      <c r="O905" s="343"/>
      <c r="P905" s="363">
        <f t="shared" ca="1" si="424"/>
        <v>23</v>
      </c>
      <c r="Q905" s="357">
        <f t="shared" ca="1" si="425"/>
        <v>0</v>
      </c>
      <c r="R905" s="359">
        <f t="shared" ca="1" si="426"/>
        <v>0</v>
      </c>
      <c r="S905" s="360">
        <f t="shared" ca="1" si="427"/>
        <v>0.42898953648292248</v>
      </c>
      <c r="T905" s="357">
        <f t="shared" ca="1" si="407"/>
        <v>4.2083873528974696</v>
      </c>
      <c r="U905" s="364">
        <f t="shared" ca="1" si="408"/>
        <v>0</v>
      </c>
      <c r="V905" s="359">
        <f t="shared" ca="1" si="409"/>
        <v>1.2259868910800102</v>
      </c>
      <c r="W905" s="357">
        <f t="shared" ca="1" si="410"/>
        <v>3.4027736757029747</v>
      </c>
      <c r="X905" s="343"/>
      <c r="Y905" s="367" t="str">
        <f t="shared" ca="1" si="428"/>
        <v/>
      </c>
      <c r="Z905" s="368" t="str">
        <f t="shared" ca="1" si="429"/>
        <v/>
      </c>
      <c r="AA905" s="369" t="str">
        <f t="shared" ca="1" si="430"/>
        <v/>
      </c>
      <c r="AB905" s="344"/>
      <c r="AC905" s="363" t="e">
        <f t="shared" ca="1" si="431"/>
        <v>#N/A</v>
      </c>
      <c r="AD905" s="376" t="e">
        <f t="shared" ca="1" si="432"/>
        <v>#N/A</v>
      </c>
      <c r="AE905" s="377" t="e">
        <f t="shared" ca="1" si="411"/>
        <v>#N/A</v>
      </c>
      <c r="AF905" s="344"/>
      <c r="AG905" s="359">
        <f t="shared" ca="1" si="433"/>
        <v>1.8392461138327096</v>
      </c>
      <c r="AH905" s="357">
        <f t="shared" ca="1" si="434"/>
        <v>-7.9320104049914129</v>
      </c>
    </row>
    <row r="906" spans="1:34">
      <c r="A906" s="402">
        <f t="shared" ca="1" si="412"/>
        <v>1E-4</v>
      </c>
      <c r="B906" s="357">
        <f t="shared" ca="1" si="413"/>
        <v>16.955299999999845</v>
      </c>
      <c r="C906" s="342"/>
      <c r="D906" s="359">
        <f t="shared" ca="1" si="414"/>
        <v>-0.70425411539134108</v>
      </c>
      <c r="E906" s="360">
        <f t="shared" ca="1" si="415"/>
        <v>-1.9092588673200037</v>
      </c>
      <c r="F906" s="357">
        <f t="shared" ca="1" si="416"/>
        <v>2.0350044917605721</v>
      </c>
      <c r="G906" s="359">
        <f t="shared" ca="1" si="417"/>
        <v>4.9819703157438466</v>
      </c>
      <c r="H906" s="360">
        <f t="shared" ca="1" si="418"/>
        <v>-55.891684277631363</v>
      </c>
      <c r="I906" s="357">
        <f t="shared" ca="1" si="419"/>
        <v>56.113281846790763</v>
      </c>
      <c r="J906" s="359">
        <f t="shared" ca="1" si="420"/>
        <v>184.26379383972827</v>
      </c>
      <c r="K906" s="360">
        <f t="shared" ca="1" si="421"/>
        <v>-8.0585990187212388</v>
      </c>
      <c r="L906" s="357">
        <f t="shared" ca="1" si="406"/>
        <v>184.439927180517</v>
      </c>
      <c r="M906" s="359">
        <f t="shared" ca="1" si="422"/>
        <v>-1.48189511399348</v>
      </c>
      <c r="N906" s="357">
        <f t="shared" ca="1" si="423"/>
        <v>-84.906335712884427</v>
      </c>
      <c r="O906" s="343"/>
      <c r="P906" s="363">
        <f t="shared" ca="1" si="424"/>
        <v>23</v>
      </c>
      <c r="Q906" s="357">
        <f t="shared" ca="1" si="425"/>
        <v>0</v>
      </c>
      <c r="R906" s="359">
        <f t="shared" ca="1" si="426"/>
        <v>0</v>
      </c>
      <c r="S906" s="360">
        <f t="shared" ca="1" si="427"/>
        <v>0.42898953648292248</v>
      </c>
      <c r="T906" s="357">
        <f t="shared" ca="1" si="407"/>
        <v>4.2083873528974696</v>
      </c>
      <c r="U906" s="364">
        <f t="shared" ca="1" si="408"/>
        <v>0</v>
      </c>
      <c r="V906" s="359">
        <f t="shared" ca="1" si="409"/>
        <v>1.225987576303865</v>
      </c>
      <c r="W906" s="357">
        <f t="shared" ca="1" si="410"/>
        <v>3.4027978838285509</v>
      </c>
      <c r="X906" s="343"/>
      <c r="Y906" s="367" t="str">
        <f t="shared" ca="1" si="428"/>
        <v/>
      </c>
      <c r="Z906" s="368" t="str">
        <f t="shared" ca="1" si="429"/>
        <v/>
      </c>
      <c r="AA906" s="369" t="str">
        <f t="shared" ca="1" si="430"/>
        <v/>
      </c>
      <c r="AB906" s="344"/>
      <c r="AC906" s="363" t="e">
        <f t="shared" ca="1" si="431"/>
        <v>#N/A</v>
      </c>
      <c r="AD906" s="376" t="e">
        <f t="shared" ca="1" si="432"/>
        <v>#N/A</v>
      </c>
      <c r="AE906" s="377" t="e">
        <f t="shared" ca="1" si="411"/>
        <v>#N/A</v>
      </c>
      <c r="AF906" s="344"/>
      <c r="AG906" s="359">
        <f t="shared" ca="1" si="433"/>
        <v>1.8391910339309812</v>
      </c>
      <c r="AH906" s="357">
        <f t="shared" ca="1" si="434"/>
        <v>-7.9320668368759497</v>
      </c>
    </row>
    <row r="907" spans="1:34">
      <c r="A907" s="402">
        <f t="shared" ca="1" si="412"/>
        <v>1E-4</v>
      </c>
      <c r="B907" s="357">
        <f t="shared" ca="1" si="413"/>
        <v>16.955399999999845</v>
      </c>
      <c r="C907" s="342"/>
      <c r="D907" s="359">
        <f t="shared" ca="1" si="414"/>
        <v>-0.70424686203796483</v>
      </c>
      <c r="E907" s="360">
        <f t="shared" ca="1" si="415"/>
        <v>-1.9092015664666615</v>
      </c>
      <c r="F907" s="357">
        <f t="shared" ca="1" si="416"/>
        <v>2.0349482214761814</v>
      </c>
      <c r="G907" s="359">
        <f t="shared" ca="1" si="417"/>
        <v>4.9818998910576431</v>
      </c>
      <c r="H907" s="360">
        <f t="shared" ca="1" si="418"/>
        <v>-55.891875197788011</v>
      </c>
      <c r="I907" s="357">
        <f t="shared" ca="1" si="419"/>
        <v>56.113465760453884</v>
      </c>
      <c r="J907" s="359">
        <f t="shared" ca="1" si="420"/>
        <v>184.26379383972827</v>
      </c>
      <c r="K907" s="360">
        <f t="shared" ca="1" si="421"/>
        <v>-8.0641881966950102</v>
      </c>
      <c r="L907" s="357">
        <f t="shared" ca="1" si="406"/>
        <v>184.44017146891184</v>
      </c>
      <c r="M907" s="359">
        <f t="shared" ca="1" si="422"/>
        <v>-1.4818966661566715</v>
      </c>
      <c r="N907" s="357">
        <f t="shared" ca="1" si="423"/>
        <v>-84.906424645284417</v>
      </c>
      <c r="O907" s="343"/>
      <c r="P907" s="363">
        <f t="shared" ca="1" si="424"/>
        <v>23</v>
      </c>
      <c r="Q907" s="357">
        <f t="shared" ca="1" si="425"/>
        <v>0</v>
      </c>
      <c r="R907" s="359">
        <f t="shared" ca="1" si="426"/>
        <v>0</v>
      </c>
      <c r="S907" s="360">
        <f t="shared" ca="1" si="427"/>
        <v>0.42898953648292248</v>
      </c>
      <c r="T907" s="357">
        <f t="shared" ca="1" si="407"/>
        <v>4.2083873528974696</v>
      </c>
      <c r="U907" s="364">
        <f t="shared" ca="1" si="408"/>
        <v>0</v>
      </c>
      <c r="V907" s="359">
        <f t="shared" ca="1" si="409"/>
        <v>1.2259882615304436</v>
      </c>
      <c r="W907" s="357">
        <f t="shared" ca="1" si="410"/>
        <v>3.4028220913917195</v>
      </c>
      <c r="X907" s="343"/>
      <c r="Y907" s="367" t="str">
        <f t="shared" ca="1" si="428"/>
        <v/>
      </c>
      <c r="Z907" s="368" t="str">
        <f t="shared" ca="1" si="429"/>
        <v/>
      </c>
      <c r="AA907" s="369" t="str">
        <f t="shared" ca="1" si="430"/>
        <v/>
      </c>
      <c r="AB907" s="344"/>
      <c r="AC907" s="363" t="e">
        <f t="shared" ca="1" si="431"/>
        <v>#N/A</v>
      </c>
      <c r="AD907" s="376" t="e">
        <f t="shared" ca="1" si="432"/>
        <v>#N/A</v>
      </c>
      <c r="AE907" s="377" t="e">
        <f t="shared" ca="1" si="411"/>
        <v>#N/A</v>
      </c>
      <c r="AF907" s="344"/>
      <c r="AG907" s="359">
        <f t="shared" ca="1" si="433"/>
        <v>1.8391359552887572</v>
      </c>
      <c r="AH907" s="357">
        <f t="shared" ca="1" si="434"/>
        <v>-7.9321232674494659</v>
      </c>
    </row>
    <row r="908" spans="1:34">
      <c r="A908" s="402">
        <f t="shared" ca="1" si="412"/>
        <v>1E-4</v>
      </c>
      <c r="B908" s="357">
        <f t="shared" ca="1" si="413"/>
        <v>16.955499999999844</v>
      </c>
      <c r="C908" s="342"/>
      <c r="D908" s="359">
        <f t="shared" ca="1" si="414"/>
        <v>-0.70423960864575474</v>
      </c>
      <c r="E908" s="360">
        <f t="shared" ca="1" si="415"/>
        <v>-1.9091442669452459</v>
      </c>
      <c r="F908" s="357">
        <f t="shared" ca="1" si="416"/>
        <v>2.0348919525113431</v>
      </c>
      <c r="G908" s="359">
        <f t="shared" ca="1" si="417"/>
        <v>4.9818294670967784</v>
      </c>
      <c r="H908" s="360">
        <f t="shared" ca="1" si="418"/>
        <v>-55.892066112214707</v>
      </c>
      <c r="I908" s="357">
        <f t="shared" ca="1" si="419"/>
        <v>56.11364966860927</v>
      </c>
      <c r="J908" s="359">
        <f t="shared" ca="1" si="420"/>
        <v>184.26379383972827</v>
      </c>
      <c r="K908" s="360">
        <f t="shared" ca="1" si="421"/>
        <v>-8.0697773937605106</v>
      </c>
      <c r="L908" s="357">
        <f t="shared" ca="1" si="406"/>
        <v>184.44041592718969</v>
      </c>
      <c r="M908" s="359">
        <f t="shared" ca="1" si="422"/>
        <v>-1.4818982182877474</v>
      </c>
      <c r="N908" s="357">
        <f t="shared" ca="1" si="423"/>
        <v>-84.906513575844315</v>
      </c>
      <c r="O908" s="343"/>
      <c r="P908" s="363">
        <f t="shared" ca="1" si="424"/>
        <v>23</v>
      </c>
      <c r="Q908" s="357">
        <f t="shared" ca="1" si="425"/>
        <v>0</v>
      </c>
      <c r="R908" s="359">
        <f t="shared" ca="1" si="426"/>
        <v>0</v>
      </c>
      <c r="S908" s="360">
        <f t="shared" ca="1" si="427"/>
        <v>0.42898953648292248</v>
      </c>
      <c r="T908" s="357">
        <f t="shared" ca="1" si="407"/>
        <v>4.2083873528974696</v>
      </c>
      <c r="U908" s="364">
        <f t="shared" ca="1" si="408"/>
        <v>0</v>
      </c>
      <c r="V908" s="359">
        <f t="shared" ca="1" si="409"/>
        <v>1.225988946759746</v>
      </c>
      <c r="W908" s="357">
        <f t="shared" ca="1" si="410"/>
        <v>3.4028462983924901</v>
      </c>
      <c r="X908" s="343"/>
      <c r="Y908" s="367" t="str">
        <f t="shared" ca="1" si="428"/>
        <v/>
      </c>
      <c r="Z908" s="368" t="str">
        <f t="shared" ca="1" si="429"/>
        <v/>
      </c>
      <c r="AA908" s="369" t="str">
        <f t="shared" ca="1" si="430"/>
        <v/>
      </c>
      <c r="AB908" s="344"/>
      <c r="AC908" s="363" t="e">
        <f t="shared" ca="1" si="431"/>
        <v>#N/A</v>
      </c>
      <c r="AD908" s="376" t="e">
        <f t="shared" ca="1" si="432"/>
        <v>#N/A</v>
      </c>
      <c r="AE908" s="377" t="e">
        <f t="shared" ca="1" si="411"/>
        <v>#N/A</v>
      </c>
      <c r="AF908" s="344"/>
      <c r="AG908" s="359">
        <f t="shared" ca="1" si="433"/>
        <v>1.8390808779060297</v>
      </c>
      <c r="AH908" s="357">
        <f t="shared" ca="1" si="434"/>
        <v>-7.9321796967119766</v>
      </c>
    </row>
    <row r="909" spans="1:34">
      <c r="A909" s="402">
        <f t="shared" ca="1" si="412"/>
        <v>1E-4</v>
      </c>
      <c r="B909" s="357">
        <f t="shared" ca="1" si="413"/>
        <v>16.955599999999844</v>
      </c>
      <c r="C909" s="342"/>
      <c r="D909" s="359">
        <f t="shared" ca="1" si="414"/>
        <v>-0.70423235521471717</v>
      </c>
      <c r="E909" s="360">
        <f t="shared" ca="1" si="415"/>
        <v>-1.9090869687557372</v>
      </c>
      <c r="F909" s="357">
        <f t="shared" ca="1" si="416"/>
        <v>2.0348356848660378</v>
      </c>
      <c r="G909" s="359">
        <f t="shared" ca="1" si="417"/>
        <v>4.9817590438612571</v>
      </c>
      <c r="H909" s="360">
        <f t="shared" ca="1" si="418"/>
        <v>-55.892257020911579</v>
      </c>
      <c r="I909" s="357">
        <f t="shared" ca="1" si="419"/>
        <v>56.113833571257032</v>
      </c>
      <c r="J909" s="359">
        <f t="shared" ca="1" si="420"/>
        <v>184.26379383972827</v>
      </c>
      <c r="K909" s="360">
        <f t="shared" ca="1" si="421"/>
        <v>-8.0753666099171664</v>
      </c>
      <c r="L909" s="357">
        <f t="shared" ca="1" si="406"/>
        <v>184.44066055535166</v>
      </c>
      <c r="M909" s="359">
        <f t="shared" ca="1" si="422"/>
        <v>-1.4818997703867089</v>
      </c>
      <c r="N909" s="357">
        <f t="shared" ca="1" si="423"/>
        <v>-84.906602504564191</v>
      </c>
      <c r="O909" s="343"/>
      <c r="P909" s="363">
        <f t="shared" ca="1" si="424"/>
        <v>23</v>
      </c>
      <c r="Q909" s="357">
        <f t="shared" ca="1" si="425"/>
        <v>0</v>
      </c>
      <c r="R909" s="359">
        <f t="shared" ca="1" si="426"/>
        <v>0</v>
      </c>
      <c r="S909" s="360">
        <f t="shared" ca="1" si="427"/>
        <v>0.42898953648292248</v>
      </c>
      <c r="T909" s="357">
        <f t="shared" ca="1" si="407"/>
        <v>4.2083873528974696</v>
      </c>
      <c r="U909" s="364">
        <f t="shared" ca="1" si="408"/>
        <v>0</v>
      </c>
      <c r="V909" s="359">
        <f t="shared" ca="1" si="409"/>
        <v>1.2259896319917718</v>
      </c>
      <c r="W909" s="357">
        <f t="shared" ca="1" si="410"/>
        <v>3.4028705048308661</v>
      </c>
      <c r="X909" s="343"/>
      <c r="Y909" s="367" t="str">
        <f t="shared" ca="1" si="428"/>
        <v/>
      </c>
      <c r="Z909" s="368" t="str">
        <f t="shared" ca="1" si="429"/>
        <v/>
      </c>
      <c r="AA909" s="369" t="str">
        <f t="shared" ca="1" si="430"/>
        <v/>
      </c>
      <c r="AB909" s="344"/>
      <c r="AC909" s="363" t="e">
        <f t="shared" ca="1" si="431"/>
        <v>#N/A</v>
      </c>
      <c r="AD909" s="376" t="e">
        <f t="shared" ca="1" si="432"/>
        <v>#N/A</v>
      </c>
      <c r="AE909" s="377" t="e">
        <f t="shared" ca="1" si="411"/>
        <v>#N/A</v>
      </c>
      <c r="AF909" s="344"/>
      <c r="AG909" s="359">
        <f t="shared" ca="1" si="433"/>
        <v>1.8390258017827676</v>
      </c>
      <c r="AH909" s="357">
        <f t="shared" ca="1" si="434"/>
        <v>-7.932236124663504</v>
      </c>
    </row>
    <row r="910" spans="1:34">
      <c r="A910" s="402">
        <f t="shared" ca="1" si="412"/>
        <v>1E-4</v>
      </c>
      <c r="B910" s="357">
        <f t="shared" ca="1" si="413"/>
        <v>16.955699999999844</v>
      </c>
      <c r="C910" s="342"/>
      <c r="D910" s="359">
        <f t="shared" ca="1" si="414"/>
        <v>-0.70422510174485431</v>
      </c>
      <c r="E910" s="360">
        <f t="shared" ca="1" si="415"/>
        <v>-1.9090296718981241</v>
      </c>
      <c r="F910" s="357">
        <f t="shared" ca="1" si="416"/>
        <v>2.034779418540253</v>
      </c>
      <c r="G910" s="359">
        <f t="shared" ca="1" si="417"/>
        <v>4.9816886213510827</v>
      </c>
      <c r="H910" s="360">
        <f t="shared" ca="1" si="418"/>
        <v>-55.89244792387877</v>
      </c>
      <c r="I910" s="357">
        <f t="shared" ca="1" si="419"/>
        <v>56.114017468397314</v>
      </c>
      <c r="J910" s="359">
        <f t="shared" ca="1" si="420"/>
        <v>184.26379383972827</v>
      </c>
      <c r="K910" s="360">
        <f t="shared" ca="1" si="421"/>
        <v>-8.0809558451644055</v>
      </c>
      <c r="L910" s="357">
        <f t="shared" ca="1" si="406"/>
        <v>184.4409053533987</v>
      </c>
      <c r="M910" s="359">
        <f t="shared" ca="1" si="422"/>
        <v>-1.4819013224535571</v>
      </c>
      <c r="N910" s="357">
        <f t="shared" ca="1" si="423"/>
        <v>-84.906691431444116</v>
      </c>
      <c r="O910" s="343"/>
      <c r="P910" s="363">
        <f t="shared" ca="1" si="424"/>
        <v>23</v>
      </c>
      <c r="Q910" s="357">
        <f t="shared" ca="1" si="425"/>
        <v>0</v>
      </c>
      <c r="R910" s="359">
        <f t="shared" ca="1" si="426"/>
        <v>0</v>
      </c>
      <c r="S910" s="360">
        <f t="shared" ca="1" si="427"/>
        <v>0.42898953648292248</v>
      </c>
      <c r="T910" s="357">
        <f t="shared" ca="1" si="407"/>
        <v>4.2083873528974696</v>
      </c>
      <c r="U910" s="364">
        <f t="shared" ca="1" si="408"/>
        <v>0</v>
      </c>
      <c r="V910" s="359">
        <f t="shared" ca="1" si="409"/>
        <v>1.2259903172265219</v>
      </c>
      <c r="W910" s="357">
        <f t="shared" ca="1" si="410"/>
        <v>3.4028947107068603</v>
      </c>
      <c r="X910" s="343"/>
      <c r="Y910" s="367" t="str">
        <f t="shared" ca="1" si="428"/>
        <v/>
      </c>
      <c r="Z910" s="368" t="str">
        <f t="shared" ca="1" si="429"/>
        <v/>
      </c>
      <c r="AA910" s="369" t="str">
        <f t="shared" ca="1" si="430"/>
        <v/>
      </c>
      <c r="AB910" s="344"/>
      <c r="AC910" s="363" t="e">
        <f t="shared" ca="1" si="431"/>
        <v>#N/A</v>
      </c>
      <c r="AD910" s="376" t="e">
        <f t="shared" ca="1" si="432"/>
        <v>#N/A</v>
      </c>
      <c r="AE910" s="377" t="e">
        <f t="shared" ca="1" si="411"/>
        <v>#N/A</v>
      </c>
      <c r="AF910" s="344"/>
      <c r="AG910" s="359">
        <f t="shared" ca="1" si="433"/>
        <v>1.8389707269189728</v>
      </c>
      <c r="AH910" s="357">
        <f t="shared" ca="1" si="434"/>
        <v>-7.932292551304057</v>
      </c>
    </row>
    <row r="911" spans="1:34">
      <c r="A911" s="402">
        <f t="shared" ca="1" si="412"/>
        <v>1E-4</v>
      </c>
      <c r="B911" s="357">
        <f t="shared" ca="1" si="413"/>
        <v>16.955799999999844</v>
      </c>
      <c r="C911" s="342"/>
      <c r="D911" s="359">
        <f t="shared" ca="1" si="414"/>
        <v>-0.70421784823617306</v>
      </c>
      <c r="E911" s="360">
        <f t="shared" ca="1" si="415"/>
        <v>-1.9089723763723772</v>
      </c>
      <c r="F911" s="357">
        <f t="shared" ca="1" si="416"/>
        <v>2.0347231535339607</v>
      </c>
      <c r="G911" s="359">
        <f t="shared" ca="1" si="417"/>
        <v>4.9816181995662587</v>
      </c>
      <c r="H911" s="360">
        <f t="shared" ca="1" si="418"/>
        <v>-55.892638821116407</v>
      </c>
      <c r="I911" s="357">
        <f t="shared" ca="1" si="419"/>
        <v>56.114201360030229</v>
      </c>
      <c r="J911" s="359">
        <f t="shared" ca="1" si="420"/>
        <v>184.26379383972827</v>
      </c>
      <c r="K911" s="360">
        <f t="shared" ca="1" si="421"/>
        <v>-8.0865450995016559</v>
      </c>
      <c r="L911" s="357">
        <f t="shared" ca="1" si="406"/>
        <v>184.44115032133192</v>
      </c>
      <c r="M911" s="359">
        <f t="shared" ca="1" si="422"/>
        <v>-1.4819028744882923</v>
      </c>
      <c r="N911" s="357">
        <f t="shared" ca="1" si="423"/>
        <v>-84.906780356484106</v>
      </c>
      <c r="O911" s="343"/>
      <c r="P911" s="363">
        <f t="shared" ca="1" si="424"/>
        <v>23</v>
      </c>
      <c r="Q911" s="357">
        <f t="shared" ca="1" si="425"/>
        <v>0</v>
      </c>
      <c r="R911" s="359">
        <f t="shared" ca="1" si="426"/>
        <v>0</v>
      </c>
      <c r="S911" s="360">
        <f t="shared" ca="1" si="427"/>
        <v>0.42898953648292248</v>
      </c>
      <c r="T911" s="357">
        <f t="shared" ca="1" si="407"/>
        <v>4.2083873528974696</v>
      </c>
      <c r="U911" s="364">
        <f t="shared" ca="1" si="408"/>
        <v>0</v>
      </c>
      <c r="V911" s="359">
        <f t="shared" ca="1" si="409"/>
        <v>1.2259910024639948</v>
      </c>
      <c r="W911" s="357">
        <f t="shared" ca="1" si="410"/>
        <v>3.4029189160204774</v>
      </c>
      <c r="X911" s="343"/>
      <c r="Y911" s="367" t="str">
        <f t="shared" ca="1" si="428"/>
        <v/>
      </c>
      <c r="Z911" s="368" t="str">
        <f t="shared" ca="1" si="429"/>
        <v/>
      </c>
      <c r="AA911" s="369" t="str">
        <f t="shared" ca="1" si="430"/>
        <v/>
      </c>
      <c r="AB911" s="344"/>
      <c r="AC911" s="363" t="e">
        <f t="shared" ca="1" si="431"/>
        <v>#N/A</v>
      </c>
      <c r="AD911" s="376" t="e">
        <f t="shared" ca="1" si="432"/>
        <v>#N/A</v>
      </c>
      <c r="AE911" s="377" t="e">
        <f t="shared" ca="1" si="411"/>
        <v>#N/A</v>
      </c>
      <c r="AF911" s="344"/>
      <c r="AG911" s="359">
        <f t="shared" ca="1" si="433"/>
        <v>1.8389156533146194</v>
      </c>
      <c r="AH911" s="357">
        <f t="shared" ca="1" si="434"/>
        <v>-7.9323489766336648</v>
      </c>
    </row>
    <row r="912" spans="1:34">
      <c r="A912" s="402">
        <f t="shared" ca="1" si="412"/>
        <v>1E-4</v>
      </c>
      <c r="B912" s="357">
        <f t="shared" ca="1" si="413"/>
        <v>16.955899999999843</v>
      </c>
      <c r="C912" s="342"/>
      <c r="D912" s="359">
        <f t="shared" ca="1" si="414"/>
        <v>-0.70421059468868252</v>
      </c>
      <c r="E912" s="360">
        <f t="shared" ca="1" si="415"/>
        <v>-1.9089150821784884</v>
      </c>
      <c r="F912" s="357">
        <f t="shared" ca="1" si="416"/>
        <v>2.0346668898471547</v>
      </c>
      <c r="G912" s="359">
        <f t="shared" ca="1" si="417"/>
        <v>4.9815477785067896</v>
      </c>
      <c r="H912" s="360">
        <f t="shared" ca="1" si="418"/>
        <v>-55.892829712624625</v>
      </c>
      <c r="I912" s="357">
        <f t="shared" ca="1" si="419"/>
        <v>56.114385246155912</v>
      </c>
      <c r="J912" s="359">
        <f t="shared" ca="1" si="420"/>
        <v>184.26379383972827</v>
      </c>
      <c r="K912" s="360">
        <f t="shared" ca="1" si="421"/>
        <v>-8.0921343729283421</v>
      </c>
      <c r="L912" s="357">
        <f t="shared" ca="1" si="406"/>
        <v>184.44139545915232</v>
      </c>
      <c r="M912" s="359">
        <f t="shared" ca="1" si="422"/>
        <v>-1.4819044264909158</v>
      </c>
      <c r="N912" s="357">
        <f t="shared" ca="1" si="423"/>
        <v>-84.90686927968423</v>
      </c>
      <c r="O912" s="343"/>
      <c r="P912" s="363">
        <f t="shared" ca="1" si="424"/>
        <v>23</v>
      </c>
      <c r="Q912" s="357">
        <f t="shared" ca="1" si="425"/>
        <v>0</v>
      </c>
      <c r="R912" s="359">
        <f t="shared" ca="1" si="426"/>
        <v>0</v>
      </c>
      <c r="S912" s="360">
        <f t="shared" ca="1" si="427"/>
        <v>0.42898953648292248</v>
      </c>
      <c r="T912" s="357">
        <f t="shared" ca="1" si="407"/>
        <v>4.2083873528974696</v>
      </c>
      <c r="U912" s="364">
        <f t="shared" ca="1" si="408"/>
        <v>0</v>
      </c>
      <c r="V912" s="359">
        <f t="shared" ca="1" si="409"/>
        <v>1.2259916877041916</v>
      </c>
      <c r="W912" s="357">
        <f t="shared" ca="1" si="410"/>
        <v>3.402943120771726</v>
      </c>
      <c r="X912" s="343"/>
      <c r="Y912" s="367" t="str">
        <f t="shared" ca="1" si="428"/>
        <v/>
      </c>
      <c r="Z912" s="368" t="str">
        <f t="shared" ca="1" si="429"/>
        <v/>
      </c>
      <c r="AA912" s="369" t="str">
        <f t="shared" ca="1" si="430"/>
        <v/>
      </c>
      <c r="AB912" s="344"/>
      <c r="AC912" s="363" t="e">
        <f t="shared" ca="1" si="431"/>
        <v>#N/A</v>
      </c>
      <c r="AD912" s="376" t="e">
        <f t="shared" ca="1" si="432"/>
        <v>#N/A</v>
      </c>
      <c r="AE912" s="377" t="e">
        <f t="shared" ca="1" si="411"/>
        <v>#N/A</v>
      </c>
      <c r="AF912" s="344"/>
      <c r="AG912" s="359">
        <f t="shared" ca="1" si="433"/>
        <v>1.8388605809696905</v>
      </c>
      <c r="AH912" s="357">
        <f t="shared" ca="1" si="434"/>
        <v>-7.9324054006523372</v>
      </c>
    </row>
    <row r="913" spans="1:34">
      <c r="A913" s="402">
        <f t="shared" ca="1" si="412"/>
        <v>1E-4</v>
      </c>
      <c r="B913" s="357">
        <f t="shared" ca="1" si="413"/>
        <v>16.955999999999843</v>
      </c>
      <c r="C913" s="342"/>
      <c r="D913" s="359">
        <f t="shared" ca="1" si="414"/>
        <v>-0.70420334110238569</v>
      </c>
      <c r="E913" s="360">
        <f t="shared" ca="1" si="415"/>
        <v>-1.908857789316432</v>
      </c>
      <c r="F913" s="357">
        <f t="shared" ca="1" si="416"/>
        <v>2.0346106274798084</v>
      </c>
      <c r="G913" s="359">
        <f t="shared" ca="1" si="417"/>
        <v>4.981477358172679</v>
      </c>
      <c r="H913" s="360">
        <f t="shared" ca="1" si="418"/>
        <v>-55.89302059840356</v>
      </c>
      <c r="I913" s="357">
        <f t="shared" ca="1" si="419"/>
        <v>56.114569126774484</v>
      </c>
      <c r="J913" s="359">
        <f t="shared" ca="1" si="420"/>
        <v>184.26379383972827</v>
      </c>
      <c r="K913" s="360">
        <f t="shared" ca="1" si="421"/>
        <v>-8.097723665443894</v>
      </c>
      <c r="L913" s="357">
        <f t="shared" ca="1" si="406"/>
        <v>184.44164076686093</v>
      </c>
      <c r="M913" s="359">
        <f t="shared" ca="1" si="422"/>
        <v>-1.4819059784614286</v>
      </c>
      <c r="N913" s="357">
        <f t="shared" ca="1" si="423"/>
        <v>-84.906958201044532</v>
      </c>
      <c r="O913" s="343"/>
      <c r="P913" s="363">
        <f t="shared" ca="1" si="424"/>
        <v>23</v>
      </c>
      <c r="Q913" s="357">
        <f t="shared" ca="1" si="425"/>
        <v>0</v>
      </c>
      <c r="R913" s="359">
        <f t="shared" ca="1" si="426"/>
        <v>0</v>
      </c>
      <c r="S913" s="360">
        <f t="shared" ca="1" si="427"/>
        <v>0.42898953648292248</v>
      </c>
      <c r="T913" s="357">
        <f t="shared" ca="1" si="407"/>
        <v>4.2083873528974696</v>
      </c>
      <c r="U913" s="364">
        <f t="shared" ca="1" si="408"/>
        <v>0</v>
      </c>
      <c r="V913" s="359">
        <f t="shared" ca="1" si="409"/>
        <v>1.2259923729471118</v>
      </c>
      <c r="W913" s="357">
        <f t="shared" ca="1" si="410"/>
        <v>3.4029673249606138</v>
      </c>
      <c r="X913" s="343"/>
      <c r="Y913" s="367" t="str">
        <f t="shared" ca="1" si="428"/>
        <v/>
      </c>
      <c r="Z913" s="368" t="str">
        <f t="shared" ca="1" si="429"/>
        <v/>
      </c>
      <c r="AA913" s="369" t="str">
        <f t="shared" ca="1" si="430"/>
        <v/>
      </c>
      <c r="AB913" s="344"/>
      <c r="AC913" s="363" t="e">
        <f t="shared" ca="1" si="431"/>
        <v>#N/A</v>
      </c>
      <c r="AD913" s="376" t="e">
        <f t="shared" ca="1" si="432"/>
        <v>#N/A</v>
      </c>
      <c r="AE913" s="377" t="e">
        <f t="shared" ca="1" si="411"/>
        <v>#N/A</v>
      </c>
      <c r="AF913" s="344"/>
      <c r="AG913" s="359">
        <f t="shared" ca="1" si="433"/>
        <v>1.8388055098841765</v>
      </c>
      <c r="AH913" s="357">
        <f t="shared" ca="1" si="434"/>
        <v>-7.9324618233600965</v>
      </c>
    </row>
    <row r="914" spans="1:34">
      <c r="A914" s="402">
        <f t="shared" ca="1" si="412"/>
        <v>1E-4</v>
      </c>
      <c r="B914" s="357">
        <f t="shared" ca="1" si="413"/>
        <v>16.956099999999843</v>
      </c>
      <c r="C914" s="342"/>
      <c r="D914" s="359">
        <f t="shared" ca="1" si="414"/>
        <v>-0.70419608747728846</v>
      </c>
      <c r="E914" s="360">
        <f t="shared" ca="1" si="415"/>
        <v>-1.9088004977861939</v>
      </c>
      <c r="F914" s="357">
        <f t="shared" ca="1" si="416"/>
        <v>2.0345543664319079</v>
      </c>
      <c r="G914" s="359">
        <f t="shared" ca="1" si="417"/>
        <v>4.9814069385639312</v>
      </c>
      <c r="H914" s="360">
        <f t="shared" ca="1" si="418"/>
        <v>-55.893211478453338</v>
      </c>
      <c r="I914" s="357">
        <f t="shared" ca="1" si="419"/>
        <v>56.114753001886065</v>
      </c>
      <c r="J914" s="359">
        <f t="shared" ca="1" si="420"/>
        <v>184.26379383972827</v>
      </c>
      <c r="K914" s="360">
        <f t="shared" ca="1" si="421"/>
        <v>-8.1033129770477377</v>
      </c>
      <c r="L914" s="357">
        <f t="shared" ca="1" si="406"/>
        <v>184.44188624445877</v>
      </c>
      <c r="M914" s="359">
        <f t="shared" ca="1" si="422"/>
        <v>-1.4819075303998313</v>
      </c>
      <c r="N914" s="357">
        <f t="shared" ca="1" si="423"/>
        <v>-84.907047120565068</v>
      </c>
      <c r="O914" s="343"/>
      <c r="P914" s="363">
        <f t="shared" ca="1" si="424"/>
        <v>23</v>
      </c>
      <c r="Q914" s="357">
        <f t="shared" ca="1" si="425"/>
        <v>0</v>
      </c>
      <c r="R914" s="359">
        <f t="shared" ca="1" si="426"/>
        <v>0</v>
      </c>
      <c r="S914" s="360">
        <f t="shared" ca="1" si="427"/>
        <v>0.42898953648292248</v>
      </c>
      <c r="T914" s="357">
        <f t="shared" ca="1" si="407"/>
        <v>4.2083873528974696</v>
      </c>
      <c r="U914" s="364">
        <f t="shared" ca="1" si="408"/>
        <v>0</v>
      </c>
      <c r="V914" s="359">
        <f t="shared" ca="1" si="409"/>
        <v>1.2259930581927554</v>
      </c>
      <c r="W914" s="357">
        <f t="shared" ca="1" si="410"/>
        <v>3.4029915285871475</v>
      </c>
      <c r="X914" s="343"/>
      <c r="Y914" s="367" t="str">
        <f t="shared" ca="1" si="428"/>
        <v/>
      </c>
      <c r="Z914" s="368" t="str">
        <f t="shared" ca="1" si="429"/>
        <v/>
      </c>
      <c r="AA914" s="369" t="str">
        <f t="shared" ca="1" si="430"/>
        <v/>
      </c>
      <c r="AB914" s="344"/>
      <c r="AC914" s="363" t="e">
        <f t="shared" ca="1" si="431"/>
        <v>#N/A</v>
      </c>
      <c r="AD914" s="376" t="e">
        <f t="shared" ca="1" si="432"/>
        <v>#N/A</v>
      </c>
      <c r="AE914" s="377" t="e">
        <f t="shared" ca="1" si="411"/>
        <v>#N/A</v>
      </c>
      <c r="AF914" s="344"/>
      <c r="AG914" s="359">
        <f t="shared" ca="1" si="433"/>
        <v>1.838750440058055</v>
      </c>
      <c r="AH914" s="357">
        <f t="shared" ca="1" si="434"/>
        <v>-7.9325182447569595</v>
      </c>
    </row>
    <row r="915" spans="1:34">
      <c r="A915" s="402">
        <f t="shared" ca="1" si="412"/>
        <v>1E-4</v>
      </c>
      <c r="B915" s="357">
        <f t="shared" ca="1" si="413"/>
        <v>16.956199999999843</v>
      </c>
      <c r="C915" s="342"/>
      <c r="D915" s="359">
        <f t="shared" ca="1" si="414"/>
        <v>-0.70418883381339881</v>
      </c>
      <c r="E915" s="360">
        <f t="shared" ca="1" si="415"/>
        <v>-1.9087432075877562</v>
      </c>
      <c r="F915" s="357">
        <f t="shared" ca="1" si="416"/>
        <v>2.0344981067034373</v>
      </c>
      <c r="G915" s="359">
        <f t="shared" ca="1" si="417"/>
        <v>4.9813365196805499</v>
      </c>
      <c r="H915" s="360">
        <f t="shared" ca="1" si="418"/>
        <v>-55.893402352774096</v>
      </c>
      <c r="I915" s="357">
        <f t="shared" ca="1" si="419"/>
        <v>56.114936871490784</v>
      </c>
      <c r="J915" s="359">
        <f t="shared" ca="1" si="420"/>
        <v>184.26379383972827</v>
      </c>
      <c r="K915" s="360">
        <f t="shared" ca="1" si="421"/>
        <v>-8.1089023077392994</v>
      </c>
      <c r="L915" s="357">
        <f t="shared" ca="1" si="406"/>
        <v>184.4421318919469</v>
      </c>
      <c r="M915" s="359">
        <f t="shared" ca="1" si="422"/>
        <v>-1.4819090823061249</v>
      </c>
      <c r="N915" s="357">
        <f t="shared" ca="1" si="423"/>
        <v>-84.907136038245895</v>
      </c>
      <c r="O915" s="343"/>
      <c r="P915" s="363">
        <f t="shared" ca="1" si="424"/>
        <v>23</v>
      </c>
      <c r="Q915" s="357">
        <f t="shared" ca="1" si="425"/>
        <v>0</v>
      </c>
      <c r="R915" s="359">
        <f t="shared" ca="1" si="426"/>
        <v>0</v>
      </c>
      <c r="S915" s="360">
        <f t="shared" ca="1" si="427"/>
        <v>0.42898953648292248</v>
      </c>
      <c r="T915" s="357">
        <f t="shared" ca="1" si="407"/>
        <v>4.2083873528974696</v>
      </c>
      <c r="U915" s="364">
        <f t="shared" ca="1" si="408"/>
        <v>0</v>
      </c>
      <c r="V915" s="359">
        <f t="shared" ca="1" si="409"/>
        <v>1.2259937434411226</v>
      </c>
      <c r="W915" s="357">
        <f t="shared" ca="1" si="410"/>
        <v>3.4030157316513359</v>
      </c>
      <c r="X915" s="343"/>
      <c r="Y915" s="367" t="str">
        <f t="shared" ca="1" si="428"/>
        <v/>
      </c>
      <c r="Z915" s="368" t="str">
        <f t="shared" ca="1" si="429"/>
        <v/>
      </c>
      <c r="AA915" s="369" t="str">
        <f t="shared" ca="1" si="430"/>
        <v/>
      </c>
      <c r="AB915" s="344"/>
      <c r="AC915" s="363" t="e">
        <f t="shared" ca="1" si="431"/>
        <v>#N/A</v>
      </c>
      <c r="AD915" s="376" t="e">
        <f t="shared" ca="1" si="432"/>
        <v>#N/A</v>
      </c>
      <c r="AE915" s="377" t="e">
        <f t="shared" ca="1" si="411"/>
        <v>#N/A</v>
      </c>
      <c r="AF915" s="344"/>
      <c r="AG915" s="359">
        <f t="shared" ca="1" si="433"/>
        <v>1.8386953714913181</v>
      </c>
      <c r="AH915" s="357">
        <f t="shared" ca="1" si="434"/>
        <v>-7.9325746648429414</v>
      </c>
    </row>
    <row r="916" spans="1:34">
      <c r="A916" s="402">
        <f t="shared" ca="1" si="412"/>
        <v>1E-4</v>
      </c>
      <c r="B916" s="357">
        <f t="shared" ca="1" si="413"/>
        <v>16.956299999999842</v>
      </c>
      <c r="C916" s="342"/>
      <c r="D916" s="359">
        <f t="shared" ca="1" si="414"/>
        <v>-0.70418158011072107</v>
      </c>
      <c r="E916" s="360">
        <f t="shared" ca="1" si="415"/>
        <v>-1.9086859187210994</v>
      </c>
      <c r="F916" s="357">
        <f t="shared" ca="1" si="416"/>
        <v>2.0344418482943767</v>
      </c>
      <c r="G916" s="359">
        <f t="shared" ca="1" si="417"/>
        <v>4.9812661015225386</v>
      </c>
      <c r="H916" s="360">
        <f t="shared" ca="1" si="418"/>
        <v>-55.893593221365968</v>
      </c>
      <c r="I916" s="357">
        <f t="shared" ca="1" si="419"/>
        <v>56.115120735588775</v>
      </c>
      <c r="J916" s="359">
        <f t="shared" ca="1" si="420"/>
        <v>184.26379383972827</v>
      </c>
      <c r="K916" s="360">
        <f t="shared" ca="1" si="421"/>
        <v>-8.1144916575180073</v>
      </c>
      <c r="L916" s="357">
        <f t="shared" ca="1" si="406"/>
        <v>184.44237770932637</v>
      </c>
      <c r="M916" s="359">
        <f t="shared" ca="1" si="422"/>
        <v>-1.4819106341803105</v>
      </c>
      <c r="N916" s="357">
        <f t="shared" ca="1" si="423"/>
        <v>-84.90722495408707</v>
      </c>
      <c r="O916" s="343"/>
      <c r="P916" s="363">
        <f t="shared" ca="1" si="424"/>
        <v>23</v>
      </c>
      <c r="Q916" s="357">
        <f t="shared" ca="1" si="425"/>
        <v>0</v>
      </c>
      <c r="R916" s="359">
        <f t="shared" ca="1" si="426"/>
        <v>0</v>
      </c>
      <c r="S916" s="360">
        <f t="shared" ca="1" si="427"/>
        <v>0.42898953648292248</v>
      </c>
      <c r="T916" s="357">
        <f t="shared" ca="1" si="407"/>
        <v>4.2083873528974696</v>
      </c>
      <c r="U916" s="364">
        <f t="shared" ca="1" si="408"/>
        <v>0</v>
      </c>
      <c r="V916" s="359">
        <f t="shared" ca="1" si="409"/>
        <v>1.2259944286922122</v>
      </c>
      <c r="W916" s="357">
        <f t="shared" ca="1" si="410"/>
        <v>3.4030399341531856</v>
      </c>
      <c r="X916" s="343"/>
      <c r="Y916" s="367" t="str">
        <f t="shared" ca="1" si="428"/>
        <v/>
      </c>
      <c r="Z916" s="368" t="str">
        <f t="shared" ca="1" si="429"/>
        <v/>
      </c>
      <c r="AA916" s="369" t="str">
        <f t="shared" ca="1" si="430"/>
        <v/>
      </c>
      <c r="AB916" s="344"/>
      <c r="AC916" s="363" t="e">
        <f t="shared" ca="1" si="431"/>
        <v>#N/A</v>
      </c>
      <c r="AD916" s="376" t="e">
        <f t="shared" ca="1" si="432"/>
        <v>#N/A</v>
      </c>
      <c r="AE916" s="377" t="e">
        <f t="shared" ca="1" si="411"/>
        <v>#N/A</v>
      </c>
      <c r="AF916" s="344"/>
      <c r="AG916" s="359">
        <f t="shared" ca="1" si="433"/>
        <v>1.8386403041839454</v>
      </c>
      <c r="AH916" s="357">
        <f t="shared" ca="1" si="434"/>
        <v>-7.9326310836180625</v>
      </c>
    </row>
    <row r="917" spans="1:34">
      <c r="A917" s="402">
        <f t="shared" ca="1" si="412"/>
        <v>1E-4</v>
      </c>
      <c r="B917" s="357">
        <f t="shared" ca="1" si="413"/>
        <v>16.956399999999842</v>
      </c>
      <c r="C917" s="342"/>
      <c r="D917" s="359">
        <f t="shared" ca="1" si="414"/>
        <v>-0.70417432636926169</v>
      </c>
      <c r="E917" s="360">
        <f t="shared" ca="1" si="415"/>
        <v>-1.9086286311862057</v>
      </c>
      <c r="F917" s="357">
        <f t="shared" ca="1" si="416"/>
        <v>2.0343855912047086</v>
      </c>
      <c r="G917" s="359">
        <f t="shared" ca="1" si="417"/>
        <v>4.9811956840899017</v>
      </c>
      <c r="H917" s="360">
        <f t="shared" ca="1" si="418"/>
        <v>-55.89378408422909</v>
      </c>
      <c r="I917" s="357">
        <f t="shared" ca="1" si="419"/>
        <v>56.115304594180159</v>
      </c>
      <c r="J917" s="359">
        <f t="shared" ca="1" si="420"/>
        <v>184.26379383972827</v>
      </c>
      <c r="K917" s="360">
        <f t="shared" ca="1" si="421"/>
        <v>-8.1200810263832874</v>
      </c>
      <c r="L917" s="357">
        <f t="shared" ca="1" si="406"/>
        <v>184.44262369659816</v>
      </c>
      <c r="M917" s="359">
        <f t="shared" ca="1" si="422"/>
        <v>-1.4819121860223889</v>
      </c>
      <c r="N917" s="357">
        <f t="shared" ca="1" si="423"/>
        <v>-84.907313868088636</v>
      </c>
      <c r="O917" s="343"/>
      <c r="P917" s="363">
        <f t="shared" ca="1" si="424"/>
        <v>23</v>
      </c>
      <c r="Q917" s="357">
        <f t="shared" ca="1" si="425"/>
        <v>0</v>
      </c>
      <c r="R917" s="359">
        <f t="shared" ca="1" si="426"/>
        <v>0</v>
      </c>
      <c r="S917" s="360">
        <f t="shared" ca="1" si="427"/>
        <v>0.42898953648292248</v>
      </c>
      <c r="T917" s="357">
        <f t="shared" ca="1" si="407"/>
        <v>4.2083873528974696</v>
      </c>
      <c r="U917" s="364">
        <f t="shared" ca="1" si="408"/>
        <v>0</v>
      </c>
      <c r="V917" s="359">
        <f t="shared" ca="1" si="409"/>
        <v>1.2259951139460257</v>
      </c>
      <c r="W917" s="357">
        <f t="shared" ca="1" si="410"/>
        <v>3.4030641360927061</v>
      </c>
      <c r="X917" s="343"/>
      <c r="Y917" s="367" t="str">
        <f t="shared" ca="1" si="428"/>
        <v/>
      </c>
      <c r="Z917" s="368" t="str">
        <f t="shared" ca="1" si="429"/>
        <v/>
      </c>
      <c r="AA917" s="369" t="str">
        <f t="shared" ca="1" si="430"/>
        <v/>
      </c>
      <c r="AB917" s="344"/>
      <c r="AC917" s="363" t="e">
        <f t="shared" ca="1" si="431"/>
        <v>#N/A</v>
      </c>
      <c r="AD917" s="376" t="e">
        <f t="shared" ca="1" si="432"/>
        <v>#N/A</v>
      </c>
      <c r="AE917" s="377" t="e">
        <f t="shared" ca="1" si="411"/>
        <v>#N/A</v>
      </c>
      <c r="AF917" s="344"/>
      <c r="AG917" s="359">
        <f t="shared" ca="1" si="433"/>
        <v>1.8385852381359236</v>
      </c>
      <c r="AH917" s="357">
        <f t="shared" ca="1" si="434"/>
        <v>-7.9326875010823397</v>
      </c>
    </row>
    <row r="918" spans="1:34">
      <c r="A918" s="402">
        <f t="shared" ca="1" si="412"/>
        <v>1E-4</v>
      </c>
      <c r="B918" s="357">
        <f t="shared" ca="1" si="413"/>
        <v>16.956499999999842</v>
      </c>
      <c r="C918" s="342"/>
      <c r="D918" s="359">
        <f t="shared" ca="1" si="414"/>
        <v>-0.70416707258902678</v>
      </c>
      <c r="E918" s="360">
        <f t="shared" ca="1" si="415"/>
        <v>-1.9085713449830557</v>
      </c>
      <c r="F918" s="357">
        <f t="shared" ca="1" si="416"/>
        <v>2.0343293354344154</v>
      </c>
      <c r="G918" s="359">
        <f t="shared" ca="1" si="417"/>
        <v>4.9811252673826427</v>
      </c>
      <c r="H918" s="360">
        <f t="shared" ca="1" si="418"/>
        <v>-55.893974941363588</v>
      </c>
      <c r="I918" s="357">
        <f t="shared" ca="1" si="419"/>
        <v>56.115488447265058</v>
      </c>
      <c r="J918" s="359">
        <f t="shared" ca="1" si="420"/>
        <v>184.26379383972827</v>
      </c>
      <c r="K918" s="360">
        <f t="shared" ca="1" si="421"/>
        <v>-8.1256704143345679</v>
      </c>
      <c r="L918" s="357">
        <f t="shared" ca="1" si="406"/>
        <v>184.44286985376331</v>
      </c>
      <c r="M918" s="359">
        <f t="shared" ca="1" si="422"/>
        <v>-1.4819137378323612</v>
      </c>
      <c r="N918" s="357">
        <f t="shared" ca="1" si="423"/>
        <v>-84.907402780250649</v>
      </c>
      <c r="O918" s="343"/>
      <c r="P918" s="363">
        <f t="shared" ca="1" si="424"/>
        <v>23</v>
      </c>
      <c r="Q918" s="357">
        <f t="shared" ca="1" si="425"/>
        <v>0</v>
      </c>
      <c r="R918" s="359">
        <f t="shared" ca="1" si="426"/>
        <v>0</v>
      </c>
      <c r="S918" s="360">
        <f t="shared" ca="1" si="427"/>
        <v>0.42898953648292248</v>
      </c>
      <c r="T918" s="357">
        <f t="shared" ca="1" si="407"/>
        <v>4.2083873528974696</v>
      </c>
      <c r="U918" s="364">
        <f t="shared" ca="1" si="408"/>
        <v>0</v>
      </c>
      <c r="V918" s="359">
        <f t="shared" ca="1" si="409"/>
        <v>1.2259957992025621</v>
      </c>
      <c r="W918" s="357">
        <f t="shared" ca="1" si="410"/>
        <v>3.403088337469903</v>
      </c>
      <c r="X918" s="343"/>
      <c r="Y918" s="367" t="str">
        <f t="shared" ca="1" si="428"/>
        <v/>
      </c>
      <c r="Z918" s="368" t="str">
        <f t="shared" ca="1" si="429"/>
        <v/>
      </c>
      <c r="AA918" s="369" t="str">
        <f t="shared" ca="1" si="430"/>
        <v/>
      </c>
      <c r="AB918" s="344"/>
      <c r="AC918" s="363" t="e">
        <f t="shared" ca="1" si="431"/>
        <v>#N/A</v>
      </c>
      <c r="AD918" s="376" t="e">
        <f t="shared" ca="1" si="432"/>
        <v>#N/A</v>
      </c>
      <c r="AE918" s="377" t="e">
        <f t="shared" ca="1" si="411"/>
        <v>#N/A</v>
      </c>
      <c r="AF918" s="344"/>
      <c r="AG918" s="359">
        <f t="shared" ca="1" si="433"/>
        <v>1.838530173347233</v>
      </c>
      <c r="AH918" s="357">
        <f t="shared" ca="1" si="434"/>
        <v>-7.9327439172357943</v>
      </c>
    </row>
    <row r="919" spans="1:34">
      <c r="A919" s="402">
        <f t="shared" ca="1" si="412"/>
        <v>1E-4</v>
      </c>
      <c r="B919" s="357">
        <f t="shared" ca="1" si="413"/>
        <v>16.956599999999842</v>
      </c>
      <c r="C919" s="342"/>
      <c r="D919" s="359">
        <f t="shared" ca="1" si="414"/>
        <v>-0.70415981877002032</v>
      </c>
      <c r="E919" s="360">
        <f t="shared" ca="1" si="415"/>
        <v>-1.9085140601116324</v>
      </c>
      <c r="F919" s="357">
        <f t="shared" ca="1" si="416"/>
        <v>2.0342730809834788</v>
      </c>
      <c r="G919" s="359">
        <f t="shared" ca="1" si="417"/>
        <v>4.9810548514007653</v>
      </c>
      <c r="H919" s="360">
        <f t="shared" ca="1" si="418"/>
        <v>-55.894165792769599</v>
      </c>
      <c r="I919" s="357">
        <f t="shared" ca="1" si="419"/>
        <v>56.115672294843606</v>
      </c>
      <c r="J919" s="359">
        <f t="shared" ca="1" si="420"/>
        <v>184.26379383972827</v>
      </c>
      <c r="K919" s="360">
        <f t="shared" ca="1" si="421"/>
        <v>-8.131259821371275</v>
      </c>
      <c r="L919" s="357">
        <f t="shared" ca="1" si="406"/>
        <v>184.4431161808229</v>
      </c>
      <c r="M919" s="359">
        <f t="shared" ca="1" si="422"/>
        <v>-1.4819152896102281</v>
      </c>
      <c r="N919" s="357">
        <f t="shared" ca="1" si="423"/>
        <v>-84.907491690573167</v>
      </c>
      <c r="O919" s="343"/>
      <c r="P919" s="363">
        <f t="shared" ca="1" si="424"/>
        <v>23</v>
      </c>
      <c r="Q919" s="357">
        <f t="shared" ca="1" si="425"/>
        <v>0</v>
      </c>
      <c r="R919" s="359">
        <f t="shared" ca="1" si="426"/>
        <v>0</v>
      </c>
      <c r="S919" s="360">
        <f t="shared" ca="1" si="427"/>
        <v>0.42898953648292248</v>
      </c>
      <c r="T919" s="357">
        <f t="shared" ca="1" si="407"/>
        <v>4.2083873528974696</v>
      </c>
      <c r="U919" s="364">
        <f t="shared" ca="1" si="408"/>
        <v>0</v>
      </c>
      <c r="V919" s="359">
        <f t="shared" ca="1" si="409"/>
        <v>1.2259964844618214</v>
      </c>
      <c r="W919" s="357">
        <f t="shared" ca="1" si="410"/>
        <v>3.4031125382847853</v>
      </c>
      <c r="X919" s="343"/>
      <c r="Y919" s="367" t="str">
        <f t="shared" ca="1" si="428"/>
        <v/>
      </c>
      <c r="Z919" s="368" t="str">
        <f t="shared" ca="1" si="429"/>
        <v/>
      </c>
      <c r="AA919" s="369" t="str">
        <f t="shared" ca="1" si="430"/>
        <v/>
      </c>
      <c r="AB919" s="344"/>
      <c r="AC919" s="363" t="e">
        <f t="shared" ca="1" si="431"/>
        <v>#N/A</v>
      </c>
      <c r="AD919" s="376" t="e">
        <f t="shared" ca="1" si="432"/>
        <v>#N/A</v>
      </c>
      <c r="AE919" s="377" t="e">
        <f t="shared" ca="1" si="411"/>
        <v>#N/A</v>
      </c>
      <c r="AF919" s="344"/>
      <c r="AG919" s="359">
        <f t="shared" ca="1" si="433"/>
        <v>1.8384751098178649</v>
      </c>
      <c r="AH919" s="357">
        <f t="shared" ca="1" si="434"/>
        <v>-7.9328003320784388</v>
      </c>
    </row>
    <row r="920" spans="1:34">
      <c r="A920" s="402">
        <f t="shared" ca="1" si="412"/>
        <v>1E-4</v>
      </c>
      <c r="B920" s="357">
        <f t="shared" ca="1" si="413"/>
        <v>16.956699999999842</v>
      </c>
      <c r="C920" s="342"/>
      <c r="D920" s="359">
        <f t="shared" ca="1" si="414"/>
        <v>-0.70415256491225064</v>
      </c>
      <c r="E920" s="360">
        <f t="shared" ca="1" si="415"/>
        <v>-1.908456776571918</v>
      </c>
      <c r="F920" s="357">
        <f t="shared" ca="1" si="416"/>
        <v>2.0342168278518828</v>
      </c>
      <c r="G920" s="359">
        <f t="shared" ca="1" si="417"/>
        <v>4.9809844361442739</v>
      </c>
      <c r="H920" s="360">
        <f t="shared" ca="1" si="418"/>
        <v>-55.894356638447256</v>
      </c>
      <c r="I920" s="357">
        <f t="shared" ca="1" si="419"/>
        <v>56.115856136915923</v>
      </c>
      <c r="J920" s="359">
        <f t="shared" ca="1" si="420"/>
        <v>184.26379383972827</v>
      </c>
      <c r="K920" s="360">
        <f t="shared" ca="1" si="421"/>
        <v>-8.1368492474928367</v>
      </c>
      <c r="L920" s="357">
        <f t="shared" ca="1" si="406"/>
        <v>184.44336267777788</v>
      </c>
      <c r="M920" s="359">
        <f t="shared" ca="1" si="422"/>
        <v>-1.4819168413559907</v>
      </c>
      <c r="N920" s="357">
        <f t="shared" ca="1" si="423"/>
        <v>-84.907580599056232</v>
      </c>
      <c r="O920" s="343"/>
      <c r="P920" s="363">
        <f t="shared" ca="1" si="424"/>
        <v>23</v>
      </c>
      <c r="Q920" s="357">
        <f t="shared" ca="1" si="425"/>
        <v>0</v>
      </c>
      <c r="R920" s="359">
        <f t="shared" ca="1" si="426"/>
        <v>0</v>
      </c>
      <c r="S920" s="360">
        <f t="shared" ca="1" si="427"/>
        <v>0.42898953648292248</v>
      </c>
      <c r="T920" s="357">
        <f t="shared" ca="1" si="407"/>
        <v>4.2083873528974696</v>
      </c>
      <c r="U920" s="364">
        <f t="shared" ca="1" si="408"/>
        <v>0</v>
      </c>
      <c r="V920" s="359">
        <f t="shared" ca="1" si="409"/>
        <v>1.2259971697238039</v>
      </c>
      <c r="W920" s="357">
        <f t="shared" ca="1" si="410"/>
        <v>3.403136738537361</v>
      </c>
      <c r="X920" s="343"/>
      <c r="Y920" s="367" t="str">
        <f t="shared" ca="1" si="428"/>
        <v/>
      </c>
      <c r="Z920" s="368" t="str">
        <f t="shared" ca="1" si="429"/>
        <v/>
      </c>
      <c r="AA920" s="369" t="str">
        <f t="shared" ca="1" si="430"/>
        <v/>
      </c>
      <c r="AB920" s="344"/>
      <c r="AC920" s="363" t="e">
        <f t="shared" ca="1" si="431"/>
        <v>#N/A</v>
      </c>
      <c r="AD920" s="376" t="e">
        <f t="shared" ca="1" si="432"/>
        <v>#N/A</v>
      </c>
      <c r="AE920" s="377" t="e">
        <f t="shared" ca="1" si="411"/>
        <v>#N/A</v>
      </c>
      <c r="AF920" s="344"/>
      <c r="AG920" s="359">
        <f t="shared" ca="1" si="433"/>
        <v>1.8384200475477979</v>
      </c>
      <c r="AH920" s="357">
        <f t="shared" ca="1" si="434"/>
        <v>-7.9328567456102945</v>
      </c>
    </row>
    <row r="921" spans="1:34">
      <c r="A921" s="402">
        <f t="shared" ca="1" si="412"/>
        <v>1E-4</v>
      </c>
      <c r="B921" s="357">
        <f t="shared" ca="1" si="413"/>
        <v>16.956799999999841</v>
      </c>
      <c r="C921" s="342"/>
      <c r="D921" s="359">
        <f t="shared" ca="1" si="414"/>
        <v>-0.70414531101572231</v>
      </c>
      <c r="E921" s="360">
        <f t="shared" ca="1" si="415"/>
        <v>-1.9083994943638904</v>
      </c>
      <c r="F921" s="357">
        <f t="shared" ca="1" si="416"/>
        <v>2.0341605760396058</v>
      </c>
      <c r="G921" s="359">
        <f t="shared" ca="1" si="417"/>
        <v>4.980914021613172</v>
      </c>
      <c r="H921" s="360">
        <f t="shared" ca="1" si="418"/>
        <v>-55.894547478396696</v>
      </c>
      <c r="I921" s="357">
        <f t="shared" ca="1" si="419"/>
        <v>56.116039973482138</v>
      </c>
      <c r="J921" s="359">
        <f t="shared" ca="1" si="420"/>
        <v>184.26379383972827</v>
      </c>
      <c r="K921" s="360">
        <f t="shared" ca="1" si="421"/>
        <v>-8.1424386926986791</v>
      </c>
      <c r="L921" s="357">
        <f t="shared" ca="1" si="406"/>
        <v>184.44360934462935</v>
      </c>
      <c r="M921" s="359">
        <f t="shared" ca="1" si="422"/>
        <v>-1.4819183930696496</v>
      </c>
      <c r="N921" s="357">
        <f t="shared" ca="1" si="423"/>
        <v>-84.9076695056999</v>
      </c>
      <c r="O921" s="343"/>
      <c r="P921" s="363">
        <f t="shared" ca="1" si="424"/>
        <v>23</v>
      </c>
      <c r="Q921" s="357">
        <f t="shared" ca="1" si="425"/>
        <v>0</v>
      </c>
      <c r="R921" s="359">
        <f t="shared" ca="1" si="426"/>
        <v>0</v>
      </c>
      <c r="S921" s="360">
        <f t="shared" ca="1" si="427"/>
        <v>0.42898953648292248</v>
      </c>
      <c r="T921" s="357">
        <f t="shared" ca="1" si="407"/>
        <v>4.2083873528974696</v>
      </c>
      <c r="U921" s="364">
        <f t="shared" ca="1" si="408"/>
        <v>0</v>
      </c>
      <c r="V921" s="359">
        <f t="shared" ca="1" si="409"/>
        <v>1.2259978549885091</v>
      </c>
      <c r="W921" s="357">
        <f t="shared" ca="1" si="410"/>
        <v>3.4031609382276367</v>
      </c>
      <c r="X921" s="343"/>
      <c r="Y921" s="367" t="str">
        <f t="shared" ca="1" si="428"/>
        <v/>
      </c>
      <c r="Z921" s="368" t="str">
        <f t="shared" ca="1" si="429"/>
        <v/>
      </c>
      <c r="AA921" s="369" t="str">
        <f t="shared" ca="1" si="430"/>
        <v/>
      </c>
      <c r="AB921" s="344"/>
      <c r="AC921" s="363" t="e">
        <f t="shared" ca="1" si="431"/>
        <v>#N/A</v>
      </c>
      <c r="AD921" s="376" t="e">
        <f t="shared" ca="1" si="432"/>
        <v>#N/A</v>
      </c>
      <c r="AE921" s="377" t="e">
        <f t="shared" ca="1" si="411"/>
        <v>#N/A</v>
      </c>
      <c r="AF921" s="344"/>
      <c r="AG921" s="359">
        <f t="shared" ca="1" si="433"/>
        <v>1.8383649865370142</v>
      </c>
      <c r="AH921" s="357">
        <f t="shared" ca="1" si="434"/>
        <v>-7.932913157831381</v>
      </c>
    </row>
    <row r="922" spans="1:34">
      <c r="A922" s="402">
        <f t="shared" ca="1" si="412"/>
        <v>1E-4</v>
      </c>
      <c r="B922" s="357">
        <f t="shared" ca="1" si="413"/>
        <v>16.956899999999841</v>
      </c>
      <c r="C922" s="342"/>
      <c r="D922" s="359">
        <f t="shared" ca="1" si="414"/>
        <v>-0.70413805708044286</v>
      </c>
      <c r="E922" s="360">
        <f t="shared" ca="1" si="415"/>
        <v>-1.9083422134875372</v>
      </c>
      <c r="F922" s="357">
        <f t="shared" ca="1" si="416"/>
        <v>2.034104325546636</v>
      </c>
      <c r="G922" s="359">
        <f t="shared" ca="1" si="417"/>
        <v>4.980843607807464</v>
      </c>
      <c r="H922" s="360">
        <f t="shared" ca="1" si="418"/>
        <v>-55.894738312618045</v>
      </c>
      <c r="I922" s="357">
        <f t="shared" ca="1" si="419"/>
        <v>56.116223804542372</v>
      </c>
      <c r="J922" s="359">
        <f t="shared" ca="1" si="420"/>
        <v>184.26379383972827</v>
      </c>
      <c r="K922" s="360">
        <f t="shared" ca="1" si="421"/>
        <v>-8.1480281569882305</v>
      </c>
      <c r="L922" s="357">
        <f t="shared" ca="1" si="406"/>
        <v>184.44385618137829</v>
      </c>
      <c r="M922" s="359">
        <f t="shared" ca="1" si="422"/>
        <v>-1.4819199447512059</v>
      </c>
      <c r="N922" s="357">
        <f t="shared" ca="1" si="423"/>
        <v>-84.907758410504229</v>
      </c>
      <c r="O922" s="343"/>
      <c r="P922" s="363">
        <f t="shared" ca="1" si="424"/>
        <v>23</v>
      </c>
      <c r="Q922" s="357">
        <f t="shared" ca="1" si="425"/>
        <v>0</v>
      </c>
      <c r="R922" s="359">
        <f t="shared" ca="1" si="426"/>
        <v>0</v>
      </c>
      <c r="S922" s="360">
        <f t="shared" ca="1" si="427"/>
        <v>0.42898953648292248</v>
      </c>
      <c r="T922" s="357">
        <f t="shared" ca="1" si="407"/>
        <v>4.2083873528974696</v>
      </c>
      <c r="U922" s="364">
        <f t="shared" ca="1" si="408"/>
        <v>0</v>
      </c>
      <c r="V922" s="359">
        <f t="shared" ca="1" si="409"/>
        <v>1.2259985402559372</v>
      </c>
      <c r="W922" s="357">
        <f t="shared" ca="1" si="410"/>
        <v>3.4031851373556194</v>
      </c>
      <c r="X922" s="343"/>
      <c r="Y922" s="367" t="str">
        <f t="shared" ca="1" si="428"/>
        <v/>
      </c>
      <c r="Z922" s="368" t="str">
        <f t="shared" ca="1" si="429"/>
        <v/>
      </c>
      <c r="AA922" s="369" t="str">
        <f t="shared" ca="1" si="430"/>
        <v/>
      </c>
      <c r="AB922" s="344"/>
      <c r="AC922" s="363" t="e">
        <f t="shared" ca="1" si="431"/>
        <v>#N/A</v>
      </c>
      <c r="AD922" s="376" t="e">
        <f t="shared" ca="1" si="432"/>
        <v>#N/A</v>
      </c>
      <c r="AE922" s="377" t="e">
        <f t="shared" ca="1" si="411"/>
        <v>#N/A</v>
      </c>
      <c r="AF922" s="344"/>
      <c r="AG922" s="359">
        <f t="shared" ca="1" si="433"/>
        <v>1.8383099267855014</v>
      </c>
      <c r="AH922" s="357">
        <f t="shared" ca="1" si="434"/>
        <v>-7.9329695687417123</v>
      </c>
    </row>
    <row r="923" spans="1:34">
      <c r="A923" s="402">
        <f t="shared" ca="1" si="412"/>
        <v>1E-4</v>
      </c>
      <c r="B923" s="357">
        <f t="shared" ca="1" si="413"/>
        <v>16.956999999999841</v>
      </c>
      <c r="C923" s="342"/>
      <c r="D923" s="359">
        <f t="shared" ca="1" si="414"/>
        <v>-0.70413080310641651</v>
      </c>
      <c r="E923" s="360">
        <f t="shared" ca="1" si="415"/>
        <v>-1.9082849339428387</v>
      </c>
      <c r="F923" s="357">
        <f t="shared" ca="1" si="416"/>
        <v>2.0340480763729532</v>
      </c>
      <c r="G923" s="359">
        <f t="shared" ca="1" si="417"/>
        <v>4.9807731947271536</v>
      </c>
      <c r="H923" s="360">
        <f t="shared" ca="1" si="418"/>
        <v>-55.89492914111144</v>
      </c>
      <c r="I923" s="357">
        <f t="shared" ca="1" si="419"/>
        <v>56.116407630096752</v>
      </c>
      <c r="J923" s="359">
        <f t="shared" ca="1" si="420"/>
        <v>184.26379383972827</v>
      </c>
      <c r="K923" s="360">
        <f t="shared" ca="1" si="421"/>
        <v>-8.1536176403609169</v>
      </c>
      <c r="L923" s="357">
        <f t="shared" ca="1" si="406"/>
        <v>184.44410318802574</v>
      </c>
      <c r="M923" s="359">
        <f t="shared" ca="1" si="422"/>
        <v>-1.4819214964006606</v>
      </c>
      <c r="N923" s="357">
        <f t="shared" ca="1" si="423"/>
        <v>-84.907847313469276</v>
      </c>
      <c r="O923" s="343"/>
      <c r="P923" s="363">
        <f t="shared" ca="1" si="424"/>
        <v>23</v>
      </c>
      <c r="Q923" s="357">
        <f t="shared" ca="1" si="425"/>
        <v>0</v>
      </c>
      <c r="R923" s="359">
        <f t="shared" ca="1" si="426"/>
        <v>0</v>
      </c>
      <c r="S923" s="360">
        <f t="shared" ca="1" si="427"/>
        <v>0.42898953648292248</v>
      </c>
      <c r="T923" s="357">
        <f t="shared" ca="1" si="407"/>
        <v>4.2083873528974696</v>
      </c>
      <c r="U923" s="364">
        <f t="shared" ca="1" si="408"/>
        <v>0</v>
      </c>
      <c r="V923" s="359">
        <f t="shared" ca="1" si="409"/>
        <v>1.2259992255260881</v>
      </c>
      <c r="W923" s="357">
        <f t="shared" ca="1" si="410"/>
        <v>3.4032093359213182</v>
      </c>
      <c r="X923" s="343"/>
      <c r="Y923" s="367" t="str">
        <f t="shared" ca="1" si="428"/>
        <v/>
      </c>
      <c r="Z923" s="368" t="str">
        <f t="shared" ca="1" si="429"/>
        <v/>
      </c>
      <c r="AA923" s="369" t="str">
        <f t="shared" ca="1" si="430"/>
        <v/>
      </c>
      <c r="AB923" s="344"/>
      <c r="AC923" s="363" t="e">
        <f t="shared" ca="1" si="431"/>
        <v>#N/A</v>
      </c>
      <c r="AD923" s="376" t="e">
        <f t="shared" ca="1" si="432"/>
        <v>#N/A</v>
      </c>
      <c r="AE923" s="377" t="e">
        <f t="shared" ca="1" si="411"/>
        <v>#N/A</v>
      </c>
      <c r="AF923" s="344"/>
      <c r="AG923" s="359">
        <f t="shared" ca="1" si="433"/>
        <v>1.8382548682932498</v>
      </c>
      <c r="AH923" s="357">
        <f t="shared" ca="1" si="434"/>
        <v>-7.9330259783413055</v>
      </c>
    </row>
    <row r="924" spans="1:34">
      <c r="A924" s="402">
        <f t="shared" ca="1" si="412"/>
        <v>1E-4</v>
      </c>
      <c r="B924" s="357">
        <f t="shared" ca="1" si="413"/>
        <v>16.957099999999841</v>
      </c>
      <c r="C924" s="342"/>
      <c r="D924" s="359">
        <f t="shared" ca="1" si="414"/>
        <v>-0.70412354909364983</v>
      </c>
      <c r="E924" s="360">
        <f t="shared" ca="1" si="415"/>
        <v>-1.9082276557297746</v>
      </c>
      <c r="F924" s="357">
        <f t="shared" ca="1" si="416"/>
        <v>2.0339918285185385</v>
      </c>
      <c r="G924" s="359">
        <f t="shared" ca="1" si="417"/>
        <v>4.9807027823722443</v>
      </c>
      <c r="H924" s="360">
        <f t="shared" ca="1" si="418"/>
        <v>-55.895119963877015</v>
      </c>
      <c r="I924" s="357">
        <f t="shared" ca="1" si="419"/>
        <v>56.116591450145414</v>
      </c>
      <c r="J924" s="359">
        <f t="shared" ca="1" si="420"/>
        <v>184.26379383972827</v>
      </c>
      <c r="K924" s="360">
        <f t="shared" ca="1" si="421"/>
        <v>-8.1592071428161663</v>
      </c>
      <c r="L924" s="357">
        <f t="shared" ca="1" si="406"/>
        <v>184.44435036457273</v>
      </c>
      <c r="M924" s="359">
        <f t="shared" ca="1" si="422"/>
        <v>-1.4819230480180146</v>
      </c>
      <c r="N924" s="357">
        <f t="shared" ca="1" si="423"/>
        <v>-84.907936214595068</v>
      </c>
      <c r="O924" s="343"/>
      <c r="P924" s="363">
        <f t="shared" ca="1" si="424"/>
        <v>23</v>
      </c>
      <c r="Q924" s="357">
        <f t="shared" ca="1" si="425"/>
        <v>0</v>
      </c>
      <c r="R924" s="359">
        <f t="shared" ca="1" si="426"/>
        <v>0</v>
      </c>
      <c r="S924" s="360">
        <f t="shared" ca="1" si="427"/>
        <v>0.42898953648292248</v>
      </c>
      <c r="T924" s="357">
        <f t="shared" ca="1" si="407"/>
        <v>4.2083873528974696</v>
      </c>
      <c r="U924" s="364">
        <f t="shared" ca="1" si="408"/>
        <v>0</v>
      </c>
      <c r="V924" s="359">
        <f t="shared" ca="1" si="409"/>
        <v>1.2259999107989619</v>
      </c>
      <c r="W924" s="357">
        <f t="shared" ca="1" si="410"/>
        <v>3.4032335339247415</v>
      </c>
      <c r="X924" s="343"/>
      <c r="Y924" s="367" t="str">
        <f t="shared" ca="1" si="428"/>
        <v/>
      </c>
      <c r="Z924" s="368" t="str">
        <f t="shared" ca="1" si="429"/>
        <v/>
      </c>
      <c r="AA924" s="369" t="str">
        <f t="shared" ca="1" si="430"/>
        <v/>
      </c>
      <c r="AB924" s="344"/>
      <c r="AC924" s="363" t="e">
        <f t="shared" ca="1" si="431"/>
        <v>#N/A</v>
      </c>
      <c r="AD924" s="376" t="e">
        <f t="shared" ca="1" si="432"/>
        <v>#N/A</v>
      </c>
      <c r="AE924" s="377" t="e">
        <f t="shared" ca="1" si="411"/>
        <v>#N/A</v>
      </c>
      <c r="AF924" s="344"/>
      <c r="AG924" s="359">
        <f t="shared" ca="1" si="433"/>
        <v>1.838199811060238</v>
      </c>
      <c r="AH924" s="357">
        <f t="shared" ca="1" si="434"/>
        <v>-7.9330823866301818</v>
      </c>
    </row>
    <row r="925" spans="1:34">
      <c r="A925" s="402">
        <f t="shared" ca="1" si="412"/>
        <v>1E-4</v>
      </c>
      <c r="B925" s="357">
        <f t="shared" ca="1" si="413"/>
        <v>16.95719999999984</v>
      </c>
      <c r="C925" s="342"/>
      <c r="D925" s="359">
        <f t="shared" ca="1" si="414"/>
        <v>-0.70411629504214912</v>
      </c>
      <c r="E925" s="360">
        <f t="shared" ca="1" si="415"/>
        <v>-1.9081703788483253</v>
      </c>
      <c r="F925" s="357">
        <f t="shared" ca="1" si="416"/>
        <v>2.0339355819833735</v>
      </c>
      <c r="G925" s="359">
        <f t="shared" ca="1" si="417"/>
        <v>4.9806323707427405</v>
      </c>
      <c r="H925" s="360">
        <f t="shared" ca="1" si="418"/>
        <v>-55.895310780914897</v>
      </c>
      <c r="I925" s="357">
        <f t="shared" ca="1" si="419"/>
        <v>56.116775264688471</v>
      </c>
      <c r="J925" s="359">
        <f t="shared" ca="1" si="420"/>
        <v>184.26379383972827</v>
      </c>
      <c r="K925" s="360">
        <f t="shared" ca="1" si="421"/>
        <v>-8.1647966643534051</v>
      </c>
      <c r="L925" s="357">
        <f t="shared" ca="1" si="406"/>
        <v>184.44459771102032</v>
      </c>
      <c r="M925" s="359">
        <f t="shared" ca="1" si="422"/>
        <v>-1.4819245996032686</v>
      </c>
      <c r="N925" s="357">
        <f t="shared" ca="1" si="423"/>
        <v>-84.908025113881678</v>
      </c>
      <c r="O925" s="343"/>
      <c r="P925" s="363">
        <f t="shared" ca="1" si="424"/>
        <v>23</v>
      </c>
      <c r="Q925" s="357">
        <f t="shared" ca="1" si="425"/>
        <v>0</v>
      </c>
      <c r="R925" s="359">
        <f t="shared" ca="1" si="426"/>
        <v>0</v>
      </c>
      <c r="S925" s="360">
        <f t="shared" ca="1" si="427"/>
        <v>0.42898953648292248</v>
      </c>
      <c r="T925" s="357">
        <f t="shared" ca="1" si="407"/>
        <v>4.2083873528974696</v>
      </c>
      <c r="U925" s="364">
        <f t="shared" ca="1" si="408"/>
        <v>0</v>
      </c>
      <c r="V925" s="359">
        <f t="shared" ca="1" si="409"/>
        <v>1.2260005960745581</v>
      </c>
      <c r="W925" s="357">
        <f t="shared" ca="1" si="410"/>
        <v>3.4032577313658954</v>
      </c>
      <c r="X925" s="343"/>
      <c r="Y925" s="367" t="str">
        <f t="shared" ca="1" si="428"/>
        <v/>
      </c>
      <c r="Z925" s="368" t="str">
        <f t="shared" ca="1" si="429"/>
        <v/>
      </c>
      <c r="AA925" s="369" t="str">
        <f t="shared" ca="1" si="430"/>
        <v/>
      </c>
      <c r="AB925" s="344"/>
      <c r="AC925" s="363" t="e">
        <f t="shared" ca="1" si="431"/>
        <v>#N/A</v>
      </c>
      <c r="AD925" s="376" t="e">
        <f t="shared" ca="1" si="432"/>
        <v>#N/A</v>
      </c>
      <c r="AE925" s="377" t="e">
        <f t="shared" ca="1" si="411"/>
        <v>#N/A</v>
      </c>
      <c r="AF925" s="344"/>
      <c r="AG925" s="359">
        <f t="shared" ca="1" si="433"/>
        <v>1.8381447550864447</v>
      </c>
      <c r="AH925" s="357">
        <f t="shared" ca="1" si="434"/>
        <v>-7.9331387936083608</v>
      </c>
    </row>
    <row r="926" spans="1:34">
      <c r="A926" s="402">
        <f t="shared" ca="1" si="412"/>
        <v>1E-4</v>
      </c>
      <c r="B926" s="357">
        <f t="shared" ca="1" si="413"/>
        <v>16.95729999999984</v>
      </c>
      <c r="C926" s="342"/>
      <c r="D926" s="359">
        <f t="shared" ca="1" si="414"/>
        <v>-0.70410904095192006</v>
      </c>
      <c r="E926" s="360">
        <f t="shared" ca="1" si="415"/>
        <v>-1.9081131032984757</v>
      </c>
      <c r="F926" s="357">
        <f t="shared" ca="1" si="416"/>
        <v>2.0338793367674426</v>
      </c>
      <c r="G926" s="359">
        <f t="shared" ca="1" si="417"/>
        <v>4.9805619598386457</v>
      </c>
      <c r="H926" s="360">
        <f t="shared" ca="1" si="418"/>
        <v>-55.89550159222523</v>
      </c>
      <c r="I926" s="357">
        <f t="shared" ca="1" si="419"/>
        <v>56.116959073726051</v>
      </c>
      <c r="J926" s="359">
        <f t="shared" ca="1" si="420"/>
        <v>184.26379383972827</v>
      </c>
      <c r="K926" s="360">
        <f t="shared" ca="1" si="421"/>
        <v>-8.1703862049720613</v>
      </c>
      <c r="L926" s="357">
        <f t="shared" ca="1" si="406"/>
        <v>184.44484522736948</v>
      </c>
      <c r="M926" s="359">
        <f t="shared" ca="1" si="422"/>
        <v>-1.4819261511564239</v>
      </c>
      <c r="N926" s="357">
        <f t="shared" ca="1" si="423"/>
        <v>-84.908114011329175</v>
      </c>
      <c r="O926" s="343"/>
      <c r="P926" s="363">
        <f t="shared" ca="1" si="424"/>
        <v>23</v>
      </c>
      <c r="Q926" s="357">
        <f t="shared" ca="1" si="425"/>
        <v>0</v>
      </c>
      <c r="R926" s="359">
        <f t="shared" ca="1" si="426"/>
        <v>0</v>
      </c>
      <c r="S926" s="360">
        <f t="shared" ca="1" si="427"/>
        <v>0.42898953648292248</v>
      </c>
      <c r="T926" s="357">
        <f t="shared" ca="1" si="407"/>
        <v>4.2083873528974696</v>
      </c>
      <c r="U926" s="364">
        <f t="shared" ca="1" si="408"/>
        <v>0</v>
      </c>
      <c r="V926" s="359">
        <f t="shared" ca="1" si="409"/>
        <v>1.2260012813528769</v>
      </c>
      <c r="W926" s="357">
        <f t="shared" ca="1" si="410"/>
        <v>3.4032819282447866</v>
      </c>
      <c r="X926" s="343"/>
      <c r="Y926" s="367" t="str">
        <f t="shared" ca="1" si="428"/>
        <v/>
      </c>
      <c r="Z926" s="368" t="str">
        <f t="shared" ca="1" si="429"/>
        <v/>
      </c>
      <c r="AA926" s="369" t="str">
        <f t="shared" ca="1" si="430"/>
        <v/>
      </c>
      <c r="AB926" s="344"/>
      <c r="AC926" s="363" t="e">
        <f t="shared" ca="1" si="431"/>
        <v>#N/A</v>
      </c>
      <c r="AD926" s="376" t="e">
        <f t="shared" ca="1" si="432"/>
        <v>#N/A</v>
      </c>
      <c r="AE926" s="377" t="e">
        <f t="shared" ca="1" si="411"/>
        <v>#N/A</v>
      </c>
      <c r="AF926" s="344"/>
      <c r="AG926" s="359">
        <f t="shared" ca="1" si="433"/>
        <v>1.8380897003718655</v>
      </c>
      <c r="AH926" s="357">
        <f t="shared" ca="1" si="434"/>
        <v>-7.9331951992758558</v>
      </c>
    </row>
    <row r="927" spans="1:34">
      <c r="A927" s="402">
        <f t="shared" ca="1" si="412"/>
        <v>1E-4</v>
      </c>
      <c r="B927" s="357">
        <f t="shared" ca="1" si="413"/>
        <v>16.95739999999984</v>
      </c>
      <c r="C927" s="342"/>
      <c r="D927" s="359">
        <f t="shared" ca="1" si="414"/>
        <v>-0.7041017868229672</v>
      </c>
      <c r="E927" s="360">
        <f t="shared" ca="1" si="415"/>
        <v>-1.9080558290802108</v>
      </c>
      <c r="F927" s="357">
        <f t="shared" ca="1" si="416"/>
        <v>2.033823092870731</v>
      </c>
      <c r="G927" s="359">
        <f t="shared" ca="1" si="417"/>
        <v>4.9804915496599635</v>
      </c>
      <c r="H927" s="360">
        <f t="shared" ca="1" si="418"/>
        <v>-55.895692397808141</v>
      </c>
      <c r="I927" s="357">
        <f t="shared" ca="1" si="419"/>
        <v>56.117142877258296</v>
      </c>
      <c r="J927" s="359">
        <f t="shared" ca="1" si="420"/>
        <v>184.26379383972827</v>
      </c>
      <c r="K927" s="360">
        <f t="shared" ca="1" si="421"/>
        <v>-8.1759757646715627</v>
      </c>
      <c r="L927" s="357">
        <f t="shared" ca="1" si="406"/>
        <v>184.44509291362127</v>
      </c>
      <c r="M927" s="359">
        <f t="shared" ca="1" si="422"/>
        <v>-1.4819277026774811</v>
      </c>
      <c r="N927" s="357">
        <f t="shared" ca="1" si="423"/>
        <v>-84.908202906937575</v>
      </c>
      <c r="O927" s="343"/>
      <c r="P927" s="363">
        <f t="shared" ca="1" si="424"/>
        <v>23</v>
      </c>
      <c r="Q927" s="357">
        <f t="shared" ca="1" si="425"/>
        <v>0</v>
      </c>
      <c r="R927" s="359">
        <f t="shared" ca="1" si="426"/>
        <v>0</v>
      </c>
      <c r="S927" s="360">
        <f t="shared" ca="1" si="427"/>
        <v>0.42898953648292248</v>
      </c>
      <c r="T927" s="357">
        <f t="shared" ca="1" si="407"/>
        <v>4.2083873528974696</v>
      </c>
      <c r="U927" s="364">
        <f t="shared" ca="1" si="408"/>
        <v>0</v>
      </c>
      <c r="V927" s="359">
        <f t="shared" ca="1" si="409"/>
        <v>1.2260019666339184</v>
      </c>
      <c r="W927" s="357">
        <f t="shared" ca="1" si="410"/>
        <v>3.4033061245614262</v>
      </c>
      <c r="X927" s="343"/>
      <c r="Y927" s="367" t="str">
        <f t="shared" ca="1" si="428"/>
        <v/>
      </c>
      <c r="Z927" s="368" t="str">
        <f t="shared" ca="1" si="429"/>
        <v/>
      </c>
      <c r="AA927" s="369" t="str">
        <f t="shared" ca="1" si="430"/>
        <v/>
      </c>
      <c r="AB927" s="344"/>
      <c r="AC927" s="363" t="e">
        <f t="shared" ca="1" si="431"/>
        <v>#N/A</v>
      </c>
      <c r="AD927" s="376" t="e">
        <f t="shared" ca="1" si="432"/>
        <v>#N/A</v>
      </c>
      <c r="AE927" s="377" t="e">
        <f t="shared" ca="1" si="411"/>
        <v>#N/A</v>
      </c>
      <c r="AF927" s="344"/>
      <c r="AG927" s="359">
        <f t="shared" ca="1" si="433"/>
        <v>1.8380346469164799</v>
      </c>
      <c r="AH927" s="357">
        <f t="shared" ca="1" si="434"/>
        <v>-7.9332516036326837</v>
      </c>
    </row>
    <row r="928" spans="1:34">
      <c r="A928" s="402">
        <f t="shared" ca="1" si="412"/>
        <v>1E-4</v>
      </c>
      <c r="B928" s="357">
        <f t="shared" ca="1" si="413"/>
        <v>16.95749999999984</v>
      </c>
      <c r="C928" s="342"/>
      <c r="D928" s="359">
        <f t="shared" ca="1" si="414"/>
        <v>-0.70409453265529875</v>
      </c>
      <c r="E928" s="360">
        <f t="shared" ca="1" si="415"/>
        <v>-1.907998556193502</v>
      </c>
      <c r="F928" s="357">
        <f t="shared" ca="1" si="416"/>
        <v>2.0337668502932118</v>
      </c>
      <c r="G928" s="359">
        <f t="shared" ca="1" si="417"/>
        <v>4.9804211402066976</v>
      </c>
      <c r="H928" s="360">
        <f t="shared" ca="1" si="418"/>
        <v>-55.895883197663757</v>
      </c>
      <c r="I928" s="357">
        <f t="shared" ca="1" si="419"/>
        <v>56.117326675285305</v>
      </c>
      <c r="J928" s="359">
        <f t="shared" ca="1" si="420"/>
        <v>184.26379383972827</v>
      </c>
      <c r="K928" s="360">
        <f t="shared" ca="1" si="421"/>
        <v>-8.1815653434513358</v>
      </c>
      <c r="L928" s="357">
        <f t="shared" ca="1" si="406"/>
        <v>184.44534076977669</v>
      </c>
      <c r="M928" s="359">
        <f t="shared" ca="1" si="422"/>
        <v>-1.4819292541664411</v>
      </c>
      <c r="N928" s="357">
        <f t="shared" ca="1" si="423"/>
        <v>-84.908291800706934</v>
      </c>
      <c r="O928" s="343"/>
      <c r="P928" s="363">
        <f t="shared" ca="1" si="424"/>
        <v>23</v>
      </c>
      <c r="Q928" s="357">
        <f t="shared" ca="1" si="425"/>
        <v>0</v>
      </c>
      <c r="R928" s="359">
        <f t="shared" ca="1" si="426"/>
        <v>0</v>
      </c>
      <c r="S928" s="360">
        <f t="shared" ca="1" si="427"/>
        <v>0.42898953648292248</v>
      </c>
      <c r="T928" s="357">
        <f t="shared" ca="1" si="407"/>
        <v>4.2083873528974696</v>
      </c>
      <c r="U928" s="364">
        <f t="shared" ca="1" si="408"/>
        <v>0</v>
      </c>
      <c r="V928" s="359">
        <f t="shared" ca="1" si="409"/>
        <v>1.2260026519176817</v>
      </c>
      <c r="W928" s="357">
        <f t="shared" ca="1" si="410"/>
        <v>3.4033303203158183</v>
      </c>
      <c r="X928" s="343"/>
      <c r="Y928" s="367" t="str">
        <f t="shared" ca="1" si="428"/>
        <v/>
      </c>
      <c r="Z928" s="368" t="str">
        <f t="shared" ca="1" si="429"/>
        <v/>
      </c>
      <c r="AA928" s="369" t="str">
        <f t="shared" ca="1" si="430"/>
        <v/>
      </c>
      <c r="AB928" s="344"/>
      <c r="AC928" s="363" t="e">
        <f t="shared" ca="1" si="431"/>
        <v>#N/A</v>
      </c>
      <c r="AD928" s="376" t="e">
        <f t="shared" ca="1" si="432"/>
        <v>#N/A</v>
      </c>
      <c r="AE928" s="377" t="e">
        <f t="shared" ca="1" si="411"/>
        <v>#N/A</v>
      </c>
      <c r="AF928" s="344"/>
      <c r="AG928" s="359">
        <f t="shared" ca="1" si="433"/>
        <v>1.8379795947202675</v>
      </c>
      <c r="AH928" s="357">
        <f t="shared" ca="1" si="434"/>
        <v>-7.9333080066788702</v>
      </c>
    </row>
    <row r="929" spans="1:34">
      <c r="A929" s="402">
        <f t="shared" ca="1" si="412"/>
        <v>1E-4</v>
      </c>
      <c r="B929" s="357">
        <f t="shared" ca="1" si="413"/>
        <v>16.957599999999839</v>
      </c>
      <c r="C929" s="342"/>
      <c r="D929" s="359">
        <f t="shared" ca="1" si="414"/>
        <v>-0.70408727844892027</v>
      </c>
      <c r="E929" s="360">
        <f t="shared" ca="1" si="415"/>
        <v>-1.9079412846383423</v>
      </c>
      <c r="F929" s="357">
        <f t="shared" ca="1" si="416"/>
        <v>2.0337106090348782</v>
      </c>
      <c r="G929" s="359">
        <f t="shared" ca="1" si="417"/>
        <v>4.9803507314788531</v>
      </c>
      <c r="H929" s="360">
        <f t="shared" ca="1" si="418"/>
        <v>-55.896073991792221</v>
      </c>
      <c r="I929" s="357">
        <f t="shared" ca="1" si="419"/>
        <v>56.117510467807222</v>
      </c>
      <c r="J929" s="359">
        <f t="shared" ca="1" si="420"/>
        <v>184.26379383972827</v>
      </c>
      <c r="K929" s="360">
        <f t="shared" ca="1" si="421"/>
        <v>-8.1871549413108085</v>
      </c>
      <c r="L929" s="357">
        <f t="shared" ca="1" si="406"/>
        <v>184.44558879583678</v>
      </c>
      <c r="M929" s="359">
        <f t="shared" ca="1" si="422"/>
        <v>-1.4819308056233051</v>
      </c>
      <c r="N929" s="357">
        <f t="shared" ca="1" si="423"/>
        <v>-84.908380692637351</v>
      </c>
      <c r="O929" s="343"/>
      <c r="P929" s="363">
        <f t="shared" ca="1" si="424"/>
        <v>23</v>
      </c>
      <c r="Q929" s="357">
        <f t="shared" ca="1" si="425"/>
        <v>0</v>
      </c>
      <c r="R929" s="359">
        <f t="shared" ca="1" si="426"/>
        <v>0</v>
      </c>
      <c r="S929" s="360">
        <f t="shared" ca="1" si="427"/>
        <v>0.42898953648292248</v>
      </c>
      <c r="T929" s="357">
        <f t="shared" ca="1" si="407"/>
        <v>4.2083873528974696</v>
      </c>
      <c r="U929" s="364">
        <f t="shared" ca="1" si="408"/>
        <v>0</v>
      </c>
      <c r="V929" s="359">
        <f t="shared" ca="1" si="409"/>
        <v>1.2260033372041683</v>
      </c>
      <c r="W929" s="357">
        <f t="shared" ca="1" si="410"/>
        <v>3.4033545155079743</v>
      </c>
      <c r="X929" s="343"/>
      <c r="Y929" s="367" t="str">
        <f t="shared" ca="1" si="428"/>
        <v/>
      </c>
      <c r="Z929" s="368" t="str">
        <f t="shared" ca="1" si="429"/>
        <v/>
      </c>
      <c r="AA929" s="369" t="str">
        <f t="shared" ca="1" si="430"/>
        <v/>
      </c>
      <c r="AB929" s="344"/>
      <c r="AC929" s="363" t="e">
        <f t="shared" ca="1" si="431"/>
        <v>#N/A</v>
      </c>
      <c r="AD929" s="376" t="e">
        <f t="shared" ca="1" si="432"/>
        <v>#N/A</v>
      </c>
      <c r="AE929" s="377" t="e">
        <f t="shared" ca="1" si="411"/>
        <v>#N/A</v>
      </c>
      <c r="AF929" s="344"/>
      <c r="AG929" s="359">
        <f t="shared" ca="1" si="433"/>
        <v>1.8379245437832195</v>
      </c>
      <c r="AH929" s="357">
        <f t="shared" ca="1" si="434"/>
        <v>-7.9333644084144241</v>
      </c>
    </row>
    <row r="930" spans="1:34">
      <c r="A930" s="402">
        <f t="shared" ca="1" si="412"/>
        <v>1E-4</v>
      </c>
      <c r="B930" s="357">
        <f t="shared" ca="1" si="413"/>
        <v>16.957699999999839</v>
      </c>
      <c r="C930" s="342"/>
      <c r="D930" s="359">
        <f t="shared" ca="1" si="414"/>
        <v>-0.70408002420383531</v>
      </c>
      <c r="E930" s="360">
        <f t="shared" ca="1" si="415"/>
        <v>-1.9078840144147042</v>
      </c>
      <c r="F930" s="357">
        <f t="shared" ca="1" si="416"/>
        <v>2.0336543690957027</v>
      </c>
      <c r="G930" s="359">
        <f t="shared" ca="1" si="417"/>
        <v>4.9802803234764328</v>
      </c>
      <c r="H930" s="360">
        <f t="shared" ca="1" si="418"/>
        <v>-55.896264780193661</v>
      </c>
      <c r="I930" s="357">
        <f t="shared" ca="1" si="419"/>
        <v>56.117694254824166</v>
      </c>
      <c r="J930" s="359">
        <f t="shared" ca="1" si="420"/>
        <v>184.26379383972827</v>
      </c>
      <c r="K930" s="360">
        <f t="shared" ca="1" si="421"/>
        <v>-8.1927445582494069</v>
      </c>
      <c r="L930" s="357">
        <f t="shared" ca="1" si="406"/>
        <v>184.44583699180259</v>
      </c>
      <c r="M930" s="359">
        <f t="shared" ca="1" si="422"/>
        <v>-1.4819323570480738</v>
      </c>
      <c r="N930" s="357">
        <f t="shared" ca="1" si="423"/>
        <v>-84.908469582728827</v>
      </c>
      <c r="O930" s="343"/>
      <c r="P930" s="363">
        <f t="shared" ca="1" si="424"/>
        <v>23</v>
      </c>
      <c r="Q930" s="357">
        <f t="shared" ca="1" si="425"/>
        <v>0</v>
      </c>
      <c r="R930" s="359">
        <f t="shared" ca="1" si="426"/>
        <v>0</v>
      </c>
      <c r="S930" s="360">
        <f t="shared" ca="1" si="427"/>
        <v>0.42898953648292248</v>
      </c>
      <c r="T930" s="357">
        <f t="shared" ca="1" si="407"/>
        <v>4.2083873528974696</v>
      </c>
      <c r="U930" s="364">
        <f t="shared" ca="1" si="408"/>
        <v>0</v>
      </c>
      <c r="V930" s="359">
        <f t="shared" ca="1" si="409"/>
        <v>1.2260040224933764</v>
      </c>
      <c r="W930" s="357">
        <f t="shared" ca="1" si="410"/>
        <v>3.4033787101378969</v>
      </c>
      <c r="X930" s="343"/>
      <c r="Y930" s="367" t="str">
        <f t="shared" ca="1" si="428"/>
        <v/>
      </c>
      <c r="Z930" s="368" t="str">
        <f t="shared" ca="1" si="429"/>
        <v/>
      </c>
      <c r="AA930" s="369" t="str">
        <f t="shared" ca="1" si="430"/>
        <v/>
      </c>
      <c r="AB930" s="344"/>
      <c r="AC930" s="363" t="e">
        <f t="shared" ca="1" si="431"/>
        <v>#N/A</v>
      </c>
      <c r="AD930" s="376" t="e">
        <f t="shared" ca="1" si="432"/>
        <v>#N/A</v>
      </c>
      <c r="AE930" s="377" t="e">
        <f t="shared" ca="1" si="411"/>
        <v>#N/A</v>
      </c>
      <c r="AF930" s="344"/>
      <c r="AG930" s="359">
        <f t="shared" ca="1" si="433"/>
        <v>1.8378694941053144</v>
      </c>
      <c r="AH930" s="357">
        <f t="shared" ca="1" si="434"/>
        <v>-7.9334208088393723</v>
      </c>
    </row>
    <row r="931" spans="1:34">
      <c r="A931" s="402">
        <f t="shared" ca="1" si="412"/>
        <v>1E-4</v>
      </c>
      <c r="B931" s="357">
        <f t="shared" ca="1" si="413"/>
        <v>16.957799999999839</v>
      </c>
      <c r="C931" s="342"/>
      <c r="D931" s="359">
        <f t="shared" ca="1" si="414"/>
        <v>-0.70407276992005241</v>
      </c>
      <c r="E931" s="360">
        <f t="shared" ca="1" si="415"/>
        <v>-1.9078267455225788</v>
      </c>
      <c r="F931" s="357">
        <f t="shared" ca="1" si="416"/>
        <v>2.0335981304756774</v>
      </c>
      <c r="G931" s="359">
        <f t="shared" ca="1" si="417"/>
        <v>4.9802099161994411</v>
      </c>
      <c r="H931" s="360">
        <f t="shared" ca="1" si="418"/>
        <v>-55.896455562868212</v>
      </c>
      <c r="I931" s="357">
        <f t="shared" ca="1" si="419"/>
        <v>56.117878036336258</v>
      </c>
      <c r="J931" s="359">
        <f t="shared" ca="1" si="420"/>
        <v>184.26379383972827</v>
      </c>
      <c r="K931" s="360">
        <f t="shared" ca="1" si="421"/>
        <v>-8.1983341942665593</v>
      </c>
      <c r="L931" s="357">
        <f t="shared" ca="1" si="406"/>
        <v>184.44608535767509</v>
      </c>
      <c r="M931" s="359">
        <f t="shared" ca="1" si="422"/>
        <v>-1.4819339084407481</v>
      </c>
      <c r="N931" s="357">
        <f t="shared" ca="1" si="423"/>
        <v>-84.908558470981433</v>
      </c>
      <c r="O931" s="343"/>
      <c r="P931" s="363">
        <f t="shared" ca="1" si="424"/>
        <v>23</v>
      </c>
      <c r="Q931" s="357">
        <f t="shared" ca="1" si="425"/>
        <v>0</v>
      </c>
      <c r="R931" s="359">
        <f t="shared" ca="1" si="426"/>
        <v>0</v>
      </c>
      <c r="S931" s="360">
        <f t="shared" ca="1" si="427"/>
        <v>0.42898953648292248</v>
      </c>
      <c r="T931" s="357">
        <f t="shared" ca="1" si="407"/>
        <v>4.2083873528974696</v>
      </c>
      <c r="U931" s="364">
        <f t="shared" ca="1" si="408"/>
        <v>0</v>
      </c>
      <c r="V931" s="359">
        <f t="shared" ca="1" si="409"/>
        <v>1.2260047077853071</v>
      </c>
      <c r="W931" s="357">
        <f t="shared" ca="1" si="410"/>
        <v>3.4034029042055964</v>
      </c>
      <c r="X931" s="343"/>
      <c r="Y931" s="367" t="str">
        <f t="shared" ca="1" si="428"/>
        <v/>
      </c>
      <c r="Z931" s="368" t="str">
        <f t="shared" ca="1" si="429"/>
        <v/>
      </c>
      <c r="AA931" s="369" t="str">
        <f t="shared" ca="1" si="430"/>
        <v/>
      </c>
      <c r="AB931" s="344"/>
      <c r="AC931" s="363" t="e">
        <f t="shared" ca="1" si="431"/>
        <v>#N/A</v>
      </c>
      <c r="AD931" s="376" t="e">
        <f t="shared" ca="1" si="432"/>
        <v>#N/A</v>
      </c>
      <c r="AE931" s="377" t="e">
        <f t="shared" ca="1" si="411"/>
        <v>#N/A</v>
      </c>
      <c r="AF931" s="344"/>
      <c r="AG931" s="359">
        <f t="shared" ca="1" si="433"/>
        <v>1.8378144456865488</v>
      </c>
      <c r="AH931" s="357">
        <f t="shared" ca="1" si="434"/>
        <v>-7.9334772079537217</v>
      </c>
    </row>
    <row r="932" spans="1:34">
      <c r="A932" s="402">
        <f t="shared" ca="1" si="412"/>
        <v>1E-4</v>
      </c>
      <c r="B932" s="357">
        <f t="shared" ca="1" si="413"/>
        <v>16.957899999999839</v>
      </c>
      <c r="C932" s="342"/>
      <c r="D932" s="359">
        <f t="shared" ca="1" si="414"/>
        <v>-0.70406551559757635</v>
      </c>
      <c r="E932" s="360">
        <f t="shared" ca="1" si="415"/>
        <v>-1.9077694779619456</v>
      </c>
      <c r="F932" s="357">
        <f t="shared" ca="1" si="416"/>
        <v>2.0335418931747817</v>
      </c>
      <c r="G932" s="359">
        <f t="shared" ca="1" si="417"/>
        <v>4.9801395096478815</v>
      </c>
      <c r="H932" s="360">
        <f t="shared" ca="1" si="418"/>
        <v>-55.896646339816009</v>
      </c>
      <c r="I932" s="357">
        <f t="shared" ca="1" si="419"/>
        <v>56.118061812343647</v>
      </c>
      <c r="J932" s="359">
        <f t="shared" ca="1" si="420"/>
        <v>184.26379383972827</v>
      </c>
      <c r="K932" s="360">
        <f t="shared" ca="1" si="421"/>
        <v>-8.2039238493616935</v>
      </c>
      <c r="L932" s="357">
        <f t="shared" ca="1" si="406"/>
        <v>184.44633389345535</v>
      </c>
      <c r="M932" s="359">
        <f t="shared" ca="1" si="422"/>
        <v>-1.4819354598013292</v>
      </c>
      <c r="N932" s="357">
        <f t="shared" ca="1" si="423"/>
        <v>-84.908647357395239</v>
      </c>
      <c r="O932" s="343"/>
      <c r="P932" s="363">
        <f t="shared" ca="1" si="424"/>
        <v>23</v>
      </c>
      <c r="Q932" s="357">
        <f t="shared" ca="1" si="425"/>
        <v>0</v>
      </c>
      <c r="R932" s="359">
        <f t="shared" ca="1" si="426"/>
        <v>0</v>
      </c>
      <c r="S932" s="360">
        <f t="shared" ca="1" si="427"/>
        <v>0.42898953648292248</v>
      </c>
      <c r="T932" s="357">
        <f t="shared" ca="1" si="407"/>
        <v>4.2083873528974696</v>
      </c>
      <c r="U932" s="364">
        <f t="shared" ca="1" si="408"/>
        <v>0</v>
      </c>
      <c r="V932" s="359">
        <f t="shared" ca="1" si="409"/>
        <v>1.2260053930799606</v>
      </c>
      <c r="W932" s="357">
        <f t="shared" ca="1" si="410"/>
        <v>3.4034270977110852</v>
      </c>
      <c r="X932" s="343"/>
      <c r="Y932" s="367" t="str">
        <f t="shared" ca="1" si="428"/>
        <v/>
      </c>
      <c r="Z932" s="368" t="str">
        <f t="shared" ca="1" si="429"/>
        <v/>
      </c>
      <c r="AA932" s="369" t="str">
        <f t="shared" ca="1" si="430"/>
        <v/>
      </c>
      <c r="AB932" s="344"/>
      <c r="AC932" s="363" t="e">
        <f t="shared" ca="1" si="431"/>
        <v>#N/A</v>
      </c>
      <c r="AD932" s="376" t="e">
        <f t="shared" ca="1" si="432"/>
        <v>#N/A</v>
      </c>
      <c r="AE932" s="377" t="e">
        <f t="shared" ca="1" si="411"/>
        <v>#N/A</v>
      </c>
      <c r="AF932" s="344"/>
      <c r="AG932" s="359">
        <f t="shared" ca="1" si="433"/>
        <v>1.8377593985268952</v>
      </c>
      <c r="AH932" s="357">
        <f t="shared" ca="1" si="434"/>
        <v>-7.9335336057574946</v>
      </c>
    </row>
    <row r="933" spans="1:34">
      <c r="A933" s="402">
        <f t="shared" ca="1" si="412"/>
        <v>1E-4</v>
      </c>
      <c r="B933" s="357">
        <f t="shared" ca="1" si="413"/>
        <v>16.957999999999839</v>
      </c>
      <c r="C933" s="342"/>
      <c r="D933" s="359">
        <f t="shared" ca="1" si="414"/>
        <v>-0.7040582612364128</v>
      </c>
      <c r="E933" s="360">
        <f t="shared" ca="1" si="415"/>
        <v>-1.9077122117327718</v>
      </c>
      <c r="F933" s="357">
        <f t="shared" ca="1" si="416"/>
        <v>2.0334856571929847</v>
      </c>
      <c r="G933" s="359">
        <f t="shared" ca="1" si="417"/>
        <v>4.9800691038217577</v>
      </c>
      <c r="H933" s="360">
        <f t="shared" ca="1" si="418"/>
        <v>-55.896837111037179</v>
      </c>
      <c r="I933" s="357">
        <f t="shared" ca="1" si="419"/>
        <v>56.118245582846434</v>
      </c>
      <c r="J933" s="359">
        <f t="shared" ca="1" si="420"/>
        <v>184.26379383972827</v>
      </c>
      <c r="K933" s="360">
        <f t="shared" ca="1" si="421"/>
        <v>-8.2095135235342358</v>
      </c>
      <c r="L933" s="357">
        <f t="shared" ca="1" si="406"/>
        <v>184.44658259914434</v>
      </c>
      <c r="M933" s="359">
        <f t="shared" ca="1" si="422"/>
        <v>-1.4819370111298176</v>
      </c>
      <c r="N933" s="357">
        <f t="shared" ca="1" si="423"/>
        <v>-84.908736241970246</v>
      </c>
      <c r="O933" s="343"/>
      <c r="P933" s="363">
        <f t="shared" ca="1" si="424"/>
        <v>23</v>
      </c>
      <c r="Q933" s="357">
        <f t="shared" ca="1" si="425"/>
        <v>0</v>
      </c>
      <c r="R933" s="359">
        <f t="shared" ca="1" si="426"/>
        <v>0</v>
      </c>
      <c r="S933" s="360">
        <f t="shared" ca="1" si="427"/>
        <v>0.42898953648292248</v>
      </c>
      <c r="T933" s="357">
        <f t="shared" ca="1" si="407"/>
        <v>4.2083873528974696</v>
      </c>
      <c r="U933" s="364">
        <f t="shared" ca="1" si="408"/>
        <v>0</v>
      </c>
      <c r="V933" s="359">
        <f t="shared" ca="1" si="409"/>
        <v>1.2260060783773354</v>
      </c>
      <c r="W933" s="357">
        <f t="shared" ca="1" si="410"/>
        <v>3.4034512906543632</v>
      </c>
      <c r="X933" s="343"/>
      <c r="Y933" s="367" t="str">
        <f t="shared" ca="1" si="428"/>
        <v/>
      </c>
      <c r="Z933" s="368" t="str">
        <f t="shared" ca="1" si="429"/>
        <v/>
      </c>
      <c r="AA933" s="369" t="str">
        <f t="shared" ca="1" si="430"/>
        <v/>
      </c>
      <c r="AB933" s="344"/>
      <c r="AC933" s="363" t="e">
        <f t="shared" ca="1" si="431"/>
        <v>#N/A</v>
      </c>
      <c r="AD933" s="376" t="e">
        <f t="shared" ca="1" si="432"/>
        <v>#N/A</v>
      </c>
      <c r="AE933" s="377" t="e">
        <f t="shared" ca="1" si="411"/>
        <v>#N/A</v>
      </c>
      <c r="AF933" s="344"/>
      <c r="AG933" s="359">
        <f t="shared" ca="1" si="433"/>
        <v>1.8377043526263313</v>
      </c>
      <c r="AH933" s="357">
        <f t="shared" ca="1" si="434"/>
        <v>-7.933590002250722</v>
      </c>
    </row>
    <row r="934" spans="1:34">
      <c r="A934" s="402">
        <f t="shared" ca="1" si="412"/>
        <v>1E-4</v>
      </c>
      <c r="B934" s="357">
        <f t="shared" ca="1" si="413"/>
        <v>16.958099999999838</v>
      </c>
      <c r="C934" s="342"/>
      <c r="D934" s="359">
        <f t="shared" ca="1" si="414"/>
        <v>-0.70405100683656963</v>
      </c>
      <c r="E934" s="360">
        <f t="shared" ca="1" si="415"/>
        <v>-1.9076549468350583</v>
      </c>
      <c r="F934" s="357">
        <f t="shared" ca="1" si="416"/>
        <v>2.0334294225302871</v>
      </c>
      <c r="G934" s="359">
        <f t="shared" ca="1" si="417"/>
        <v>4.979998698721074</v>
      </c>
      <c r="H934" s="360">
        <f t="shared" ca="1" si="418"/>
        <v>-55.897027876531865</v>
      </c>
      <c r="I934" s="357">
        <f t="shared" ca="1" si="419"/>
        <v>56.11842934784476</v>
      </c>
      <c r="J934" s="359">
        <f t="shared" ca="1" si="420"/>
        <v>184.26379383972827</v>
      </c>
      <c r="K934" s="360">
        <f t="shared" ca="1" si="421"/>
        <v>-8.2151032167836142</v>
      </c>
      <c r="L934" s="357">
        <f t="shared" ca="1" si="406"/>
        <v>184.44683147474314</v>
      </c>
      <c r="M934" s="359">
        <f t="shared" ca="1" si="422"/>
        <v>-1.4819385624262145</v>
      </c>
      <c r="N934" s="357">
        <f t="shared" ca="1" si="423"/>
        <v>-84.908825124706567</v>
      </c>
      <c r="O934" s="343"/>
      <c r="P934" s="363">
        <f t="shared" ca="1" si="424"/>
        <v>23</v>
      </c>
      <c r="Q934" s="357">
        <f t="shared" ca="1" si="425"/>
        <v>0</v>
      </c>
      <c r="R934" s="359">
        <f t="shared" ca="1" si="426"/>
        <v>0</v>
      </c>
      <c r="S934" s="360">
        <f t="shared" ca="1" si="427"/>
        <v>0.42898953648292248</v>
      </c>
      <c r="T934" s="357">
        <f t="shared" ca="1" si="407"/>
        <v>4.2083873528974696</v>
      </c>
      <c r="U934" s="364">
        <f t="shared" ca="1" si="408"/>
        <v>0</v>
      </c>
      <c r="V934" s="359">
        <f t="shared" ca="1" si="409"/>
        <v>1.2260067636774321</v>
      </c>
      <c r="W934" s="357">
        <f t="shared" ca="1" si="410"/>
        <v>3.4034754830354412</v>
      </c>
      <c r="X934" s="343"/>
      <c r="Y934" s="367" t="str">
        <f t="shared" ca="1" si="428"/>
        <v/>
      </c>
      <c r="Z934" s="368" t="str">
        <f t="shared" ca="1" si="429"/>
        <v/>
      </c>
      <c r="AA934" s="369" t="str">
        <f t="shared" ca="1" si="430"/>
        <v/>
      </c>
      <c r="AB934" s="344"/>
      <c r="AC934" s="363" t="e">
        <f t="shared" ca="1" si="431"/>
        <v>#N/A</v>
      </c>
      <c r="AD934" s="376" t="e">
        <f t="shared" ca="1" si="432"/>
        <v>#N/A</v>
      </c>
      <c r="AE934" s="377" t="e">
        <f t="shared" ca="1" si="411"/>
        <v>#N/A</v>
      </c>
      <c r="AF934" s="344"/>
      <c r="AG934" s="359">
        <f t="shared" ca="1" si="433"/>
        <v>1.8376493079848597</v>
      </c>
      <c r="AH934" s="357">
        <f t="shared" ca="1" si="434"/>
        <v>-7.9336463974334031</v>
      </c>
    </row>
    <row r="935" spans="1:34">
      <c r="A935" s="402">
        <f t="shared" ca="1" si="412"/>
        <v>1E-4</v>
      </c>
      <c r="B935" s="357">
        <f t="shared" ca="1" si="413"/>
        <v>16.958199999999838</v>
      </c>
      <c r="C935" s="342"/>
      <c r="D935" s="359">
        <f t="shared" ca="1" si="414"/>
        <v>-0.70404375239805006</v>
      </c>
      <c r="E935" s="360">
        <f t="shared" ca="1" si="415"/>
        <v>-1.907597683268782</v>
      </c>
      <c r="F935" s="357">
        <f t="shared" ca="1" si="416"/>
        <v>2.0333731891866655</v>
      </c>
      <c r="G935" s="359">
        <f t="shared" ca="1" si="417"/>
        <v>4.9799282943458341</v>
      </c>
      <c r="H935" s="360">
        <f t="shared" ca="1" si="418"/>
        <v>-55.897218636300195</v>
      </c>
      <c r="I935" s="357">
        <f t="shared" ca="1" si="419"/>
        <v>56.118613107338746</v>
      </c>
      <c r="J935" s="359">
        <f t="shared" ca="1" si="420"/>
        <v>184.26379383972827</v>
      </c>
      <c r="K935" s="360">
        <f t="shared" ca="1" si="421"/>
        <v>-8.220692929109255</v>
      </c>
      <c r="L935" s="357">
        <f t="shared" ca="1" si="406"/>
        <v>184.44708052025271</v>
      </c>
      <c r="M935" s="359">
        <f t="shared" ca="1" si="422"/>
        <v>-1.4819401136905208</v>
      </c>
      <c r="N935" s="357">
        <f t="shared" ca="1" si="423"/>
        <v>-84.908914005604231</v>
      </c>
      <c r="O935" s="343"/>
      <c r="P935" s="363">
        <f t="shared" ca="1" si="424"/>
        <v>23</v>
      </c>
      <c r="Q935" s="357">
        <f t="shared" ca="1" si="425"/>
        <v>0</v>
      </c>
      <c r="R935" s="359">
        <f t="shared" ca="1" si="426"/>
        <v>0</v>
      </c>
      <c r="S935" s="360">
        <f t="shared" ca="1" si="427"/>
        <v>0.42898953648292248</v>
      </c>
      <c r="T935" s="357">
        <f t="shared" ca="1" si="407"/>
        <v>4.2083873528974696</v>
      </c>
      <c r="U935" s="364">
        <f t="shared" ca="1" si="408"/>
        <v>0</v>
      </c>
      <c r="V935" s="359">
        <f t="shared" ca="1" si="409"/>
        <v>1.2260074489802515</v>
      </c>
      <c r="W935" s="357">
        <f t="shared" ca="1" si="410"/>
        <v>3.4034996748543285</v>
      </c>
      <c r="X935" s="343"/>
      <c r="Y935" s="367" t="str">
        <f t="shared" ca="1" si="428"/>
        <v/>
      </c>
      <c r="Z935" s="368" t="str">
        <f t="shared" ca="1" si="429"/>
        <v/>
      </c>
      <c r="AA935" s="369" t="str">
        <f t="shared" ca="1" si="430"/>
        <v/>
      </c>
      <c r="AB935" s="344"/>
      <c r="AC935" s="363" t="e">
        <f t="shared" ca="1" si="431"/>
        <v>#N/A</v>
      </c>
      <c r="AD935" s="376" t="e">
        <f t="shared" ca="1" si="432"/>
        <v>#N/A</v>
      </c>
      <c r="AE935" s="377" t="e">
        <f t="shared" ca="1" si="411"/>
        <v>#N/A</v>
      </c>
      <c r="AF935" s="344"/>
      <c r="AG935" s="359">
        <f t="shared" ca="1" si="433"/>
        <v>1.8375942646024566</v>
      </c>
      <c r="AH935" s="357">
        <f t="shared" ca="1" si="434"/>
        <v>-7.9337027913055618</v>
      </c>
    </row>
    <row r="936" spans="1:34">
      <c r="A936" s="402">
        <f t="shared" ca="1" si="412"/>
        <v>1E-4</v>
      </c>
      <c r="B936" s="357">
        <f t="shared" ca="1" si="413"/>
        <v>16.958299999999838</v>
      </c>
      <c r="C936" s="342"/>
      <c r="D936" s="359">
        <f t="shared" ca="1" si="414"/>
        <v>-0.70403649792086087</v>
      </c>
      <c r="E936" s="360">
        <f t="shared" ca="1" si="415"/>
        <v>-1.9075404210339171</v>
      </c>
      <c r="F936" s="357">
        <f t="shared" ca="1" si="416"/>
        <v>2.0333169571620955</v>
      </c>
      <c r="G936" s="359">
        <f t="shared" ca="1" si="417"/>
        <v>4.9798578906960422</v>
      </c>
      <c r="H936" s="360">
        <f t="shared" ca="1" si="418"/>
        <v>-55.897409390342297</v>
      </c>
      <c r="I936" s="357">
        <f t="shared" ca="1" si="419"/>
        <v>56.118796861328512</v>
      </c>
      <c r="J936" s="359">
        <f t="shared" ca="1" si="420"/>
        <v>184.26379383972827</v>
      </c>
      <c r="K936" s="360">
        <f t="shared" ca="1" si="421"/>
        <v>-8.2262826605105879</v>
      </c>
      <c r="L936" s="357">
        <f t="shared" ca="1" si="406"/>
        <v>184.44732973567415</v>
      </c>
      <c r="M936" s="359">
        <f t="shared" ca="1" si="422"/>
        <v>-1.4819416649227373</v>
      </c>
      <c r="N936" s="357">
        <f t="shared" ca="1" si="423"/>
        <v>-84.90900288466328</v>
      </c>
      <c r="O936" s="343"/>
      <c r="P936" s="363">
        <f t="shared" ca="1" si="424"/>
        <v>23</v>
      </c>
      <c r="Q936" s="357">
        <f t="shared" ca="1" si="425"/>
        <v>0</v>
      </c>
      <c r="R936" s="359">
        <f t="shared" ca="1" si="426"/>
        <v>0</v>
      </c>
      <c r="S936" s="360">
        <f t="shared" ca="1" si="427"/>
        <v>0.42898953648292248</v>
      </c>
      <c r="T936" s="357">
        <f t="shared" ca="1" si="407"/>
        <v>4.2083873528974696</v>
      </c>
      <c r="U936" s="364">
        <f t="shared" ca="1" si="408"/>
        <v>0</v>
      </c>
      <c r="V936" s="359">
        <f t="shared" ca="1" si="409"/>
        <v>1.2260081342857925</v>
      </c>
      <c r="W936" s="357">
        <f t="shared" ca="1" si="410"/>
        <v>3.4035238661110307</v>
      </c>
      <c r="X936" s="343"/>
      <c r="Y936" s="367" t="str">
        <f t="shared" ca="1" si="428"/>
        <v/>
      </c>
      <c r="Z936" s="368" t="str">
        <f t="shared" ca="1" si="429"/>
        <v/>
      </c>
      <c r="AA936" s="369" t="str">
        <f t="shared" ca="1" si="430"/>
        <v/>
      </c>
      <c r="AB936" s="344"/>
      <c r="AC936" s="363" t="e">
        <f t="shared" ca="1" si="431"/>
        <v>#N/A</v>
      </c>
      <c r="AD936" s="376" t="e">
        <f t="shared" ca="1" si="432"/>
        <v>#N/A</v>
      </c>
      <c r="AE936" s="377" t="e">
        <f t="shared" ca="1" si="411"/>
        <v>#N/A</v>
      </c>
      <c r="AF936" s="344"/>
      <c r="AG936" s="359">
        <f t="shared" ca="1" si="433"/>
        <v>1.8375392224791005</v>
      </c>
      <c r="AH936" s="357">
        <f t="shared" ca="1" si="434"/>
        <v>-7.9337591838672212</v>
      </c>
    </row>
    <row r="937" spans="1:34">
      <c r="A937" s="402">
        <f t="shared" ca="1" si="412"/>
        <v>1E-4</v>
      </c>
      <c r="B937" s="357">
        <f t="shared" ca="1" si="413"/>
        <v>16.958399999999838</v>
      </c>
      <c r="C937" s="342"/>
      <c r="D937" s="359">
        <f t="shared" ca="1" si="414"/>
        <v>-0.70402924340500916</v>
      </c>
      <c r="E937" s="360">
        <f t="shared" ca="1" si="415"/>
        <v>-1.9074831601304529</v>
      </c>
      <c r="F937" s="357">
        <f t="shared" ca="1" si="416"/>
        <v>2.0332607264565676</v>
      </c>
      <c r="G937" s="359">
        <f t="shared" ca="1" si="417"/>
        <v>4.9797874877717021</v>
      </c>
      <c r="H937" s="360">
        <f t="shared" ca="1" si="418"/>
        <v>-55.897600138658312</v>
      </c>
      <c r="I937" s="357">
        <f t="shared" ca="1" si="419"/>
        <v>56.118980609814194</v>
      </c>
      <c r="J937" s="359">
        <f t="shared" ca="1" si="420"/>
        <v>184.26379383972827</v>
      </c>
      <c r="K937" s="360">
        <f t="shared" ca="1" si="421"/>
        <v>-8.2318724109870374</v>
      </c>
      <c r="L937" s="357">
        <f t="shared" ca="1" si="406"/>
        <v>184.44757912100837</v>
      </c>
      <c r="M937" s="359">
        <f t="shared" ca="1" si="422"/>
        <v>-1.4819432161228649</v>
      </c>
      <c r="N937" s="357">
        <f t="shared" ca="1" si="423"/>
        <v>-84.909091761883772</v>
      </c>
      <c r="O937" s="343"/>
      <c r="P937" s="363">
        <f t="shared" ca="1" si="424"/>
        <v>23</v>
      </c>
      <c r="Q937" s="357">
        <f t="shared" ca="1" si="425"/>
        <v>0</v>
      </c>
      <c r="R937" s="359">
        <f t="shared" ca="1" si="426"/>
        <v>0</v>
      </c>
      <c r="S937" s="360">
        <f t="shared" ca="1" si="427"/>
        <v>0.42898953648292248</v>
      </c>
      <c r="T937" s="357">
        <f t="shared" ca="1" si="407"/>
        <v>4.2083873528974696</v>
      </c>
      <c r="U937" s="364">
        <f t="shared" ca="1" si="408"/>
        <v>0</v>
      </c>
      <c r="V937" s="359">
        <f t="shared" ca="1" si="409"/>
        <v>1.2260088195940551</v>
      </c>
      <c r="W937" s="357">
        <f t="shared" ca="1" si="410"/>
        <v>3.4035480568055556</v>
      </c>
      <c r="X937" s="343"/>
      <c r="Y937" s="367" t="str">
        <f t="shared" ca="1" si="428"/>
        <v/>
      </c>
      <c r="Z937" s="368" t="str">
        <f t="shared" ca="1" si="429"/>
        <v/>
      </c>
      <c r="AA937" s="369" t="str">
        <f t="shared" ca="1" si="430"/>
        <v/>
      </c>
      <c r="AB937" s="344"/>
      <c r="AC937" s="363" t="e">
        <f t="shared" ca="1" si="431"/>
        <v>#N/A</v>
      </c>
      <c r="AD937" s="376" t="e">
        <f t="shared" ca="1" si="432"/>
        <v>#N/A</v>
      </c>
      <c r="AE937" s="377" t="e">
        <f t="shared" ca="1" si="411"/>
        <v>#N/A</v>
      </c>
      <c r="AF937" s="344"/>
      <c r="AG937" s="359">
        <f t="shared" ca="1" si="433"/>
        <v>1.8374841816147827</v>
      </c>
      <c r="AH937" s="357">
        <f t="shared" ca="1" si="434"/>
        <v>-7.9338155751183939</v>
      </c>
    </row>
    <row r="938" spans="1:34">
      <c r="A938" s="402">
        <f t="shared" ca="1" si="412"/>
        <v>1E-4</v>
      </c>
      <c r="B938" s="357">
        <f t="shared" ca="1" si="413"/>
        <v>16.958499999999837</v>
      </c>
      <c r="C938" s="342"/>
      <c r="D938" s="359">
        <f t="shared" ca="1" si="414"/>
        <v>-0.7040219888504996</v>
      </c>
      <c r="E938" s="360">
        <f t="shared" ca="1" si="415"/>
        <v>-1.90742590055837</v>
      </c>
      <c r="F938" s="357">
        <f t="shared" ca="1" si="416"/>
        <v>2.0332044970700616</v>
      </c>
      <c r="G938" s="359">
        <f t="shared" ca="1" si="417"/>
        <v>4.9797170855728172</v>
      </c>
      <c r="H938" s="360">
        <f t="shared" ca="1" si="418"/>
        <v>-55.897790881248369</v>
      </c>
      <c r="I938" s="357">
        <f t="shared" ca="1" si="419"/>
        <v>56.119164352795906</v>
      </c>
      <c r="J938" s="359">
        <f t="shared" ca="1" si="420"/>
        <v>184.26379383972827</v>
      </c>
      <c r="K938" s="360">
        <f t="shared" ca="1" si="421"/>
        <v>-8.2374621805380333</v>
      </c>
      <c r="L938" s="357">
        <f t="shared" ca="1" si="406"/>
        <v>184.44782867625651</v>
      </c>
      <c r="M938" s="359">
        <f t="shared" ca="1" si="422"/>
        <v>-1.4819447672909047</v>
      </c>
      <c r="N938" s="357">
        <f t="shared" ca="1" si="423"/>
        <v>-84.909180637265777</v>
      </c>
      <c r="O938" s="343"/>
      <c r="P938" s="363">
        <f t="shared" ca="1" si="424"/>
        <v>23</v>
      </c>
      <c r="Q938" s="357">
        <f t="shared" ca="1" si="425"/>
        <v>0</v>
      </c>
      <c r="R938" s="359">
        <f t="shared" ca="1" si="426"/>
        <v>0</v>
      </c>
      <c r="S938" s="360">
        <f t="shared" ca="1" si="427"/>
        <v>0.42898953648292248</v>
      </c>
      <c r="T938" s="357">
        <f t="shared" ca="1" si="407"/>
        <v>4.2083873528974696</v>
      </c>
      <c r="U938" s="364">
        <f t="shared" ca="1" si="408"/>
        <v>0</v>
      </c>
      <c r="V938" s="359">
        <f t="shared" ca="1" si="409"/>
        <v>1.2260095049050399</v>
      </c>
      <c r="W938" s="357">
        <f t="shared" ca="1" si="410"/>
        <v>3.4035722469379124</v>
      </c>
      <c r="X938" s="343"/>
      <c r="Y938" s="367" t="str">
        <f t="shared" ca="1" si="428"/>
        <v/>
      </c>
      <c r="Z938" s="368" t="str">
        <f t="shared" ca="1" si="429"/>
        <v/>
      </c>
      <c r="AA938" s="369" t="str">
        <f t="shared" ca="1" si="430"/>
        <v/>
      </c>
      <c r="AB938" s="344"/>
      <c r="AC938" s="363" t="e">
        <f t="shared" ca="1" si="431"/>
        <v>#N/A</v>
      </c>
      <c r="AD938" s="376" t="e">
        <f t="shared" ca="1" si="432"/>
        <v>#N/A</v>
      </c>
      <c r="AE938" s="377" t="e">
        <f t="shared" ca="1" si="411"/>
        <v>#N/A</v>
      </c>
      <c r="AF938" s="344"/>
      <c r="AG938" s="359">
        <f t="shared" ca="1" si="433"/>
        <v>1.8374291420094906</v>
      </c>
      <c r="AH938" s="357">
        <f t="shared" ca="1" si="434"/>
        <v>-7.9338719650590974</v>
      </c>
    </row>
    <row r="939" spans="1:34">
      <c r="A939" s="402">
        <f t="shared" ca="1" si="412"/>
        <v>1E-4</v>
      </c>
      <c r="B939" s="357">
        <f t="shared" ca="1" si="413"/>
        <v>16.958599999999837</v>
      </c>
      <c r="C939" s="342"/>
      <c r="D939" s="359">
        <f t="shared" ca="1" si="414"/>
        <v>-0.70401473425733863</v>
      </c>
      <c r="E939" s="360">
        <f t="shared" ca="1" si="415"/>
        <v>-1.9073686423176479</v>
      </c>
      <c r="F939" s="357">
        <f t="shared" ca="1" si="416"/>
        <v>2.0331482690025582</v>
      </c>
      <c r="G939" s="359">
        <f t="shared" ca="1" si="417"/>
        <v>4.9796466840993912</v>
      </c>
      <c r="H939" s="360">
        <f t="shared" ca="1" si="418"/>
        <v>-55.897981618112603</v>
      </c>
      <c r="I939" s="357">
        <f t="shared" ca="1" si="419"/>
        <v>56.119348090273789</v>
      </c>
      <c r="J939" s="359">
        <f t="shared" ca="1" si="420"/>
        <v>184.26379383972827</v>
      </c>
      <c r="K939" s="360">
        <f t="shared" ca="1" si="421"/>
        <v>-8.2430519691630018</v>
      </c>
      <c r="L939" s="357">
        <f t="shared" ca="1" si="406"/>
        <v>184.44807840141951</v>
      </c>
      <c r="M939" s="359">
        <f t="shared" ca="1" si="422"/>
        <v>-1.4819463184268575</v>
      </c>
      <c r="N939" s="357">
        <f t="shared" ca="1" si="423"/>
        <v>-84.90926951080931</v>
      </c>
      <c r="O939" s="343"/>
      <c r="P939" s="363">
        <f t="shared" ca="1" si="424"/>
        <v>23</v>
      </c>
      <c r="Q939" s="357">
        <f t="shared" ca="1" si="425"/>
        <v>0</v>
      </c>
      <c r="R939" s="359">
        <f t="shared" ca="1" si="426"/>
        <v>0</v>
      </c>
      <c r="S939" s="360">
        <f t="shared" ca="1" si="427"/>
        <v>0.42898953648292248</v>
      </c>
      <c r="T939" s="357">
        <f t="shared" ca="1" si="407"/>
        <v>4.2083873528974696</v>
      </c>
      <c r="U939" s="364">
        <f t="shared" ca="1" si="408"/>
        <v>0</v>
      </c>
      <c r="V939" s="359">
        <f t="shared" ca="1" si="409"/>
        <v>1.2260101902187461</v>
      </c>
      <c r="W939" s="357">
        <f t="shared" ca="1" si="410"/>
        <v>3.4035964365081077</v>
      </c>
      <c r="X939" s="343"/>
      <c r="Y939" s="367" t="str">
        <f t="shared" ca="1" si="428"/>
        <v/>
      </c>
      <c r="Z939" s="368" t="str">
        <f t="shared" ca="1" si="429"/>
        <v/>
      </c>
      <c r="AA939" s="369" t="str">
        <f t="shared" ca="1" si="430"/>
        <v/>
      </c>
      <c r="AB939" s="344"/>
      <c r="AC939" s="363" t="e">
        <f t="shared" ca="1" si="431"/>
        <v>#N/A</v>
      </c>
      <c r="AD939" s="376" t="e">
        <f t="shared" ca="1" si="432"/>
        <v>#N/A</v>
      </c>
      <c r="AE939" s="377" t="e">
        <f t="shared" ca="1" si="411"/>
        <v>#N/A</v>
      </c>
      <c r="AF939" s="344"/>
      <c r="AG939" s="359">
        <f t="shared" ca="1" si="433"/>
        <v>1.8373741036631985</v>
      </c>
      <c r="AH939" s="357">
        <f t="shared" ca="1" si="434"/>
        <v>-7.9339283536893541</v>
      </c>
    </row>
    <row r="940" spans="1:34">
      <c r="A940" s="402">
        <f t="shared" ca="1" si="412"/>
        <v>1E-4</v>
      </c>
      <c r="B940" s="357">
        <f t="shared" ca="1" si="413"/>
        <v>16.958699999999837</v>
      </c>
      <c r="C940" s="342"/>
      <c r="D940" s="359">
        <f t="shared" ca="1" si="414"/>
        <v>-0.70400747962553212</v>
      </c>
      <c r="E940" s="360">
        <f t="shared" ca="1" si="415"/>
        <v>-1.9073113854082671</v>
      </c>
      <c r="F940" s="357">
        <f t="shared" ca="1" si="416"/>
        <v>2.0330920422540384</v>
      </c>
      <c r="G940" s="359">
        <f t="shared" ca="1" si="417"/>
        <v>4.9795762833514283</v>
      </c>
      <c r="H940" s="360">
        <f t="shared" ca="1" si="418"/>
        <v>-55.898172349251141</v>
      </c>
      <c r="I940" s="357">
        <f t="shared" ca="1" si="419"/>
        <v>56.11953182224795</v>
      </c>
      <c r="J940" s="359">
        <f t="shared" ca="1" si="420"/>
        <v>184.26379383972827</v>
      </c>
      <c r="K940" s="360">
        <f t="shared" ca="1" si="421"/>
        <v>-8.2486417768613691</v>
      </c>
      <c r="L940" s="357">
        <f t="shared" ca="1" si="406"/>
        <v>184.44832829649843</v>
      </c>
      <c r="M940" s="359">
        <f t="shared" ca="1" si="422"/>
        <v>-1.4819478695307244</v>
      </c>
      <c r="N940" s="357">
        <f t="shared" ca="1" si="423"/>
        <v>-84.909358382514483</v>
      </c>
      <c r="O940" s="343"/>
      <c r="P940" s="363">
        <f t="shared" ca="1" si="424"/>
        <v>23</v>
      </c>
      <c r="Q940" s="357">
        <f t="shared" ca="1" si="425"/>
        <v>0</v>
      </c>
      <c r="R940" s="359">
        <f t="shared" ca="1" si="426"/>
        <v>0</v>
      </c>
      <c r="S940" s="360">
        <f t="shared" ca="1" si="427"/>
        <v>0.42898953648292248</v>
      </c>
      <c r="T940" s="357">
        <f t="shared" ca="1" si="407"/>
        <v>4.2083873528974696</v>
      </c>
      <c r="U940" s="364">
        <f t="shared" ca="1" si="408"/>
        <v>0</v>
      </c>
      <c r="V940" s="359">
        <f t="shared" ca="1" si="409"/>
        <v>1.226010875535174</v>
      </c>
      <c r="W940" s="357">
        <f t="shared" ca="1" si="410"/>
        <v>3.4036206255161474</v>
      </c>
      <c r="X940" s="343"/>
      <c r="Y940" s="367" t="str">
        <f t="shared" ca="1" si="428"/>
        <v/>
      </c>
      <c r="Z940" s="368" t="str">
        <f t="shared" ca="1" si="429"/>
        <v/>
      </c>
      <c r="AA940" s="369" t="str">
        <f t="shared" ca="1" si="430"/>
        <v/>
      </c>
      <c r="AB940" s="344"/>
      <c r="AC940" s="363" t="e">
        <f t="shared" ca="1" si="431"/>
        <v>#N/A</v>
      </c>
      <c r="AD940" s="376" t="e">
        <f t="shared" ca="1" si="432"/>
        <v>#N/A</v>
      </c>
      <c r="AE940" s="377" t="e">
        <f t="shared" ca="1" si="411"/>
        <v>#N/A</v>
      </c>
      <c r="AF940" s="344"/>
      <c r="AG940" s="359">
        <f t="shared" ca="1" si="433"/>
        <v>1.8373190665758976</v>
      </c>
      <c r="AH940" s="357">
        <f t="shared" ca="1" si="434"/>
        <v>-7.9339847410091799</v>
      </c>
    </row>
    <row r="941" spans="1:34">
      <c r="A941" s="402">
        <f t="shared" ca="1" si="412"/>
        <v>1E-4</v>
      </c>
      <c r="B941" s="357">
        <f t="shared" ca="1" si="413"/>
        <v>16.958799999999837</v>
      </c>
      <c r="C941" s="342"/>
      <c r="D941" s="359">
        <f t="shared" ca="1" si="414"/>
        <v>-0.70400022495508408</v>
      </c>
      <c r="E941" s="360">
        <f t="shared" ca="1" si="415"/>
        <v>-1.9072541298302177</v>
      </c>
      <c r="F941" s="357">
        <f t="shared" ca="1" si="416"/>
        <v>2.033035816824492</v>
      </c>
      <c r="G941" s="359">
        <f t="shared" ca="1" si="417"/>
        <v>4.9795058833289332</v>
      </c>
      <c r="H941" s="360">
        <f t="shared" ca="1" si="418"/>
        <v>-55.898363074664125</v>
      </c>
      <c r="I941" s="357">
        <f t="shared" ca="1" si="419"/>
        <v>56.119715548718538</v>
      </c>
      <c r="J941" s="359">
        <f t="shared" ca="1" si="420"/>
        <v>184.26379383972827</v>
      </c>
      <c r="K941" s="360">
        <f t="shared" ca="1" si="421"/>
        <v>-8.2542316036325651</v>
      </c>
      <c r="L941" s="357">
        <f t="shared" ca="1" si="406"/>
        <v>184.44857836149427</v>
      </c>
      <c r="M941" s="359">
        <f t="shared" ca="1" si="422"/>
        <v>-1.4819494206025059</v>
      </c>
      <c r="N941" s="357">
        <f t="shared" ca="1" si="423"/>
        <v>-84.90944725238127</v>
      </c>
      <c r="O941" s="343"/>
      <c r="P941" s="363">
        <f t="shared" ca="1" si="424"/>
        <v>23</v>
      </c>
      <c r="Q941" s="357">
        <f t="shared" ca="1" si="425"/>
        <v>0</v>
      </c>
      <c r="R941" s="359">
        <f t="shared" ca="1" si="426"/>
        <v>0</v>
      </c>
      <c r="S941" s="360">
        <f t="shared" ca="1" si="427"/>
        <v>0.42898953648292248</v>
      </c>
      <c r="T941" s="357">
        <f t="shared" ca="1" si="407"/>
        <v>4.2083873528974696</v>
      </c>
      <c r="U941" s="364">
        <f t="shared" ca="1" si="408"/>
        <v>0</v>
      </c>
      <c r="V941" s="359">
        <f t="shared" ca="1" si="409"/>
        <v>1.2260115608543238</v>
      </c>
      <c r="W941" s="357">
        <f t="shared" ca="1" si="410"/>
        <v>3.4036448139620448</v>
      </c>
      <c r="X941" s="343"/>
      <c r="Y941" s="367" t="str">
        <f t="shared" ca="1" si="428"/>
        <v/>
      </c>
      <c r="Z941" s="368" t="str">
        <f t="shared" ca="1" si="429"/>
        <v/>
      </c>
      <c r="AA941" s="369" t="str">
        <f t="shared" ca="1" si="430"/>
        <v/>
      </c>
      <c r="AB941" s="344"/>
      <c r="AC941" s="363" t="e">
        <f t="shared" ca="1" si="431"/>
        <v>#N/A</v>
      </c>
      <c r="AD941" s="376" t="e">
        <f t="shared" ca="1" si="432"/>
        <v>#N/A</v>
      </c>
      <c r="AE941" s="377" t="e">
        <f t="shared" ca="1" si="411"/>
        <v>#N/A</v>
      </c>
      <c r="AF941" s="344"/>
      <c r="AG941" s="359">
        <f t="shared" ca="1" si="433"/>
        <v>1.8372640307475763</v>
      </c>
      <c r="AH941" s="357">
        <f t="shared" ca="1" si="434"/>
        <v>-7.9340411270185864</v>
      </c>
    </row>
    <row r="942" spans="1:34">
      <c r="A942" s="402">
        <f t="shared" ca="1" si="412"/>
        <v>1E-4</v>
      </c>
      <c r="B942" s="357">
        <f t="shared" ca="1" si="413"/>
        <v>16.958899999999836</v>
      </c>
      <c r="C942" s="342"/>
      <c r="D942" s="359">
        <f t="shared" ca="1" si="414"/>
        <v>-0.70399297024600527</v>
      </c>
      <c r="E942" s="360">
        <f t="shared" ca="1" si="415"/>
        <v>-1.907196875583467</v>
      </c>
      <c r="F942" s="357">
        <f t="shared" ca="1" si="416"/>
        <v>2.0329795927138892</v>
      </c>
      <c r="G942" s="359">
        <f t="shared" ca="1" si="417"/>
        <v>4.9794354840319084</v>
      </c>
      <c r="H942" s="360">
        <f t="shared" ca="1" si="418"/>
        <v>-55.898553794351685</v>
      </c>
      <c r="I942" s="357">
        <f t="shared" ca="1" si="419"/>
        <v>56.119899269685661</v>
      </c>
      <c r="J942" s="359">
        <f t="shared" ca="1" si="420"/>
        <v>184.26379383972827</v>
      </c>
      <c r="K942" s="360">
        <f t="shared" ca="1" si="421"/>
        <v>-8.259821449476016</v>
      </c>
      <c r="L942" s="357">
        <f t="shared" ca="1" si="406"/>
        <v>184.44882859640802</v>
      </c>
      <c r="M942" s="359">
        <f t="shared" ca="1" si="422"/>
        <v>-1.4819509716422032</v>
      </c>
      <c r="N942" s="357">
        <f t="shared" ca="1" si="423"/>
        <v>-84.909536120409797</v>
      </c>
      <c r="O942" s="343"/>
      <c r="P942" s="363">
        <f t="shared" ca="1" si="424"/>
        <v>23</v>
      </c>
      <c r="Q942" s="357">
        <f t="shared" ca="1" si="425"/>
        <v>0</v>
      </c>
      <c r="R942" s="359">
        <f t="shared" ca="1" si="426"/>
        <v>0</v>
      </c>
      <c r="S942" s="360">
        <f t="shared" ca="1" si="427"/>
        <v>0.42898953648292248</v>
      </c>
      <c r="T942" s="357">
        <f t="shared" ca="1" si="407"/>
        <v>4.2083873528974696</v>
      </c>
      <c r="U942" s="364">
        <f t="shared" ca="1" si="408"/>
        <v>0</v>
      </c>
      <c r="V942" s="359">
        <f t="shared" ca="1" si="409"/>
        <v>1.2260122461761946</v>
      </c>
      <c r="W942" s="357">
        <f t="shared" ca="1" si="410"/>
        <v>3.4036690018458011</v>
      </c>
      <c r="X942" s="343"/>
      <c r="Y942" s="367" t="str">
        <f t="shared" ca="1" si="428"/>
        <v/>
      </c>
      <c r="Z942" s="368" t="str">
        <f t="shared" ca="1" si="429"/>
        <v/>
      </c>
      <c r="AA942" s="369" t="str">
        <f t="shared" ca="1" si="430"/>
        <v/>
      </c>
      <c r="AB942" s="344"/>
      <c r="AC942" s="363" t="e">
        <f t="shared" ca="1" si="431"/>
        <v>#N/A</v>
      </c>
      <c r="AD942" s="376" t="e">
        <f t="shared" ca="1" si="432"/>
        <v>#N/A</v>
      </c>
      <c r="AE942" s="377" t="e">
        <f t="shared" ca="1" si="411"/>
        <v>#N/A</v>
      </c>
      <c r="AF942" s="344"/>
      <c r="AG942" s="359">
        <f t="shared" ca="1" si="433"/>
        <v>1.8372089961782034</v>
      </c>
      <c r="AH942" s="357">
        <f t="shared" ca="1" si="434"/>
        <v>-7.9340975117176065</v>
      </c>
    </row>
    <row r="943" spans="1:34">
      <c r="A943" s="402">
        <f t="shared" ca="1" si="412"/>
        <v>1E-4</v>
      </c>
      <c r="B943" s="357">
        <f t="shared" ca="1" si="413"/>
        <v>16.958999999999836</v>
      </c>
      <c r="C943" s="342"/>
      <c r="D943" s="359">
        <f t="shared" ca="1" si="414"/>
        <v>-0.70398571549829725</v>
      </c>
      <c r="E943" s="360">
        <f t="shared" ca="1" si="415"/>
        <v>-1.9071396226680113</v>
      </c>
      <c r="F943" s="357">
        <f t="shared" ca="1" si="416"/>
        <v>2.0329233699222247</v>
      </c>
      <c r="G943" s="359">
        <f t="shared" ca="1" si="417"/>
        <v>4.9793650854603584</v>
      </c>
      <c r="H943" s="360">
        <f t="shared" ca="1" si="418"/>
        <v>-55.898744508313953</v>
      </c>
      <c r="I943" s="357">
        <f t="shared" ca="1" si="419"/>
        <v>56.120082985149452</v>
      </c>
      <c r="J943" s="359">
        <f t="shared" ca="1" si="420"/>
        <v>184.26379383972827</v>
      </c>
      <c r="K943" s="360">
        <f t="shared" ca="1" si="421"/>
        <v>-8.2654113143911498</v>
      </c>
      <c r="L943" s="357">
        <f t="shared" ca="1" si="406"/>
        <v>184.44907900124076</v>
      </c>
      <c r="M943" s="359">
        <f t="shared" ca="1" si="422"/>
        <v>-1.4819525226498174</v>
      </c>
      <c r="N943" s="357">
        <f t="shared" ca="1" si="423"/>
        <v>-84.909624986600079</v>
      </c>
      <c r="O943" s="343"/>
      <c r="P943" s="363">
        <f t="shared" ca="1" si="424"/>
        <v>23</v>
      </c>
      <c r="Q943" s="357">
        <f t="shared" ca="1" si="425"/>
        <v>0</v>
      </c>
      <c r="R943" s="359">
        <f t="shared" ca="1" si="426"/>
        <v>0</v>
      </c>
      <c r="S943" s="360">
        <f t="shared" ca="1" si="427"/>
        <v>0.42898953648292248</v>
      </c>
      <c r="T943" s="357">
        <f t="shared" ca="1" si="407"/>
        <v>4.2083873528974696</v>
      </c>
      <c r="U943" s="364">
        <f t="shared" ca="1" si="408"/>
        <v>0</v>
      </c>
      <c r="V943" s="359">
        <f t="shared" ca="1" si="409"/>
        <v>1.2260129315007873</v>
      </c>
      <c r="W943" s="357">
        <f t="shared" ca="1" si="410"/>
        <v>3.4036931891674276</v>
      </c>
      <c r="X943" s="343"/>
      <c r="Y943" s="367" t="str">
        <f t="shared" ca="1" si="428"/>
        <v/>
      </c>
      <c r="Z943" s="368" t="str">
        <f t="shared" ca="1" si="429"/>
        <v/>
      </c>
      <c r="AA943" s="369" t="str">
        <f t="shared" ca="1" si="430"/>
        <v/>
      </c>
      <c r="AB943" s="344"/>
      <c r="AC943" s="363" t="e">
        <f t="shared" ca="1" si="431"/>
        <v>#N/A</v>
      </c>
      <c r="AD943" s="376" t="e">
        <f t="shared" ca="1" si="432"/>
        <v>#N/A</v>
      </c>
      <c r="AE943" s="377" t="e">
        <f t="shared" ca="1" si="411"/>
        <v>#N/A</v>
      </c>
      <c r="AF943" s="344"/>
      <c r="AG943" s="359">
        <f t="shared" ca="1" si="433"/>
        <v>1.8371539628677782</v>
      </c>
      <c r="AH943" s="357">
        <f t="shared" ca="1" si="434"/>
        <v>-7.9341538951062427</v>
      </c>
    </row>
    <row r="944" spans="1:34">
      <c r="A944" s="402">
        <f t="shared" ca="1" si="412"/>
        <v>1E-4</v>
      </c>
      <c r="B944" s="357">
        <f t="shared" ca="1" si="413"/>
        <v>16.959099999999836</v>
      </c>
      <c r="C944" s="342"/>
      <c r="D944" s="359">
        <f t="shared" ca="1" si="414"/>
        <v>-0.70397846071196668</v>
      </c>
      <c r="E944" s="360">
        <f t="shared" ca="1" si="415"/>
        <v>-1.9070823710838241</v>
      </c>
      <c r="F944" s="357">
        <f t="shared" ca="1" si="416"/>
        <v>2.0328671484494727</v>
      </c>
      <c r="G944" s="359">
        <f t="shared" ca="1" si="417"/>
        <v>4.9792946876142876</v>
      </c>
      <c r="H944" s="360">
        <f t="shared" ca="1" si="418"/>
        <v>-55.89893521655106</v>
      </c>
      <c r="I944" s="357">
        <f t="shared" ca="1" si="419"/>
        <v>56.120266695110033</v>
      </c>
      <c r="J944" s="359">
        <f t="shared" ca="1" si="420"/>
        <v>184.26379383972827</v>
      </c>
      <c r="K944" s="360">
        <f t="shared" ca="1" si="421"/>
        <v>-8.2710011983773928</v>
      </c>
      <c r="L944" s="357">
        <f t="shared" ca="1" si="406"/>
        <v>184.44932957599343</v>
      </c>
      <c r="M944" s="359">
        <f t="shared" ca="1" si="422"/>
        <v>-1.4819540736253489</v>
      </c>
      <c r="N944" s="357">
        <f t="shared" ca="1" si="423"/>
        <v>-84.909713850952159</v>
      </c>
      <c r="O944" s="343"/>
      <c r="P944" s="363">
        <f t="shared" ca="1" si="424"/>
        <v>23</v>
      </c>
      <c r="Q944" s="357">
        <f t="shared" ca="1" si="425"/>
        <v>0</v>
      </c>
      <c r="R944" s="359">
        <f t="shared" ca="1" si="426"/>
        <v>0</v>
      </c>
      <c r="S944" s="360">
        <f t="shared" ca="1" si="427"/>
        <v>0.42898953648292248</v>
      </c>
      <c r="T944" s="357">
        <f t="shared" ca="1" si="407"/>
        <v>4.2083873528974696</v>
      </c>
      <c r="U944" s="364">
        <f t="shared" ca="1" si="408"/>
        <v>0</v>
      </c>
      <c r="V944" s="359">
        <f t="shared" ca="1" si="409"/>
        <v>1.2260136168281011</v>
      </c>
      <c r="W944" s="357">
        <f t="shared" ca="1" si="410"/>
        <v>3.4037173759269304</v>
      </c>
      <c r="X944" s="343"/>
      <c r="Y944" s="367" t="str">
        <f t="shared" ca="1" si="428"/>
        <v/>
      </c>
      <c r="Z944" s="368" t="str">
        <f t="shared" ca="1" si="429"/>
        <v/>
      </c>
      <c r="AA944" s="369" t="str">
        <f t="shared" ca="1" si="430"/>
        <v/>
      </c>
      <c r="AB944" s="344"/>
      <c r="AC944" s="363" t="e">
        <f t="shared" ca="1" si="431"/>
        <v>#N/A</v>
      </c>
      <c r="AD944" s="376" t="e">
        <f t="shared" ca="1" si="432"/>
        <v>#N/A</v>
      </c>
      <c r="AE944" s="377" t="e">
        <f t="shared" ca="1" si="411"/>
        <v>#N/A</v>
      </c>
      <c r="AF944" s="344"/>
      <c r="AG944" s="359">
        <f t="shared" ca="1" si="433"/>
        <v>1.8370989308162784</v>
      </c>
      <c r="AH944" s="357">
        <f t="shared" ca="1" si="434"/>
        <v>-7.9342102771845209</v>
      </c>
    </row>
    <row r="945" spans="1:34">
      <c r="A945" s="402">
        <f t="shared" ca="1" si="412"/>
        <v>1E-4</v>
      </c>
      <c r="B945" s="357">
        <f t="shared" ca="1" si="413"/>
        <v>16.959199999999836</v>
      </c>
      <c r="C945" s="342"/>
      <c r="D945" s="359">
        <f t="shared" ca="1" si="414"/>
        <v>-0.70397120588702111</v>
      </c>
      <c r="E945" s="360">
        <f t="shared" ca="1" si="415"/>
        <v>-1.9070251208308919</v>
      </c>
      <c r="F945" s="357">
        <f t="shared" ca="1" si="416"/>
        <v>2.0328109282956213</v>
      </c>
      <c r="G945" s="359">
        <f t="shared" ca="1" si="417"/>
        <v>4.9792242904936987</v>
      </c>
      <c r="H945" s="360">
        <f t="shared" ca="1" si="418"/>
        <v>-55.899125919063145</v>
      </c>
      <c r="I945" s="357">
        <f t="shared" ca="1" si="419"/>
        <v>56.120450399567531</v>
      </c>
      <c r="J945" s="359">
        <f t="shared" ca="1" si="420"/>
        <v>184.26379383972827</v>
      </c>
      <c r="K945" s="360">
        <f t="shared" ca="1" si="421"/>
        <v>-8.2765911014341729</v>
      </c>
      <c r="L945" s="357">
        <f t="shared" ca="1" si="406"/>
        <v>184.44958032066711</v>
      </c>
      <c r="M945" s="359">
        <f t="shared" ca="1" si="422"/>
        <v>-1.481955624568799</v>
      </c>
      <c r="N945" s="357">
        <f t="shared" ca="1" si="423"/>
        <v>-84.909802713466121</v>
      </c>
      <c r="O945" s="343"/>
      <c r="P945" s="363">
        <f t="shared" ca="1" si="424"/>
        <v>23</v>
      </c>
      <c r="Q945" s="357">
        <f t="shared" ca="1" si="425"/>
        <v>0</v>
      </c>
      <c r="R945" s="359">
        <f t="shared" ca="1" si="426"/>
        <v>0</v>
      </c>
      <c r="S945" s="360">
        <f t="shared" ca="1" si="427"/>
        <v>0.42898953648292248</v>
      </c>
      <c r="T945" s="357">
        <f t="shared" ca="1" si="407"/>
        <v>4.2083873528974696</v>
      </c>
      <c r="U945" s="364">
        <f t="shared" ca="1" si="408"/>
        <v>0</v>
      </c>
      <c r="V945" s="359">
        <f t="shared" ca="1" si="409"/>
        <v>1.2260143021581367</v>
      </c>
      <c r="W945" s="357">
        <f t="shared" ca="1" si="410"/>
        <v>3.4037415621243188</v>
      </c>
      <c r="X945" s="343"/>
      <c r="Y945" s="367" t="str">
        <f t="shared" ca="1" si="428"/>
        <v/>
      </c>
      <c r="Z945" s="368" t="str">
        <f t="shared" ca="1" si="429"/>
        <v/>
      </c>
      <c r="AA945" s="369" t="str">
        <f t="shared" ca="1" si="430"/>
        <v/>
      </c>
      <c r="AB945" s="344"/>
      <c r="AC945" s="363" t="e">
        <f t="shared" ca="1" si="431"/>
        <v>#N/A</v>
      </c>
      <c r="AD945" s="376" t="e">
        <f t="shared" ca="1" si="432"/>
        <v>#N/A</v>
      </c>
      <c r="AE945" s="377" t="e">
        <f t="shared" ca="1" si="411"/>
        <v>#N/A</v>
      </c>
      <c r="AF945" s="344"/>
      <c r="AG945" s="359">
        <f t="shared" ca="1" si="433"/>
        <v>1.8370439000236933</v>
      </c>
      <c r="AH945" s="357">
        <f t="shared" ca="1" si="434"/>
        <v>-7.9342666579524552</v>
      </c>
    </row>
    <row r="946" spans="1:34">
      <c r="A946" s="402">
        <f t="shared" ca="1" si="412"/>
        <v>1E-4</v>
      </c>
      <c r="B946" s="357">
        <f t="shared" ca="1" si="413"/>
        <v>16.959299999999836</v>
      </c>
      <c r="C946" s="342"/>
      <c r="D946" s="359">
        <f t="shared" ca="1" si="414"/>
        <v>-0.70396395102346543</v>
      </c>
      <c r="E946" s="360">
        <f t="shared" ca="1" si="415"/>
        <v>-1.90696787190919</v>
      </c>
      <c r="F946" s="357">
        <f t="shared" ca="1" si="416"/>
        <v>2.0327547094606455</v>
      </c>
      <c r="G946" s="359">
        <f t="shared" ca="1" si="417"/>
        <v>4.9791538940985962</v>
      </c>
      <c r="H946" s="360">
        <f t="shared" ca="1" si="418"/>
        <v>-55.899316615850339</v>
      </c>
      <c r="I946" s="357">
        <f t="shared" ca="1" si="419"/>
        <v>56.120634098522082</v>
      </c>
      <c r="J946" s="359">
        <f t="shared" ca="1" si="420"/>
        <v>184.26379383972827</v>
      </c>
      <c r="K946" s="360">
        <f t="shared" ca="1" si="421"/>
        <v>-8.2821810235609181</v>
      </c>
      <c r="L946" s="357">
        <f t="shared" ca="1" si="406"/>
        <v>184.44983123526276</v>
      </c>
      <c r="M946" s="359">
        <f t="shared" ca="1" si="422"/>
        <v>-1.4819571754801686</v>
      </c>
      <c r="N946" s="357">
        <f t="shared" ca="1" si="423"/>
        <v>-84.909891574141994</v>
      </c>
      <c r="O946" s="343"/>
      <c r="P946" s="363">
        <f t="shared" ca="1" si="424"/>
        <v>23</v>
      </c>
      <c r="Q946" s="357">
        <f t="shared" ca="1" si="425"/>
        <v>0</v>
      </c>
      <c r="R946" s="359">
        <f t="shared" ca="1" si="426"/>
        <v>0</v>
      </c>
      <c r="S946" s="360">
        <f t="shared" ca="1" si="427"/>
        <v>0.42898953648292248</v>
      </c>
      <c r="T946" s="357">
        <f t="shared" ca="1" si="407"/>
        <v>4.2083873528974696</v>
      </c>
      <c r="U946" s="364">
        <f t="shared" ca="1" si="408"/>
        <v>0</v>
      </c>
      <c r="V946" s="359">
        <f t="shared" ca="1" si="409"/>
        <v>1.2260149874908932</v>
      </c>
      <c r="W946" s="357">
        <f t="shared" ca="1" si="410"/>
        <v>3.4037657477596004</v>
      </c>
      <c r="X946" s="343"/>
      <c r="Y946" s="367" t="str">
        <f t="shared" ca="1" si="428"/>
        <v/>
      </c>
      <c r="Z946" s="368" t="str">
        <f t="shared" ca="1" si="429"/>
        <v/>
      </c>
      <c r="AA946" s="369" t="str">
        <f t="shared" ca="1" si="430"/>
        <v/>
      </c>
      <c r="AB946" s="344"/>
      <c r="AC946" s="363" t="e">
        <f t="shared" ca="1" si="431"/>
        <v>#N/A</v>
      </c>
      <c r="AD946" s="376" t="e">
        <f t="shared" ca="1" si="432"/>
        <v>#N/A</v>
      </c>
      <c r="AE946" s="377" t="e">
        <f t="shared" ca="1" si="411"/>
        <v>#N/A</v>
      </c>
      <c r="AF946" s="344"/>
      <c r="AG946" s="359">
        <f t="shared" ca="1" si="433"/>
        <v>1.8369888704900008</v>
      </c>
      <c r="AH946" s="357">
        <f t="shared" ca="1" si="434"/>
        <v>-7.9343230374100679</v>
      </c>
    </row>
    <row r="947" spans="1:34">
      <c r="A947" s="402">
        <f t="shared" ca="1" si="412"/>
        <v>1E-4</v>
      </c>
      <c r="B947" s="357">
        <f t="shared" ca="1" si="413"/>
        <v>16.959399999999835</v>
      </c>
      <c r="C947" s="342"/>
      <c r="D947" s="359">
        <f t="shared" ca="1" si="414"/>
        <v>-0.70395669612130574</v>
      </c>
      <c r="E947" s="360">
        <f t="shared" ca="1" si="415"/>
        <v>-1.9069106243187033</v>
      </c>
      <c r="F947" s="357">
        <f t="shared" ca="1" si="416"/>
        <v>2.0326984919445312</v>
      </c>
      <c r="G947" s="359">
        <f t="shared" ca="1" si="417"/>
        <v>4.9790834984289845</v>
      </c>
      <c r="H947" s="360">
        <f t="shared" ca="1" si="418"/>
        <v>-55.899507306912767</v>
      </c>
      <c r="I947" s="357">
        <f t="shared" ca="1" si="419"/>
        <v>56.120817791973785</v>
      </c>
      <c r="J947" s="359">
        <f t="shared" ca="1" si="420"/>
        <v>184.26379383972827</v>
      </c>
      <c r="K947" s="360">
        <f t="shared" ca="1" si="421"/>
        <v>-8.2877709647570565</v>
      </c>
      <c r="L947" s="357">
        <f t="shared" ca="1" si="406"/>
        <v>184.45008231978144</v>
      </c>
      <c r="M947" s="359">
        <f t="shared" ca="1" si="422"/>
        <v>-1.4819587263594587</v>
      </c>
      <c r="N947" s="357">
        <f t="shared" ca="1" si="423"/>
        <v>-84.90998043297985</v>
      </c>
      <c r="O947" s="343"/>
      <c r="P947" s="363">
        <f t="shared" ca="1" si="424"/>
        <v>23</v>
      </c>
      <c r="Q947" s="357">
        <f t="shared" ca="1" si="425"/>
        <v>0</v>
      </c>
      <c r="R947" s="359">
        <f t="shared" ca="1" si="426"/>
        <v>0</v>
      </c>
      <c r="S947" s="360">
        <f t="shared" ca="1" si="427"/>
        <v>0.42898953648292248</v>
      </c>
      <c r="T947" s="357">
        <f t="shared" ca="1" si="407"/>
        <v>4.2083873528974696</v>
      </c>
      <c r="U947" s="364">
        <f t="shared" ca="1" si="408"/>
        <v>0</v>
      </c>
      <c r="V947" s="359">
        <f t="shared" ca="1" si="409"/>
        <v>1.2260156728263709</v>
      </c>
      <c r="W947" s="357">
        <f t="shared" ca="1" si="410"/>
        <v>3.4037899328327805</v>
      </c>
      <c r="X947" s="343"/>
      <c r="Y947" s="367" t="str">
        <f t="shared" ca="1" si="428"/>
        <v/>
      </c>
      <c r="Z947" s="368" t="str">
        <f t="shared" ca="1" si="429"/>
        <v/>
      </c>
      <c r="AA947" s="369" t="str">
        <f t="shared" ca="1" si="430"/>
        <v/>
      </c>
      <c r="AB947" s="344"/>
      <c r="AC947" s="363" t="e">
        <f t="shared" ca="1" si="431"/>
        <v>#N/A</v>
      </c>
      <c r="AD947" s="376" t="e">
        <f t="shared" ca="1" si="432"/>
        <v>#N/A</v>
      </c>
      <c r="AE947" s="377" t="e">
        <f t="shared" ca="1" si="411"/>
        <v>#N/A</v>
      </c>
      <c r="AF947" s="344"/>
      <c r="AG947" s="359">
        <f t="shared" ca="1" si="433"/>
        <v>1.8369338422151884</v>
      </c>
      <c r="AH947" s="357">
        <f t="shared" ca="1" si="434"/>
        <v>-7.9343794155573768</v>
      </c>
    </row>
    <row r="948" spans="1:34">
      <c r="A948" s="402">
        <f t="shared" ca="1" si="412"/>
        <v>1E-4</v>
      </c>
      <c r="B948" s="357">
        <f t="shared" ca="1" si="413"/>
        <v>16.959499999999835</v>
      </c>
      <c r="C948" s="342"/>
      <c r="D948" s="359">
        <f t="shared" ca="1" si="414"/>
        <v>-0.70394944118054581</v>
      </c>
      <c r="E948" s="360">
        <f t="shared" ca="1" si="415"/>
        <v>-1.9068533780594183</v>
      </c>
      <c r="F948" s="357">
        <f t="shared" ca="1" si="416"/>
        <v>2.0326422757472642</v>
      </c>
      <c r="G948" s="359">
        <f t="shared" ca="1" si="417"/>
        <v>4.9790131034848661</v>
      </c>
      <c r="H948" s="360">
        <f t="shared" ca="1" si="418"/>
        <v>-55.899697992250573</v>
      </c>
      <c r="I948" s="357">
        <f t="shared" ca="1" si="419"/>
        <v>56.121001479922796</v>
      </c>
      <c r="J948" s="359">
        <f t="shared" ca="1" si="420"/>
        <v>184.26379383972827</v>
      </c>
      <c r="K948" s="360">
        <f t="shared" ca="1" si="421"/>
        <v>-8.2933609250220144</v>
      </c>
      <c r="L948" s="357">
        <f t="shared" ca="1" si="406"/>
        <v>184.45033357422415</v>
      </c>
      <c r="M948" s="359">
        <f t="shared" ca="1" si="422"/>
        <v>-1.4819602772066698</v>
      </c>
      <c r="N948" s="357">
        <f t="shared" ca="1" si="423"/>
        <v>-84.910069289979717</v>
      </c>
      <c r="O948" s="343"/>
      <c r="P948" s="363">
        <f t="shared" ca="1" si="424"/>
        <v>23</v>
      </c>
      <c r="Q948" s="357">
        <f t="shared" ca="1" si="425"/>
        <v>0</v>
      </c>
      <c r="R948" s="359">
        <f t="shared" ca="1" si="426"/>
        <v>0</v>
      </c>
      <c r="S948" s="360">
        <f t="shared" ca="1" si="427"/>
        <v>0.42898953648292248</v>
      </c>
      <c r="T948" s="357">
        <f t="shared" ca="1" si="407"/>
        <v>4.2083873528974696</v>
      </c>
      <c r="U948" s="364">
        <f t="shared" ca="1" si="408"/>
        <v>0</v>
      </c>
      <c r="V948" s="359">
        <f t="shared" ca="1" si="409"/>
        <v>1.2260163581645696</v>
      </c>
      <c r="W948" s="357">
        <f t="shared" ca="1" si="410"/>
        <v>3.4038141173438676</v>
      </c>
      <c r="X948" s="343"/>
      <c r="Y948" s="367" t="str">
        <f t="shared" ca="1" si="428"/>
        <v/>
      </c>
      <c r="Z948" s="368" t="str">
        <f t="shared" ca="1" si="429"/>
        <v/>
      </c>
      <c r="AA948" s="369" t="str">
        <f t="shared" ca="1" si="430"/>
        <v/>
      </c>
      <c r="AB948" s="344"/>
      <c r="AC948" s="363" t="e">
        <f t="shared" ca="1" si="431"/>
        <v>#N/A</v>
      </c>
      <c r="AD948" s="376" t="e">
        <f t="shared" ca="1" si="432"/>
        <v>#N/A</v>
      </c>
      <c r="AE948" s="377" t="e">
        <f t="shared" ca="1" si="411"/>
        <v>#N/A</v>
      </c>
      <c r="AF948" s="344"/>
      <c r="AG948" s="359">
        <f t="shared" ca="1" si="433"/>
        <v>1.836878815199241</v>
      </c>
      <c r="AH948" s="357">
        <f t="shared" ca="1" si="434"/>
        <v>-7.9344357923943933</v>
      </c>
    </row>
    <row r="949" spans="1:34">
      <c r="A949" s="402">
        <f t="shared" ca="1" si="412"/>
        <v>1E-4</v>
      </c>
      <c r="B949" s="357">
        <f t="shared" ca="1" si="413"/>
        <v>16.959599999999835</v>
      </c>
      <c r="C949" s="342"/>
      <c r="D949" s="359">
        <f t="shared" ca="1" si="414"/>
        <v>-0.70394218620119553</v>
      </c>
      <c r="E949" s="360">
        <f t="shared" ca="1" si="415"/>
        <v>-1.9067961331313139</v>
      </c>
      <c r="F949" s="357">
        <f t="shared" ca="1" si="416"/>
        <v>2.0325860608688258</v>
      </c>
      <c r="G949" s="359">
        <f t="shared" ca="1" si="417"/>
        <v>4.9789427092662457</v>
      </c>
      <c r="H949" s="360">
        <f t="shared" ca="1" si="418"/>
        <v>-55.899888671863884</v>
      </c>
      <c r="I949" s="357">
        <f t="shared" ca="1" si="419"/>
        <v>56.121185162369223</v>
      </c>
      <c r="J949" s="359">
        <f t="shared" ca="1" si="420"/>
        <v>184.26379383972827</v>
      </c>
      <c r="K949" s="360">
        <f t="shared" ca="1" si="421"/>
        <v>-8.2989509043552196</v>
      </c>
      <c r="L949" s="357">
        <f t="shared" ca="1" si="406"/>
        <v>184.45058499859192</v>
      </c>
      <c r="M949" s="359">
        <f t="shared" ca="1" si="422"/>
        <v>-1.4819618280218032</v>
      </c>
      <c r="N949" s="357">
        <f t="shared" ca="1" si="423"/>
        <v>-84.910158145141665</v>
      </c>
      <c r="O949" s="343"/>
      <c r="P949" s="363">
        <f t="shared" ca="1" si="424"/>
        <v>23</v>
      </c>
      <c r="Q949" s="357">
        <f t="shared" ca="1" si="425"/>
        <v>0</v>
      </c>
      <c r="R949" s="359">
        <f t="shared" ca="1" si="426"/>
        <v>0</v>
      </c>
      <c r="S949" s="360">
        <f t="shared" ca="1" si="427"/>
        <v>0.42898953648292248</v>
      </c>
      <c r="T949" s="357">
        <f t="shared" ca="1" si="407"/>
        <v>4.2083873528974696</v>
      </c>
      <c r="U949" s="364">
        <f t="shared" ca="1" si="408"/>
        <v>0</v>
      </c>
      <c r="V949" s="359">
        <f t="shared" ca="1" si="409"/>
        <v>1.2260170435054896</v>
      </c>
      <c r="W949" s="357">
        <f t="shared" ca="1" si="410"/>
        <v>3.4038383012928715</v>
      </c>
      <c r="X949" s="343"/>
      <c r="Y949" s="367" t="str">
        <f t="shared" ca="1" si="428"/>
        <v/>
      </c>
      <c r="Z949" s="368" t="str">
        <f t="shared" ca="1" si="429"/>
        <v/>
      </c>
      <c r="AA949" s="369" t="str">
        <f t="shared" ca="1" si="430"/>
        <v/>
      </c>
      <c r="AB949" s="344"/>
      <c r="AC949" s="363" t="e">
        <f t="shared" ca="1" si="431"/>
        <v>#N/A</v>
      </c>
      <c r="AD949" s="376" t="e">
        <f t="shared" ca="1" si="432"/>
        <v>#N/A</v>
      </c>
      <c r="AE949" s="377" t="e">
        <f t="shared" ca="1" si="411"/>
        <v>#N/A</v>
      </c>
      <c r="AF949" s="344"/>
      <c r="AG949" s="359">
        <f t="shared" ca="1" si="433"/>
        <v>1.8368237894421471</v>
      </c>
      <c r="AH949" s="357">
        <f t="shared" ca="1" si="434"/>
        <v>-7.934492167921138</v>
      </c>
    </row>
    <row r="950" spans="1:34">
      <c r="A950" s="402">
        <f t="shared" ca="1" si="412"/>
        <v>1E-4</v>
      </c>
      <c r="B950" s="357">
        <f t="shared" ca="1" si="413"/>
        <v>16.959699999999835</v>
      </c>
      <c r="C950" s="342"/>
      <c r="D950" s="359">
        <f t="shared" ca="1" si="414"/>
        <v>-0.70393493118325801</v>
      </c>
      <c r="E950" s="360">
        <f t="shared" ca="1" si="415"/>
        <v>-1.9067388895343687</v>
      </c>
      <c r="F950" s="357">
        <f t="shared" ca="1" si="416"/>
        <v>2.0325298473091942</v>
      </c>
      <c r="G950" s="359">
        <f t="shared" ca="1" si="417"/>
        <v>4.9788723157731276</v>
      </c>
      <c r="H950" s="360">
        <f t="shared" ca="1" si="418"/>
        <v>-55.900079345752836</v>
      </c>
      <c r="I950" s="357">
        <f t="shared" ca="1" si="419"/>
        <v>56.121368839313206</v>
      </c>
      <c r="J950" s="359">
        <f t="shared" ca="1" si="420"/>
        <v>184.26379383972827</v>
      </c>
      <c r="K950" s="360">
        <f t="shared" ca="1" si="421"/>
        <v>-8.3045409027561004</v>
      </c>
      <c r="L950" s="357">
        <f t="shared" ca="1" si="406"/>
        <v>184.45083659288574</v>
      </c>
      <c r="M950" s="359">
        <f t="shared" ca="1" si="422"/>
        <v>-1.4819633788048596</v>
      </c>
      <c r="N950" s="357">
        <f t="shared" ca="1" si="423"/>
        <v>-84.910246998465738</v>
      </c>
      <c r="O950" s="343"/>
      <c r="P950" s="363">
        <f t="shared" ca="1" si="424"/>
        <v>23</v>
      </c>
      <c r="Q950" s="357">
        <f t="shared" ca="1" si="425"/>
        <v>0</v>
      </c>
      <c r="R950" s="359">
        <f t="shared" ca="1" si="426"/>
        <v>0</v>
      </c>
      <c r="S950" s="360">
        <f t="shared" ca="1" si="427"/>
        <v>0.42898953648292248</v>
      </c>
      <c r="T950" s="357">
        <f t="shared" ca="1" si="407"/>
        <v>4.2083873528974696</v>
      </c>
      <c r="U950" s="364">
        <f t="shared" ca="1" si="408"/>
        <v>0</v>
      </c>
      <c r="V950" s="359">
        <f t="shared" ca="1" si="409"/>
        <v>1.2260177288491303</v>
      </c>
      <c r="W950" s="357">
        <f t="shared" ca="1" si="410"/>
        <v>3.4038624846797987</v>
      </c>
      <c r="X950" s="343"/>
      <c r="Y950" s="367" t="str">
        <f t="shared" ca="1" si="428"/>
        <v/>
      </c>
      <c r="Z950" s="368" t="str">
        <f t="shared" ca="1" si="429"/>
        <v/>
      </c>
      <c r="AA950" s="369" t="str">
        <f t="shared" ca="1" si="430"/>
        <v/>
      </c>
      <c r="AB950" s="344"/>
      <c r="AC950" s="363" t="e">
        <f t="shared" ca="1" si="431"/>
        <v>#N/A</v>
      </c>
      <c r="AD950" s="376" t="e">
        <f t="shared" ca="1" si="432"/>
        <v>#N/A</v>
      </c>
      <c r="AE950" s="377" t="e">
        <f t="shared" ca="1" si="411"/>
        <v>#N/A</v>
      </c>
      <c r="AF950" s="344"/>
      <c r="AG950" s="359">
        <f t="shared" ca="1" si="433"/>
        <v>1.8367687649438809</v>
      </c>
      <c r="AH950" s="357">
        <f t="shared" ca="1" si="434"/>
        <v>-7.9345485421376329</v>
      </c>
    </row>
    <row r="951" spans="1:34">
      <c r="A951" s="402">
        <f t="shared" ca="1" si="412"/>
        <v>1E-4</v>
      </c>
      <c r="B951" s="357">
        <f t="shared" ca="1" si="413"/>
        <v>16.959799999999834</v>
      </c>
      <c r="C951" s="342"/>
      <c r="D951" s="359">
        <f t="shared" ca="1" si="414"/>
        <v>-0.7039276761267409</v>
      </c>
      <c r="E951" s="360">
        <f t="shared" ca="1" si="415"/>
        <v>-1.9066816472685648</v>
      </c>
      <c r="F951" s="357">
        <f t="shared" ca="1" si="416"/>
        <v>2.0324736350683521</v>
      </c>
      <c r="G951" s="359">
        <f t="shared" ca="1" si="417"/>
        <v>4.9788019230055145</v>
      </c>
      <c r="H951" s="360">
        <f t="shared" ca="1" si="418"/>
        <v>-55.900270013917563</v>
      </c>
      <c r="I951" s="357">
        <f t="shared" ca="1" si="419"/>
        <v>56.121552510754853</v>
      </c>
      <c r="J951" s="359">
        <f t="shared" ca="1" si="420"/>
        <v>184.26379383972827</v>
      </c>
      <c r="K951" s="360">
        <f t="shared" ca="1" si="421"/>
        <v>-8.3101309202240845</v>
      </c>
      <c r="L951" s="357">
        <f t="shared" ca="1" si="406"/>
        <v>184.45108835710661</v>
      </c>
      <c r="M951" s="359">
        <f t="shared" ca="1" si="422"/>
        <v>-1.4819649295558401</v>
      </c>
      <c r="N951" s="357">
        <f t="shared" ca="1" si="423"/>
        <v>-84.910335849951991</v>
      </c>
      <c r="O951" s="343"/>
      <c r="P951" s="363">
        <f t="shared" ca="1" si="424"/>
        <v>23</v>
      </c>
      <c r="Q951" s="357">
        <f t="shared" ca="1" si="425"/>
        <v>0</v>
      </c>
      <c r="R951" s="359">
        <f t="shared" ca="1" si="426"/>
        <v>0</v>
      </c>
      <c r="S951" s="360">
        <f t="shared" ca="1" si="427"/>
        <v>0.42898953648292248</v>
      </c>
      <c r="T951" s="357">
        <f t="shared" ca="1" si="407"/>
        <v>4.2083873528974696</v>
      </c>
      <c r="U951" s="364">
        <f t="shared" ca="1" si="408"/>
        <v>0</v>
      </c>
      <c r="V951" s="359">
        <f t="shared" ca="1" si="409"/>
        <v>1.2260184141954924</v>
      </c>
      <c r="W951" s="357">
        <f t="shared" ca="1" si="410"/>
        <v>3.403886667504656</v>
      </c>
      <c r="X951" s="343"/>
      <c r="Y951" s="367" t="str">
        <f t="shared" ca="1" si="428"/>
        <v/>
      </c>
      <c r="Z951" s="368" t="str">
        <f t="shared" ca="1" si="429"/>
        <v/>
      </c>
      <c r="AA951" s="369" t="str">
        <f t="shared" ca="1" si="430"/>
        <v/>
      </c>
      <c r="AB951" s="344"/>
      <c r="AC951" s="363" t="e">
        <f t="shared" ca="1" si="431"/>
        <v>#N/A</v>
      </c>
      <c r="AD951" s="376" t="e">
        <f t="shared" ca="1" si="432"/>
        <v>#N/A</v>
      </c>
      <c r="AE951" s="377" t="e">
        <f t="shared" ca="1" si="411"/>
        <v>#N/A</v>
      </c>
      <c r="AF951" s="344"/>
      <c r="AG951" s="359">
        <f t="shared" ca="1" si="433"/>
        <v>1.8367137417044335</v>
      </c>
      <c r="AH951" s="357">
        <f t="shared" ca="1" si="434"/>
        <v>-7.9346049150438942</v>
      </c>
    </row>
    <row r="952" spans="1:34">
      <c r="A952" s="402">
        <f t="shared" ca="1" si="412"/>
        <v>1E-4</v>
      </c>
      <c r="B952" s="357">
        <f t="shared" ca="1" si="413"/>
        <v>16.959899999999834</v>
      </c>
      <c r="C952" s="342"/>
      <c r="D952" s="359">
        <f t="shared" ca="1" si="414"/>
        <v>-0.7039204210316482</v>
      </c>
      <c r="E952" s="360">
        <f t="shared" ca="1" si="415"/>
        <v>-1.9066244063338891</v>
      </c>
      <c r="F952" s="357">
        <f t="shared" ca="1" si="416"/>
        <v>2.0324174241462871</v>
      </c>
      <c r="G952" s="359">
        <f t="shared" ca="1" si="417"/>
        <v>4.9787315309634117</v>
      </c>
      <c r="H952" s="360">
        <f t="shared" ca="1" si="418"/>
        <v>-55.900460676358193</v>
      </c>
      <c r="I952" s="357">
        <f t="shared" ca="1" si="419"/>
        <v>56.121736176694306</v>
      </c>
      <c r="J952" s="359">
        <f t="shared" ca="1" si="420"/>
        <v>184.26379383972827</v>
      </c>
      <c r="K952" s="360">
        <f t="shared" ca="1" si="421"/>
        <v>-8.3157209567585983</v>
      </c>
      <c r="L952" s="357">
        <f t="shared" ca="1" si="406"/>
        <v>184.45134029125555</v>
      </c>
      <c r="M952" s="359">
        <f t="shared" ca="1" si="422"/>
        <v>-1.4819664802747454</v>
      </c>
      <c r="N952" s="357">
        <f t="shared" ca="1" si="423"/>
        <v>-84.910424699600483</v>
      </c>
      <c r="O952" s="343"/>
      <c r="P952" s="363">
        <f t="shared" ca="1" si="424"/>
        <v>23</v>
      </c>
      <c r="Q952" s="357">
        <f t="shared" ca="1" si="425"/>
        <v>0</v>
      </c>
      <c r="R952" s="359">
        <f t="shared" ca="1" si="426"/>
        <v>0</v>
      </c>
      <c r="S952" s="360">
        <f t="shared" ca="1" si="427"/>
        <v>0.42898953648292248</v>
      </c>
      <c r="T952" s="357">
        <f t="shared" ca="1" si="407"/>
        <v>4.2083873528974696</v>
      </c>
      <c r="U952" s="364">
        <f t="shared" ca="1" si="408"/>
        <v>0</v>
      </c>
      <c r="V952" s="359">
        <f t="shared" ca="1" si="409"/>
        <v>1.2260190995445748</v>
      </c>
      <c r="W952" s="357">
        <f t="shared" ca="1" si="410"/>
        <v>3.4039108497674513</v>
      </c>
      <c r="X952" s="343"/>
      <c r="Y952" s="367" t="str">
        <f t="shared" ca="1" si="428"/>
        <v/>
      </c>
      <c r="Z952" s="368" t="str">
        <f t="shared" ca="1" si="429"/>
        <v/>
      </c>
      <c r="AA952" s="369" t="str">
        <f t="shared" ca="1" si="430"/>
        <v/>
      </c>
      <c r="AB952" s="344"/>
      <c r="AC952" s="363" t="e">
        <f t="shared" ca="1" si="431"/>
        <v>#N/A</v>
      </c>
      <c r="AD952" s="376" t="e">
        <f t="shared" ca="1" si="432"/>
        <v>#N/A</v>
      </c>
      <c r="AE952" s="377" t="e">
        <f t="shared" ca="1" si="411"/>
        <v>#N/A</v>
      </c>
      <c r="AF952" s="344"/>
      <c r="AG952" s="359">
        <f t="shared" ca="1" si="433"/>
        <v>1.836658719723788</v>
      </c>
      <c r="AH952" s="357">
        <f t="shared" ca="1" si="434"/>
        <v>-7.9346612866399369</v>
      </c>
    </row>
    <row r="953" spans="1:34">
      <c r="A953" s="402">
        <f t="shared" ca="1" si="412"/>
        <v>1E-4</v>
      </c>
      <c r="B953" s="357">
        <f t="shared" ca="1" si="413"/>
        <v>16.959999999999834</v>
      </c>
      <c r="C953" s="342"/>
      <c r="D953" s="359">
        <f t="shared" ca="1" si="414"/>
        <v>-0.70391316589798836</v>
      </c>
      <c r="E953" s="360">
        <f t="shared" ca="1" si="415"/>
        <v>-1.9065671667303192</v>
      </c>
      <c r="F953" s="357">
        <f t="shared" ca="1" si="416"/>
        <v>2.0323612145429775</v>
      </c>
      <c r="G953" s="359">
        <f t="shared" ca="1" si="417"/>
        <v>4.9786611396468219</v>
      </c>
      <c r="H953" s="360">
        <f t="shared" ca="1" si="418"/>
        <v>-55.900651333074869</v>
      </c>
      <c r="I953" s="357">
        <f t="shared" ca="1" si="419"/>
        <v>56.121919837131678</v>
      </c>
      <c r="J953" s="359">
        <f t="shared" ca="1" si="420"/>
        <v>184.26379383972827</v>
      </c>
      <c r="K953" s="360">
        <f t="shared" ca="1" si="421"/>
        <v>-8.3213110123590699</v>
      </c>
      <c r="L953" s="357">
        <f t="shared" ca="1" si="406"/>
        <v>184.45159239533359</v>
      </c>
      <c r="M953" s="359">
        <f t="shared" ca="1" si="422"/>
        <v>-1.4819680309615768</v>
      </c>
      <c r="N953" s="357">
        <f t="shared" ca="1" si="423"/>
        <v>-84.910513547411256</v>
      </c>
      <c r="O953" s="343"/>
      <c r="P953" s="363">
        <f t="shared" ca="1" si="424"/>
        <v>23</v>
      </c>
      <c r="Q953" s="357">
        <f t="shared" ca="1" si="425"/>
        <v>0</v>
      </c>
      <c r="R953" s="359">
        <f t="shared" ca="1" si="426"/>
        <v>0</v>
      </c>
      <c r="S953" s="360">
        <f t="shared" ca="1" si="427"/>
        <v>0.42898953648292248</v>
      </c>
      <c r="T953" s="357">
        <f t="shared" ca="1" si="407"/>
        <v>4.2083873528974696</v>
      </c>
      <c r="U953" s="364">
        <f t="shared" ca="1" si="408"/>
        <v>0</v>
      </c>
      <c r="V953" s="359">
        <f t="shared" ca="1" si="409"/>
        <v>1.2260197848963785</v>
      </c>
      <c r="W953" s="357">
        <f t="shared" ca="1" si="410"/>
        <v>3.4039350314681935</v>
      </c>
      <c r="X953" s="343"/>
      <c r="Y953" s="367" t="str">
        <f t="shared" ca="1" si="428"/>
        <v/>
      </c>
      <c r="Z953" s="368" t="str">
        <f t="shared" ca="1" si="429"/>
        <v/>
      </c>
      <c r="AA953" s="369" t="str">
        <f t="shared" ca="1" si="430"/>
        <v/>
      </c>
      <c r="AB953" s="344"/>
      <c r="AC953" s="363" t="e">
        <f t="shared" ca="1" si="431"/>
        <v>#N/A</v>
      </c>
      <c r="AD953" s="376" t="e">
        <f t="shared" ca="1" si="432"/>
        <v>#N/A</v>
      </c>
      <c r="AE953" s="377" t="e">
        <f t="shared" ca="1" si="411"/>
        <v>#N/A</v>
      </c>
      <c r="AF953" s="344"/>
      <c r="AG953" s="359">
        <f t="shared" ca="1" si="433"/>
        <v>1.8366036990019303</v>
      </c>
      <c r="AH953" s="357">
        <f t="shared" ca="1" si="434"/>
        <v>-7.9347176569257805</v>
      </c>
    </row>
    <row r="954" spans="1:34">
      <c r="A954" s="402">
        <f t="shared" ca="1" si="412"/>
        <v>1E-4</v>
      </c>
      <c r="B954" s="357">
        <f t="shared" ca="1" si="413"/>
        <v>16.960099999999834</v>
      </c>
      <c r="C954" s="342"/>
      <c r="D954" s="359">
        <f t="shared" ca="1" si="414"/>
        <v>-0.70390591072576369</v>
      </c>
      <c r="E954" s="360">
        <f t="shared" ca="1" si="415"/>
        <v>-1.9065099284578366</v>
      </c>
      <c r="F954" s="357">
        <f t="shared" ca="1" si="416"/>
        <v>2.032305006258404</v>
      </c>
      <c r="G954" s="359">
        <f t="shared" ca="1" si="417"/>
        <v>4.9785907490557495</v>
      </c>
      <c r="H954" s="360">
        <f t="shared" ca="1" si="418"/>
        <v>-55.900841984067718</v>
      </c>
      <c r="I954" s="357">
        <f t="shared" ca="1" si="419"/>
        <v>56.122103492067112</v>
      </c>
      <c r="J954" s="359">
        <f t="shared" ca="1" si="420"/>
        <v>184.26379383972827</v>
      </c>
      <c r="K954" s="360">
        <f t="shared" ca="1" si="421"/>
        <v>-8.3269010870249272</v>
      </c>
      <c r="L954" s="357">
        <f t="shared" ca="1" si="406"/>
        <v>184.45184466934174</v>
      </c>
      <c r="M954" s="359">
        <f t="shared" ca="1" si="422"/>
        <v>-1.4819695816163347</v>
      </c>
      <c r="N954" s="357">
        <f t="shared" ca="1" si="423"/>
        <v>-84.91060239338438</v>
      </c>
      <c r="O954" s="343"/>
      <c r="P954" s="363">
        <f t="shared" ca="1" si="424"/>
        <v>23</v>
      </c>
      <c r="Q954" s="357">
        <f t="shared" ca="1" si="425"/>
        <v>0</v>
      </c>
      <c r="R954" s="359">
        <f t="shared" ca="1" si="426"/>
        <v>0</v>
      </c>
      <c r="S954" s="360">
        <f t="shared" ca="1" si="427"/>
        <v>0.42898953648292248</v>
      </c>
      <c r="T954" s="357">
        <f t="shared" ca="1" si="407"/>
        <v>4.2083873528974696</v>
      </c>
      <c r="U954" s="364">
        <f t="shared" ca="1" si="408"/>
        <v>0</v>
      </c>
      <c r="V954" s="359">
        <f t="shared" ca="1" si="409"/>
        <v>1.2260204702509028</v>
      </c>
      <c r="W954" s="357">
        <f t="shared" ca="1" si="410"/>
        <v>3.4039592126068903</v>
      </c>
      <c r="X954" s="343"/>
      <c r="Y954" s="367" t="str">
        <f t="shared" ca="1" si="428"/>
        <v/>
      </c>
      <c r="Z954" s="368" t="str">
        <f t="shared" ca="1" si="429"/>
        <v/>
      </c>
      <c r="AA954" s="369" t="str">
        <f t="shared" ca="1" si="430"/>
        <v/>
      </c>
      <c r="AB954" s="344"/>
      <c r="AC954" s="363" t="e">
        <f t="shared" ca="1" si="431"/>
        <v>#N/A</v>
      </c>
      <c r="AD954" s="376" t="e">
        <f t="shared" ca="1" si="432"/>
        <v>#N/A</v>
      </c>
      <c r="AE954" s="377" t="e">
        <f t="shared" ca="1" si="411"/>
        <v>#N/A</v>
      </c>
      <c r="AF954" s="344"/>
      <c r="AG954" s="359">
        <f t="shared" ca="1" si="433"/>
        <v>1.8365486795388426</v>
      </c>
      <c r="AH954" s="357">
        <f t="shared" ca="1" si="434"/>
        <v>-7.9347740259014445</v>
      </c>
    </row>
    <row r="955" spans="1:34">
      <c r="A955" s="402">
        <f t="shared" ca="1" si="412"/>
        <v>1E-4</v>
      </c>
      <c r="B955" s="357">
        <f t="shared" ca="1" si="413"/>
        <v>16.960199999999833</v>
      </c>
      <c r="C955" s="342"/>
      <c r="D955" s="359">
        <f t="shared" ca="1" si="414"/>
        <v>-0.7038986555149841</v>
      </c>
      <c r="E955" s="360">
        <f t="shared" ca="1" si="415"/>
        <v>-1.9064526915164226</v>
      </c>
      <c r="F955" s="357">
        <f t="shared" ca="1" si="416"/>
        <v>2.0322487992925509</v>
      </c>
      <c r="G955" s="359">
        <f t="shared" ca="1" si="417"/>
        <v>4.9785203591901981</v>
      </c>
      <c r="H955" s="360">
        <f t="shared" ca="1" si="418"/>
        <v>-55.901032629336868</v>
      </c>
      <c r="I955" s="357">
        <f t="shared" ca="1" si="419"/>
        <v>56.122287141500713</v>
      </c>
      <c r="J955" s="359">
        <f t="shared" ca="1" si="420"/>
        <v>184.26379383972827</v>
      </c>
      <c r="K955" s="360">
        <f t="shared" ca="1" si="421"/>
        <v>-8.3324911807555981</v>
      </c>
      <c r="L955" s="357">
        <f t="shared" ca="1" si="406"/>
        <v>184.45209711328101</v>
      </c>
      <c r="M955" s="359">
        <f t="shared" ca="1" si="422"/>
        <v>-1.4819711322390205</v>
      </c>
      <c r="N955" s="357">
        <f t="shared" ca="1" si="423"/>
        <v>-84.910691237519885</v>
      </c>
      <c r="O955" s="343"/>
      <c r="P955" s="363">
        <f t="shared" ca="1" si="424"/>
        <v>23</v>
      </c>
      <c r="Q955" s="357">
        <f t="shared" ca="1" si="425"/>
        <v>0</v>
      </c>
      <c r="R955" s="359">
        <f t="shared" ca="1" si="426"/>
        <v>0</v>
      </c>
      <c r="S955" s="360">
        <f t="shared" ca="1" si="427"/>
        <v>0.42898953648292248</v>
      </c>
      <c r="T955" s="357">
        <f t="shared" ca="1" si="407"/>
        <v>4.2083873528974696</v>
      </c>
      <c r="U955" s="364">
        <f t="shared" ca="1" si="408"/>
        <v>0</v>
      </c>
      <c r="V955" s="359">
        <f t="shared" ca="1" si="409"/>
        <v>1.2260211556081473</v>
      </c>
      <c r="W955" s="357">
        <f t="shared" ca="1" si="410"/>
        <v>3.4039833931835468</v>
      </c>
      <c r="X955" s="343"/>
      <c r="Y955" s="367" t="str">
        <f t="shared" ca="1" si="428"/>
        <v/>
      </c>
      <c r="Z955" s="368" t="str">
        <f t="shared" ca="1" si="429"/>
        <v/>
      </c>
      <c r="AA955" s="369" t="str">
        <f t="shared" ca="1" si="430"/>
        <v/>
      </c>
      <c r="AB955" s="344"/>
      <c r="AC955" s="363" t="e">
        <f t="shared" ca="1" si="431"/>
        <v>#N/A</v>
      </c>
      <c r="AD955" s="376" t="e">
        <f t="shared" ca="1" si="432"/>
        <v>#N/A</v>
      </c>
      <c r="AE955" s="377" t="e">
        <f t="shared" ca="1" si="411"/>
        <v>#N/A</v>
      </c>
      <c r="AF955" s="344"/>
      <c r="AG955" s="359">
        <f t="shared" ca="1" si="433"/>
        <v>1.8364936613345062</v>
      </c>
      <c r="AH955" s="357">
        <f t="shared" ca="1" si="434"/>
        <v>-7.9348303935669477</v>
      </c>
    </row>
    <row r="956" spans="1:34">
      <c r="A956" s="402">
        <f t="shared" ca="1" si="412"/>
        <v>1E-4</v>
      </c>
      <c r="B956" s="357">
        <f t="shared" ca="1" si="413"/>
        <v>16.960299999999833</v>
      </c>
      <c r="C956" s="342"/>
      <c r="D956" s="359">
        <f t="shared" ca="1" si="414"/>
        <v>-0.70389140026565178</v>
      </c>
      <c r="E956" s="360">
        <f t="shared" ca="1" si="415"/>
        <v>-1.9063954559060647</v>
      </c>
      <c r="F956" s="357">
        <f t="shared" ca="1" si="416"/>
        <v>2.0321925936454037</v>
      </c>
      <c r="G956" s="359">
        <f t="shared" ca="1" si="417"/>
        <v>4.9784499700501712</v>
      </c>
      <c r="H956" s="360">
        <f t="shared" ca="1" si="418"/>
        <v>-55.901223268882461</v>
      </c>
      <c r="I956" s="357">
        <f t="shared" ca="1" si="419"/>
        <v>56.122470785432625</v>
      </c>
      <c r="J956" s="359">
        <f t="shared" ca="1" si="420"/>
        <v>184.26379383972827</v>
      </c>
      <c r="K956" s="360">
        <f t="shared" ca="1" si="421"/>
        <v>-8.3380812935505091</v>
      </c>
      <c r="L956" s="357">
        <f t="shared" ca="1" si="406"/>
        <v>184.45234972715241</v>
      </c>
      <c r="M956" s="359">
        <f t="shared" ca="1" si="422"/>
        <v>-1.4819726828296349</v>
      </c>
      <c r="N956" s="357">
        <f t="shared" ca="1" si="423"/>
        <v>-84.91078007981784</v>
      </c>
      <c r="O956" s="343"/>
      <c r="P956" s="363">
        <f t="shared" ca="1" si="424"/>
        <v>23</v>
      </c>
      <c r="Q956" s="357">
        <f t="shared" ca="1" si="425"/>
        <v>0</v>
      </c>
      <c r="R956" s="359">
        <f t="shared" ca="1" si="426"/>
        <v>0</v>
      </c>
      <c r="S956" s="360">
        <f t="shared" ca="1" si="427"/>
        <v>0.42898953648292248</v>
      </c>
      <c r="T956" s="357">
        <f t="shared" ca="1" si="407"/>
        <v>4.2083873528974696</v>
      </c>
      <c r="U956" s="364">
        <f t="shared" ca="1" si="408"/>
        <v>0</v>
      </c>
      <c r="V956" s="359">
        <f t="shared" ca="1" si="409"/>
        <v>1.226021840968113</v>
      </c>
      <c r="W956" s="357">
        <f t="shared" ca="1" si="410"/>
        <v>3.4040075731981752</v>
      </c>
      <c r="X956" s="343"/>
      <c r="Y956" s="367" t="str">
        <f t="shared" ca="1" si="428"/>
        <v/>
      </c>
      <c r="Z956" s="368" t="str">
        <f t="shared" ca="1" si="429"/>
        <v/>
      </c>
      <c r="AA956" s="369" t="str">
        <f t="shared" ca="1" si="430"/>
        <v/>
      </c>
      <c r="AB956" s="344"/>
      <c r="AC956" s="363" t="e">
        <f t="shared" ca="1" si="431"/>
        <v>#N/A</v>
      </c>
      <c r="AD956" s="376" t="e">
        <f t="shared" ca="1" si="432"/>
        <v>#N/A</v>
      </c>
      <c r="AE956" s="377" t="e">
        <f t="shared" ca="1" si="411"/>
        <v>#N/A</v>
      </c>
      <c r="AF956" s="344"/>
      <c r="AG956" s="359">
        <f t="shared" ca="1" si="433"/>
        <v>1.8364386443889149</v>
      </c>
      <c r="AH956" s="357">
        <f t="shared" ca="1" si="434"/>
        <v>-7.9348867599223016</v>
      </c>
    </row>
    <row r="957" spans="1:34">
      <c r="A957" s="402">
        <f t="shared" ca="1" si="412"/>
        <v>1E-4</v>
      </c>
      <c r="B957" s="357">
        <f t="shared" ca="1" si="413"/>
        <v>16.960399999999833</v>
      </c>
      <c r="C957" s="342"/>
      <c r="D957" s="359">
        <f t="shared" ca="1" si="414"/>
        <v>-0.70388414497777552</v>
      </c>
      <c r="E957" s="360">
        <f t="shared" ca="1" si="415"/>
        <v>-1.9063382216267355</v>
      </c>
      <c r="F957" s="357">
        <f t="shared" ca="1" si="416"/>
        <v>2.0321363893169373</v>
      </c>
      <c r="G957" s="359">
        <f t="shared" ca="1" si="417"/>
        <v>4.9783795816356733</v>
      </c>
      <c r="H957" s="360">
        <f t="shared" ca="1" si="418"/>
        <v>-55.901413902704626</v>
      </c>
      <c r="I957" s="357">
        <f t="shared" ca="1" si="419"/>
        <v>56.122654423862961</v>
      </c>
      <c r="J957" s="359">
        <f t="shared" ca="1" si="420"/>
        <v>184.26379383972827</v>
      </c>
      <c r="K957" s="360">
        <f t="shared" ca="1" si="421"/>
        <v>-8.343671425409088</v>
      </c>
      <c r="L957" s="357">
        <f t="shared" ca="1" si="406"/>
        <v>184.45260251095692</v>
      </c>
      <c r="M957" s="359">
        <f t="shared" ca="1" si="422"/>
        <v>-1.4819742333881787</v>
      </c>
      <c r="N957" s="357">
        <f t="shared" ca="1" si="423"/>
        <v>-84.91086892027829</v>
      </c>
      <c r="O957" s="343"/>
      <c r="P957" s="363">
        <f t="shared" ca="1" si="424"/>
        <v>23</v>
      </c>
      <c r="Q957" s="357">
        <f t="shared" ca="1" si="425"/>
        <v>0</v>
      </c>
      <c r="R957" s="359">
        <f t="shared" ca="1" si="426"/>
        <v>0</v>
      </c>
      <c r="S957" s="360">
        <f t="shared" ca="1" si="427"/>
        <v>0.42898953648292248</v>
      </c>
      <c r="T957" s="357">
        <f t="shared" ca="1" si="407"/>
        <v>4.2083873528974696</v>
      </c>
      <c r="U957" s="364">
        <f t="shared" ca="1" si="408"/>
        <v>0</v>
      </c>
      <c r="V957" s="359">
        <f t="shared" ca="1" si="409"/>
        <v>1.2260225263307991</v>
      </c>
      <c r="W957" s="357">
        <f t="shared" ca="1" si="410"/>
        <v>3.4040317526507793</v>
      </c>
      <c r="X957" s="343"/>
      <c r="Y957" s="367" t="str">
        <f t="shared" ca="1" si="428"/>
        <v/>
      </c>
      <c r="Z957" s="368" t="str">
        <f t="shared" ca="1" si="429"/>
        <v/>
      </c>
      <c r="AA957" s="369" t="str">
        <f t="shared" ca="1" si="430"/>
        <v/>
      </c>
      <c r="AB957" s="344"/>
      <c r="AC957" s="363" t="e">
        <f t="shared" ca="1" si="431"/>
        <v>#N/A</v>
      </c>
      <c r="AD957" s="376" t="e">
        <f t="shared" ca="1" si="432"/>
        <v>#N/A</v>
      </c>
      <c r="AE957" s="377" t="e">
        <f t="shared" ca="1" si="411"/>
        <v>#N/A</v>
      </c>
      <c r="AF957" s="344"/>
      <c r="AG957" s="359">
        <f t="shared" ca="1" si="433"/>
        <v>1.8363836287020403</v>
      </c>
      <c r="AH957" s="357">
        <f t="shared" ca="1" si="434"/>
        <v>-7.9349431249675346</v>
      </c>
    </row>
    <row r="958" spans="1:34">
      <c r="A958" s="402">
        <f t="shared" ca="1" si="412"/>
        <v>1E-4</v>
      </c>
      <c r="B958" s="357">
        <f t="shared" ca="1" si="413"/>
        <v>16.960499999999833</v>
      </c>
      <c r="C958" s="342"/>
      <c r="D958" s="359">
        <f t="shared" ca="1" si="414"/>
        <v>-0.70387688965136042</v>
      </c>
      <c r="E958" s="360">
        <f t="shared" ca="1" si="415"/>
        <v>-1.9062809886784233</v>
      </c>
      <c r="F958" s="357">
        <f t="shared" ca="1" si="416"/>
        <v>2.03208018630714</v>
      </c>
      <c r="G958" s="359">
        <f t="shared" ca="1" si="417"/>
        <v>4.9783091939467079</v>
      </c>
      <c r="H958" s="360">
        <f t="shared" ca="1" si="418"/>
        <v>-55.901604530803496</v>
      </c>
      <c r="I958" s="357">
        <f t="shared" ca="1" si="419"/>
        <v>56.122838056791856</v>
      </c>
      <c r="J958" s="359">
        <f t="shared" ca="1" si="420"/>
        <v>184.26379383972827</v>
      </c>
      <c r="K958" s="360">
        <f t="shared" ca="1" si="421"/>
        <v>-8.3492615763307629</v>
      </c>
      <c r="L958" s="357">
        <f t="shared" ca="1" si="406"/>
        <v>184.45285546469557</v>
      </c>
      <c r="M958" s="359">
        <f t="shared" ca="1" si="422"/>
        <v>-1.481975783914653</v>
      </c>
      <c r="N958" s="357">
        <f t="shared" ca="1" si="423"/>
        <v>-84.91095775890129</v>
      </c>
      <c r="O958" s="343"/>
      <c r="P958" s="363">
        <f t="shared" ca="1" si="424"/>
        <v>23</v>
      </c>
      <c r="Q958" s="357">
        <f t="shared" ca="1" si="425"/>
        <v>0</v>
      </c>
      <c r="R958" s="359">
        <f t="shared" ca="1" si="426"/>
        <v>0</v>
      </c>
      <c r="S958" s="360">
        <f t="shared" ca="1" si="427"/>
        <v>0.42898953648292248</v>
      </c>
      <c r="T958" s="357">
        <f t="shared" ca="1" si="407"/>
        <v>4.2083873528974696</v>
      </c>
      <c r="U958" s="364">
        <f t="shared" ca="1" si="408"/>
        <v>0</v>
      </c>
      <c r="V958" s="359">
        <f t="shared" ca="1" si="409"/>
        <v>1.2260232116962055</v>
      </c>
      <c r="W958" s="357">
        <f t="shared" ca="1" si="410"/>
        <v>3.4040559315413681</v>
      </c>
      <c r="X958" s="343"/>
      <c r="Y958" s="367" t="str">
        <f t="shared" ca="1" si="428"/>
        <v/>
      </c>
      <c r="Z958" s="368" t="str">
        <f t="shared" ca="1" si="429"/>
        <v/>
      </c>
      <c r="AA958" s="369" t="str">
        <f t="shared" ca="1" si="430"/>
        <v/>
      </c>
      <c r="AB958" s="344"/>
      <c r="AC958" s="363" t="e">
        <f t="shared" ca="1" si="431"/>
        <v>#N/A</v>
      </c>
      <c r="AD958" s="376" t="e">
        <f t="shared" ca="1" si="432"/>
        <v>#N/A</v>
      </c>
      <c r="AE958" s="377" t="e">
        <f t="shared" ca="1" si="411"/>
        <v>#N/A</v>
      </c>
      <c r="AF958" s="344"/>
      <c r="AG958" s="359">
        <f t="shared" ca="1" si="433"/>
        <v>1.8363286142738771</v>
      </c>
      <c r="AH958" s="357">
        <f t="shared" ca="1" si="434"/>
        <v>-7.9349994887026556</v>
      </c>
    </row>
    <row r="959" spans="1:34">
      <c r="A959" s="402">
        <f t="shared" ca="1" si="412"/>
        <v>1E-4</v>
      </c>
      <c r="B959" s="357">
        <f t="shared" ca="1" si="413"/>
        <v>16.960599999999832</v>
      </c>
      <c r="C959" s="342"/>
      <c r="D959" s="359">
        <f t="shared" ca="1" si="414"/>
        <v>-0.70386963428641136</v>
      </c>
      <c r="E959" s="360">
        <f t="shared" ca="1" si="415"/>
        <v>-1.9062237570611078</v>
      </c>
      <c r="F959" s="357">
        <f t="shared" ca="1" si="416"/>
        <v>2.0320239846159915</v>
      </c>
      <c r="G959" s="359">
        <f t="shared" ca="1" si="417"/>
        <v>4.9782388069832795</v>
      </c>
      <c r="H959" s="360">
        <f t="shared" ca="1" si="418"/>
        <v>-55.901795153179201</v>
      </c>
      <c r="I959" s="357">
        <f t="shared" ca="1" si="419"/>
        <v>56.123021684219424</v>
      </c>
      <c r="J959" s="359">
        <f t="shared" ca="1" si="420"/>
        <v>184.26379383972827</v>
      </c>
      <c r="K959" s="360">
        <f t="shared" ca="1" si="421"/>
        <v>-8.3548517463149619</v>
      </c>
      <c r="L959" s="357">
        <f t="shared" ca="1" si="406"/>
        <v>184.45310858836939</v>
      </c>
      <c r="M959" s="359">
        <f t="shared" ca="1" si="422"/>
        <v>-1.4819773344090585</v>
      </c>
      <c r="N959" s="357">
        <f t="shared" ca="1" si="423"/>
        <v>-84.911046595686884</v>
      </c>
      <c r="O959" s="343"/>
      <c r="P959" s="363">
        <f t="shared" ca="1" si="424"/>
        <v>23</v>
      </c>
      <c r="Q959" s="357">
        <f t="shared" ca="1" si="425"/>
        <v>0</v>
      </c>
      <c r="R959" s="359">
        <f t="shared" ca="1" si="426"/>
        <v>0</v>
      </c>
      <c r="S959" s="360">
        <f t="shared" ca="1" si="427"/>
        <v>0.42898953648292248</v>
      </c>
      <c r="T959" s="357">
        <f t="shared" ca="1" si="407"/>
        <v>4.2083873528974696</v>
      </c>
      <c r="U959" s="364">
        <f t="shared" ca="1" si="408"/>
        <v>0</v>
      </c>
      <c r="V959" s="359">
        <f t="shared" ca="1" si="409"/>
        <v>1.2260238970643322</v>
      </c>
      <c r="W959" s="357">
        <f t="shared" ca="1" si="410"/>
        <v>3.4040801098699478</v>
      </c>
      <c r="X959" s="343"/>
      <c r="Y959" s="367" t="str">
        <f t="shared" ca="1" si="428"/>
        <v/>
      </c>
      <c r="Z959" s="368" t="str">
        <f t="shared" ca="1" si="429"/>
        <v/>
      </c>
      <c r="AA959" s="369" t="str">
        <f t="shared" ca="1" si="430"/>
        <v/>
      </c>
      <c r="AB959" s="344"/>
      <c r="AC959" s="363" t="e">
        <f t="shared" ca="1" si="431"/>
        <v>#N/A</v>
      </c>
      <c r="AD959" s="376" t="e">
        <f t="shared" ca="1" si="432"/>
        <v>#N/A</v>
      </c>
      <c r="AE959" s="377" t="e">
        <f t="shared" ca="1" si="411"/>
        <v>#N/A</v>
      </c>
      <c r="AF959" s="344"/>
      <c r="AG959" s="359">
        <f t="shared" ca="1" si="433"/>
        <v>1.8362736011044056</v>
      </c>
      <c r="AH959" s="357">
        <f t="shared" ca="1" si="434"/>
        <v>-7.9350558511276859</v>
      </c>
    </row>
    <row r="960" spans="1:34">
      <c r="A960" s="402">
        <f t="shared" ca="1" si="412"/>
        <v>1E-4</v>
      </c>
      <c r="B960" s="357">
        <f t="shared" ca="1" si="413"/>
        <v>16.960699999999832</v>
      </c>
      <c r="C960" s="342"/>
      <c r="D960" s="359">
        <f t="shared" ca="1" si="414"/>
        <v>-0.70386237888293601</v>
      </c>
      <c r="E960" s="360">
        <f t="shared" ca="1" si="415"/>
        <v>-1.9061665267747738</v>
      </c>
      <c r="F960" s="357">
        <f t="shared" ca="1" si="416"/>
        <v>2.031967784243478</v>
      </c>
      <c r="G960" s="359">
        <f t="shared" ca="1" si="417"/>
        <v>4.9781684207453916</v>
      </c>
      <c r="H960" s="360">
        <f t="shared" ca="1" si="418"/>
        <v>-55.901985769831882</v>
      </c>
      <c r="I960" s="357">
        <f t="shared" ca="1" si="419"/>
        <v>56.123205306145806</v>
      </c>
      <c r="J960" s="359">
        <f t="shared" ca="1" si="420"/>
        <v>184.26379383972827</v>
      </c>
      <c r="K960" s="360">
        <f t="shared" ca="1" si="421"/>
        <v>-8.3604419353611128</v>
      </c>
      <c r="L960" s="357">
        <f t="shared" ca="1" si="406"/>
        <v>184.45336188197933</v>
      </c>
      <c r="M960" s="359">
        <f t="shared" ca="1" si="422"/>
        <v>-1.4819788848713964</v>
      </c>
      <c r="N960" s="357">
        <f t="shared" ca="1" si="423"/>
        <v>-84.911135430635142</v>
      </c>
      <c r="O960" s="343"/>
      <c r="P960" s="363">
        <f t="shared" ca="1" si="424"/>
        <v>23</v>
      </c>
      <c r="Q960" s="357">
        <f t="shared" ca="1" si="425"/>
        <v>0</v>
      </c>
      <c r="R960" s="359">
        <f t="shared" ca="1" si="426"/>
        <v>0</v>
      </c>
      <c r="S960" s="360">
        <f t="shared" ca="1" si="427"/>
        <v>0.42898953648292248</v>
      </c>
      <c r="T960" s="357">
        <f t="shared" ca="1" si="407"/>
        <v>4.2083873528974696</v>
      </c>
      <c r="U960" s="364">
        <f t="shared" ca="1" si="408"/>
        <v>0</v>
      </c>
      <c r="V960" s="359">
        <f t="shared" ca="1" si="409"/>
        <v>1.2260245824351796</v>
      </c>
      <c r="W960" s="357">
        <f t="shared" ca="1" si="410"/>
        <v>3.4041042876365295</v>
      </c>
      <c r="X960" s="343"/>
      <c r="Y960" s="367" t="str">
        <f t="shared" ca="1" si="428"/>
        <v/>
      </c>
      <c r="Z960" s="368" t="str">
        <f t="shared" ca="1" si="429"/>
        <v/>
      </c>
      <c r="AA960" s="369" t="str">
        <f t="shared" ca="1" si="430"/>
        <v/>
      </c>
      <c r="AB960" s="344"/>
      <c r="AC960" s="363" t="e">
        <f t="shared" ca="1" si="431"/>
        <v>#N/A</v>
      </c>
      <c r="AD960" s="376" t="e">
        <f t="shared" ca="1" si="432"/>
        <v>#N/A</v>
      </c>
      <c r="AE960" s="377" t="e">
        <f t="shared" ca="1" si="411"/>
        <v>#N/A</v>
      </c>
      <c r="AF960" s="344"/>
      <c r="AG960" s="359">
        <f t="shared" ca="1" si="433"/>
        <v>1.8362185891936109</v>
      </c>
      <c r="AH960" s="357">
        <f t="shared" ca="1" si="434"/>
        <v>-7.9351122122426405</v>
      </c>
    </row>
    <row r="961" spans="1:34">
      <c r="A961" s="402">
        <f t="shared" ca="1" si="412"/>
        <v>1E-4</v>
      </c>
      <c r="B961" s="357">
        <f t="shared" ca="1" si="413"/>
        <v>16.960799999999832</v>
      </c>
      <c r="C961" s="342"/>
      <c r="D961" s="359">
        <f t="shared" ca="1" si="414"/>
        <v>-0.70385512344093915</v>
      </c>
      <c r="E961" s="360">
        <f t="shared" ca="1" si="415"/>
        <v>-1.9061092978193974</v>
      </c>
      <c r="F961" s="357">
        <f t="shared" ca="1" si="416"/>
        <v>2.0319115851895759</v>
      </c>
      <c r="G961" s="359">
        <f t="shared" ca="1" si="417"/>
        <v>4.9780980352330477</v>
      </c>
      <c r="H961" s="360">
        <f t="shared" ca="1" si="418"/>
        <v>-55.902176380761667</v>
      </c>
      <c r="I961" s="357">
        <f t="shared" ca="1" si="419"/>
        <v>56.123388922571117</v>
      </c>
      <c r="J961" s="359">
        <f t="shared" ca="1" si="420"/>
        <v>184.26379383972827</v>
      </c>
      <c r="K961" s="360">
        <f t="shared" ca="1" si="421"/>
        <v>-8.366032143468642</v>
      </c>
      <c r="L961" s="357">
        <f t="shared" ca="1" si="406"/>
        <v>184.45361534552646</v>
      </c>
      <c r="M961" s="359">
        <f t="shared" ca="1" si="422"/>
        <v>-1.4819804353016677</v>
      </c>
      <c r="N961" s="357">
        <f t="shared" ca="1" si="423"/>
        <v>-84.911224263746121</v>
      </c>
      <c r="O961" s="343"/>
      <c r="P961" s="363">
        <f t="shared" ca="1" si="424"/>
        <v>23</v>
      </c>
      <c r="Q961" s="357">
        <f t="shared" ca="1" si="425"/>
        <v>0</v>
      </c>
      <c r="R961" s="359">
        <f t="shared" ca="1" si="426"/>
        <v>0</v>
      </c>
      <c r="S961" s="360">
        <f t="shared" ca="1" si="427"/>
        <v>0.42898953648292248</v>
      </c>
      <c r="T961" s="357">
        <f t="shared" ca="1" si="407"/>
        <v>4.2083873528974696</v>
      </c>
      <c r="U961" s="364">
        <f t="shared" ca="1" si="408"/>
        <v>0</v>
      </c>
      <c r="V961" s="359">
        <f t="shared" ca="1" si="409"/>
        <v>1.2260252678087473</v>
      </c>
      <c r="W961" s="357">
        <f t="shared" ca="1" si="410"/>
        <v>3.4041284648411181</v>
      </c>
      <c r="X961" s="343"/>
      <c r="Y961" s="367" t="str">
        <f t="shared" ca="1" si="428"/>
        <v/>
      </c>
      <c r="Z961" s="368" t="str">
        <f t="shared" ca="1" si="429"/>
        <v/>
      </c>
      <c r="AA961" s="369" t="str">
        <f t="shared" ca="1" si="430"/>
        <v/>
      </c>
      <c r="AB961" s="344"/>
      <c r="AC961" s="363" t="e">
        <f t="shared" ca="1" si="431"/>
        <v>#N/A</v>
      </c>
      <c r="AD961" s="376" t="e">
        <f t="shared" ca="1" si="432"/>
        <v>#N/A</v>
      </c>
      <c r="AE961" s="377" t="e">
        <f t="shared" ca="1" si="411"/>
        <v>#N/A</v>
      </c>
      <c r="AF961" s="344"/>
      <c r="AG961" s="359">
        <f t="shared" ca="1" si="433"/>
        <v>1.836163578541476</v>
      </c>
      <c r="AH961" s="357">
        <f t="shared" ca="1" si="434"/>
        <v>-7.9351685720475436</v>
      </c>
    </row>
    <row r="962" spans="1:34">
      <c r="A962" s="402">
        <f t="shared" ca="1" si="412"/>
        <v>1E-4</v>
      </c>
      <c r="B962" s="357">
        <f t="shared" ca="1" si="413"/>
        <v>16.960899999999832</v>
      </c>
      <c r="C962" s="342"/>
      <c r="D962" s="359">
        <f t="shared" ca="1" si="414"/>
        <v>-0.70384786796042476</v>
      </c>
      <c r="E962" s="360">
        <f t="shared" ca="1" si="415"/>
        <v>-1.9060520701949644</v>
      </c>
      <c r="F962" s="357">
        <f t="shared" ca="1" si="416"/>
        <v>2.0318553874542706</v>
      </c>
      <c r="G962" s="359">
        <f t="shared" ca="1" si="417"/>
        <v>4.9780276504462515</v>
      </c>
      <c r="H962" s="360">
        <f t="shared" ca="1" si="418"/>
        <v>-55.902366985968683</v>
      </c>
      <c r="I962" s="357">
        <f t="shared" ca="1" si="419"/>
        <v>56.123572533495484</v>
      </c>
      <c r="J962" s="359">
        <f t="shared" ca="1" si="420"/>
        <v>184.26379383972827</v>
      </c>
      <c r="K962" s="360">
        <f t="shared" ca="1" si="421"/>
        <v>-8.3716223706369792</v>
      </c>
      <c r="L962" s="357">
        <f t="shared" ca="1" si="406"/>
        <v>184.45386897901173</v>
      </c>
      <c r="M962" s="359">
        <f t="shared" ca="1" si="422"/>
        <v>-1.4819819856998728</v>
      </c>
      <c r="N962" s="357">
        <f t="shared" ca="1" si="423"/>
        <v>-84.911313095019835</v>
      </c>
      <c r="O962" s="343"/>
      <c r="P962" s="363">
        <f t="shared" ca="1" si="424"/>
        <v>23</v>
      </c>
      <c r="Q962" s="357">
        <f t="shared" ca="1" si="425"/>
        <v>0</v>
      </c>
      <c r="R962" s="359">
        <f t="shared" ca="1" si="426"/>
        <v>0</v>
      </c>
      <c r="S962" s="360">
        <f t="shared" ca="1" si="427"/>
        <v>0.42898953648292248</v>
      </c>
      <c r="T962" s="357">
        <f t="shared" ca="1" si="407"/>
        <v>4.2083873528974696</v>
      </c>
      <c r="U962" s="364">
        <f t="shared" ca="1" si="408"/>
        <v>0</v>
      </c>
      <c r="V962" s="359">
        <f t="shared" ca="1" si="409"/>
        <v>1.2260259531850348</v>
      </c>
      <c r="W962" s="357">
        <f t="shared" ca="1" si="410"/>
        <v>3.4041526414837211</v>
      </c>
      <c r="X962" s="343"/>
      <c r="Y962" s="367" t="str">
        <f t="shared" ca="1" si="428"/>
        <v/>
      </c>
      <c r="Z962" s="368" t="str">
        <f t="shared" ca="1" si="429"/>
        <v/>
      </c>
      <c r="AA962" s="369" t="str">
        <f t="shared" ca="1" si="430"/>
        <v/>
      </c>
      <c r="AB962" s="344"/>
      <c r="AC962" s="363" t="e">
        <f t="shared" ca="1" si="431"/>
        <v>#N/A</v>
      </c>
      <c r="AD962" s="376" t="e">
        <f t="shared" ca="1" si="432"/>
        <v>#N/A</v>
      </c>
      <c r="AE962" s="377" t="e">
        <f t="shared" ca="1" si="411"/>
        <v>#N/A</v>
      </c>
      <c r="AF962" s="344"/>
      <c r="AG962" s="359">
        <f t="shared" ca="1" si="433"/>
        <v>1.836108569147985</v>
      </c>
      <c r="AH962" s="357">
        <f t="shared" ca="1" si="434"/>
        <v>-7.9352249305424074</v>
      </c>
    </row>
    <row r="963" spans="1:34">
      <c r="A963" s="402">
        <f t="shared" ca="1" si="412"/>
        <v>1E-4</v>
      </c>
      <c r="B963" s="357">
        <f t="shared" ca="1" si="413"/>
        <v>16.960999999999832</v>
      </c>
      <c r="C963" s="342"/>
      <c r="D963" s="359">
        <f t="shared" ca="1" si="414"/>
        <v>-0.7038406124414025</v>
      </c>
      <c r="E963" s="360">
        <f t="shared" ca="1" si="415"/>
        <v>-1.9059948439014578</v>
      </c>
      <c r="F963" s="357">
        <f t="shared" ca="1" si="416"/>
        <v>2.031799191037547</v>
      </c>
      <c r="G963" s="359">
        <f t="shared" ca="1" si="417"/>
        <v>4.9779572663850074</v>
      </c>
      <c r="H963" s="360">
        <f t="shared" ca="1" si="418"/>
        <v>-55.902557585453074</v>
      </c>
      <c r="I963" s="357">
        <f t="shared" ca="1" si="419"/>
        <v>56.123756138919035</v>
      </c>
      <c r="J963" s="359">
        <f t="shared" ca="1" si="420"/>
        <v>184.26379383972827</v>
      </c>
      <c r="K963" s="360">
        <f t="shared" ca="1" si="421"/>
        <v>-8.3772126168655507</v>
      </c>
      <c r="L963" s="357">
        <f t="shared" ca="1" si="406"/>
        <v>184.4541227824362</v>
      </c>
      <c r="M963" s="359">
        <f t="shared" ca="1" si="422"/>
        <v>-1.481983536066013</v>
      </c>
      <c r="N963" s="357">
        <f t="shared" ca="1" si="423"/>
        <v>-84.911401924456356</v>
      </c>
      <c r="O963" s="343"/>
      <c r="P963" s="363">
        <f t="shared" ca="1" si="424"/>
        <v>23</v>
      </c>
      <c r="Q963" s="357">
        <f t="shared" ca="1" si="425"/>
        <v>0</v>
      </c>
      <c r="R963" s="359">
        <f t="shared" ca="1" si="426"/>
        <v>0</v>
      </c>
      <c r="S963" s="360">
        <f t="shared" ca="1" si="427"/>
        <v>0.42898953648292248</v>
      </c>
      <c r="T963" s="357">
        <f t="shared" ca="1" si="407"/>
        <v>4.2083873528974696</v>
      </c>
      <c r="U963" s="364">
        <f t="shared" ca="1" si="408"/>
        <v>0</v>
      </c>
      <c r="V963" s="359">
        <f t="shared" ca="1" si="409"/>
        <v>1.2260266385640428</v>
      </c>
      <c r="W963" s="357">
        <f t="shared" ca="1" si="410"/>
        <v>3.4041768175643483</v>
      </c>
      <c r="X963" s="343"/>
      <c r="Y963" s="367" t="str">
        <f t="shared" ca="1" si="428"/>
        <v/>
      </c>
      <c r="Z963" s="368" t="str">
        <f t="shared" ca="1" si="429"/>
        <v/>
      </c>
      <c r="AA963" s="369" t="str">
        <f t="shared" ca="1" si="430"/>
        <v/>
      </c>
      <c r="AB963" s="344"/>
      <c r="AC963" s="363" t="e">
        <f t="shared" ca="1" si="431"/>
        <v>#N/A</v>
      </c>
      <c r="AD963" s="376" t="e">
        <f t="shared" ca="1" si="432"/>
        <v>#N/A</v>
      </c>
      <c r="AE963" s="377" t="e">
        <f t="shared" ca="1" si="411"/>
        <v>#N/A</v>
      </c>
      <c r="AF963" s="344"/>
      <c r="AG963" s="359">
        <f t="shared" ca="1" si="433"/>
        <v>1.836053561013129</v>
      </c>
      <c r="AH963" s="357">
        <f t="shared" ca="1" si="434"/>
        <v>-7.9352812877272498</v>
      </c>
    </row>
    <row r="964" spans="1:34">
      <c r="A964" s="402">
        <f t="shared" ca="1" si="412"/>
        <v>1E-4</v>
      </c>
      <c r="B964" s="357">
        <f t="shared" ca="1" si="413"/>
        <v>16.961099999999831</v>
      </c>
      <c r="C964" s="342"/>
      <c r="D964" s="359">
        <f t="shared" ca="1" si="414"/>
        <v>-0.70383335688387716</v>
      </c>
      <c r="E964" s="360">
        <f t="shared" ca="1" si="415"/>
        <v>-1.9059376189388546</v>
      </c>
      <c r="F964" s="357">
        <f t="shared" ca="1" si="416"/>
        <v>2.0317429959393825</v>
      </c>
      <c r="G964" s="359">
        <f t="shared" ca="1" si="417"/>
        <v>4.9778868830493188</v>
      </c>
      <c r="H964" s="360">
        <f t="shared" ca="1" si="418"/>
        <v>-55.902748179214967</v>
      </c>
      <c r="I964" s="357">
        <f t="shared" ca="1" si="419"/>
        <v>56.123939738841898</v>
      </c>
      <c r="J964" s="359">
        <f t="shared" ca="1" si="420"/>
        <v>184.26379383972827</v>
      </c>
      <c r="K964" s="360">
        <f t="shared" ca="1" si="421"/>
        <v>-8.3828028821537846</v>
      </c>
      <c r="L964" s="357">
        <f t="shared" ref="L964:L1004" ca="1" si="435">SQRT(pos_x^2+pos_z^2)</f>
        <v>184.45437675580087</v>
      </c>
      <c r="M964" s="359">
        <f t="shared" ca="1" si="422"/>
        <v>-1.481985086400089</v>
      </c>
      <c r="N964" s="357">
        <f t="shared" ca="1" si="423"/>
        <v>-84.911490752055755</v>
      </c>
      <c r="O964" s="343"/>
      <c r="P964" s="363">
        <f t="shared" ca="1" si="424"/>
        <v>23</v>
      </c>
      <c r="Q964" s="357">
        <f t="shared" ca="1" si="425"/>
        <v>0</v>
      </c>
      <c r="R964" s="359">
        <f t="shared" ca="1" si="426"/>
        <v>0</v>
      </c>
      <c r="S964" s="360">
        <f t="shared" ca="1" si="427"/>
        <v>0.42898953648292248</v>
      </c>
      <c r="T964" s="357">
        <f t="shared" ref="T964:T1004" ca="1" si="436">m*g</f>
        <v>4.2083873528974696</v>
      </c>
      <c r="U964" s="364">
        <f t="shared" ref="U964:U1004" ca="1" si="437">IF(pos_xz&lt;L_rampe,Poids*COS(Beta),0)</f>
        <v>0</v>
      </c>
      <c r="V964" s="359">
        <f t="shared" ref="V964:V1004" ca="1" si="438">Rho_moyen*(20000-Alt_rampe-pos_z)/(20000+Alt_rampe+pos_z)</f>
        <v>1.2260273239457709</v>
      </c>
      <c r="W964" s="357">
        <f t="shared" ref="W964:W1003" ca="1" si="439">1/2*Rho*Sref*Cx*vit_xz^2</f>
        <v>3.4042009930830064</v>
      </c>
      <c r="X964" s="343"/>
      <c r="Y964" s="367" t="str">
        <f t="shared" ca="1" si="428"/>
        <v/>
      </c>
      <c r="Z964" s="368" t="str">
        <f t="shared" ca="1" si="429"/>
        <v/>
      </c>
      <c r="AA964" s="369" t="str">
        <f t="shared" ca="1" si="430"/>
        <v/>
      </c>
      <c r="AB964" s="344"/>
      <c r="AC964" s="363" t="e">
        <f t="shared" ca="1" si="431"/>
        <v>#N/A</v>
      </c>
      <c r="AD964" s="376" t="e">
        <f t="shared" ca="1" si="432"/>
        <v>#N/A</v>
      </c>
      <c r="AE964" s="377" t="e">
        <f t="shared" ref="AE964:AE1004" ca="1" si="440">IF(t&lt;T_para, pos_z, NA())</f>
        <v>#N/A</v>
      </c>
      <c r="AF964" s="344"/>
      <c r="AG964" s="359">
        <f t="shared" ca="1" si="433"/>
        <v>1.835998554136884</v>
      </c>
      <c r="AH964" s="357">
        <f t="shared" ca="1" si="434"/>
        <v>-7.935337643602093</v>
      </c>
    </row>
    <row r="965" spans="1:34">
      <c r="A965" s="402">
        <f t="shared" ref="A965:A1004" ca="1" si="441">IF(B964+0.01&lt;=T_ini+ROUNDUP(Temps_fin_propu,0), 0.01, IF(K964&gt;0, 0.1, 0.0001))</f>
        <v>1E-4</v>
      </c>
      <c r="B965" s="357">
        <f t="shared" ref="B965:B1004" ca="1" si="442">B964+pas</f>
        <v>16.961199999999831</v>
      </c>
      <c r="C965" s="342"/>
      <c r="D965" s="359">
        <f t="shared" ref="D965:D1004" ca="1" si="443">IF(AND(L964&lt;L_rampe,Poussee&lt;Poids*SIN(M964)),0,(-W964+Poussee)/m*COS(M964)-U964/m*SIN(M964))</f>
        <v>-0.70382610128785461</v>
      </c>
      <c r="E965" s="360">
        <f t="shared" ref="E965:E1004" ca="1" si="444">IF(AND(L964&lt;L_rampe,Poussee&lt;Poids*SIN(M964)),0,(-W964+Poussee)/m*SIN(M964)+U964/m*COS(M964)-Poids/m)</f>
        <v>-1.9058803953071388</v>
      </c>
      <c r="F965" s="357">
        <f t="shared" ref="F965:F1004" ca="1" si="445">SQRT(acc_x^2+acc_z^2)</f>
        <v>2.0316868021597614</v>
      </c>
      <c r="G965" s="359">
        <f t="shared" ref="G965:G1004" ca="1" si="446">G964+acc_x*pas</f>
        <v>4.9778165004391903</v>
      </c>
      <c r="H965" s="360">
        <f t="shared" ref="H965:H1004" ca="1" si="447">H964+acc_z*pas</f>
        <v>-55.902938767254497</v>
      </c>
      <c r="I965" s="357">
        <f t="shared" ref="I965:I1004" ca="1" si="448">SQRT(vit_x^2+vit_z^2)</f>
        <v>56.124123333264194</v>
      </c>
      <c r="J965" s="359">
        <f t="shared" ref="J965:J1004" ca="1" si="449">J964+0.5*(vit_x+G964)*pas*(K964&gt;=0)</f>
        <v>184.26379383972827</v>
      </c>
      <c r="K965" s="360">
        <f t="shared" ref="K965:K1004" ca="1" si="450">K964+0.5*(vit_z+H964)*pas</f>
        <v>-8.3883931665011087</v>
      </c>
      <c r="L965" s="357">
        <f t="shared" ca="1" si="435"/>
        <v>184.45463089910669</v>
      </c>
      <c r="M965" s="359">
        <f t="shared" ref="M965:M1004" ca="1" si="451">IF(AND(L964&gt;L_rampe,G965&gt;0),ATAN2(G965,H965),$M$4)</f>
        <v>-1.481986636702102</v>
      </c>
      <c r="N965" s="357">
        <f t="shared" ref="N965:N1004" ca="1" si="452">DEGREES(Beta)</f>
        <v>-84.911579577818074</v>
      </c>
      <c r="O965" s="343"/>
      <c r="P965" s="363">
        <f t="shared" ref="P965:P1004" ca="1" si="453">MATCH(t-pas/2-T_ini,CdP_t)</f>
        <v>23</v>
      </c>
      <c r="Q965" s="357">
        <f t="shared" ref="Q965:Q1004" ca="1" si="454">(INDEX(CdP,2,i_P+1)-INDEX(CdP,2,i_P+0))/(INDEX(CdP,1,i_P+1)-INDEX(CdP,1,i_P+0))*(t-pas/2-T_ini-INDEX(CdP,1,i_P+0))+INDEX(CdP,2,i_P+0)</f>
        <v>0</v>
      </c>
      <c r="R965" s="359">
        <f t="shared" ref="R965:R1004" ca="1" si="455">Poussee/(g*ISP)</f>
        <v>0</v>
      </c>
      <c r="S965" s="360">
        <f t="shared" ref="S965:S1004" ca="1" si="456">S964-Débit*pas</f>
        <v>0.42898953648292248</v>
      </c>
      <c r="T965" s="357">
        <f t="shared" ca="1" si="436"/>
        <v>4.2083873528974696</v>
      </c>
      <c r="U965" s="364">
        <f t="shared" ca="1" si="437"/>
        <v>0</v>
      </c>
      <c r="V965" s="359">
        <f t="shared" ca="1" si="438"/>
        <v>1.2260280093302183</v>
      </c>
      <c r="W965" s="357">
        <f t="shared" ca="1" si="439"/>
        <v>3.4042251680397011</v>
      </c>
      <c r="X965" s="343"/>
      <c r="Y965" s="367" t="str">
        <f t="shared" ref="Y965:Y1003" ca="1" si="457">IF(AND(pos_z&lt;=0,K964&gt;0),"Impact balistique","") &amp; IF(AND(H966&lt;0,vit_z&gt;=0),"Apogée","") &amp; IF(AND(Poussee=0,Q964&gt;0),"Fin de propulsion","") &amp; IF(AND(L966&gt;L_rampe,pos_xz&lt;=L_rampe),"Sortie de rampe","")</f>
        <v/>
      </c>
      <c r="Z965" s="368" t="str">
        <f t="shared" ref="Z965:Z1004" ca="1" si="458">IF(ABS(t-T_para)&lt;pas/2,"Para","")</f>
        <v/>
      </c>
      <c r="AA965" s="369" t="str">
        <f t="shared" ref="AA965:AA1004" ca="1" si="459">IF(ABS(t-T_satellite)&lt;pas/2,"Satellite","")</f>
        <v/>
      </c>
      <c r="AB965" s="344"/>
      <c r="AC965" s="363" t="e">
        <f t="shared" ref="AC965:AC1004" ca="1" si="460">IF(ABS(t-ROUND(t,0))&lt;0.001,t,NA())</f>
        <v>#N/A</v>
      </c>
      <c r="AD965" s="376" t="e">
        <f t="shared" ref="AD965:AD1004" ca="1" si="461">IF(ABS(t-ROUND(t,0))&lt;0.001,pos_x,NA())</f>
        <v>#N/A</v>
      </c>
      <c r="AE965" s="377" t="e">
        <f t="shared" ca="1" si="440"/>
        <v>#N/A</v>
      </c>
      <c r="AF965" s="344"/>
      <c r="AG965" s="359">
        <f t="shared" ref="AG965:AG1004" ca="1" si="462">IF(AND(L964&lt;L_rampe,Poussee&lt;Poids*SIN(M964)),0,(-W964+Poussee)/m-Poids*SIN(M964)/m)</f>
        <v>1.8359435485192357</v>
      </c>
      <c r="AH965" s="357">
        <f t="shared" ref="AH965:AH1004" ca="1" si="463">IF(AND(L964&lt;L_rampe,Poussee&lt;Poids*SIN(M964)), g*SIN(M964), (-W964+Poussee)/m)</f>
        <v>-7.935393998166953</v>
      </c>
    </row>
    <row r="966" spans="1:34">
      <c r="A966" s="402">
        <f t="shared" ca="1" si="441"/>
        <v>1E-4</v>
      </c>
      <c r="B966" s="357">
        <f t="shared" ca="1" si="442"/>
        <v>16.961299999999831</v>
      </c>
      <c r="C966" s="342"/>
      <c r="D966" s="359">
        <f t="shared" ca="1" si="443"/>
        <v>-0.70381884565333896</v>
      </c>
      <c r="E966" s="360">
        <f t="shared" ca="1" si="444"/>
        <v>-1.9058231730062962</v>
      </c>
      <c r="F966" s="357">
        <f t="shared" ca="1" si="445"/>
        <v>2.0316306096986692</v>
      </c>
      <c r="G966" s="359">
        <f t="shared" ca="1" si="446"/>
        <v>4.9777461185546246</v>
      </c>
      <c r="H966" s="360">
        <f t="shared" ca="1" si="447"/>
        <v>-55.903129349571799</v>
      </c>
      <c r="I966" s="357">
        <f t="shared" ca="1" si="448"/>
        <v>56.124306922186058</v>
      </c>
      <c r="J966" s="359">
        <f t="shared" ca="1" si="449"/>
        <v>184.26379383972827</v>
      </c>
      <c r="K966" s="360">
        <f t="shared" ca="1" si="450"/>
        <v>-8.3939834699069493</v>
      </c>
      <c r="L966" s="357">
        <f t="shared" ca="1" si="435"/>
        <v>184.45488521235472</v>
      </c>
      <c r="M966" s="359">
        <f t="shared" ca="1" si="451"/>
        <v>-1.4819881869720528</v>
      </c>
      <c r="N966" s="357">
        <f t="shared" ca="1" si="452"/>
        <v>-84.911668401743356</v>
      </c>
      <c r="O966" s="343"/>
      <c r="P966" s="363">
        <f t="shared" ca="1" si="453"/>
        <v>23</v>
      </c>
      <c r="Q966" s="357">
        <f t="shared" ca="1" si="454"/>
        <v>0</v>
      </c>
      <c r="R966" s="359">
        <f t="shared" ca="1" si="455"/>
        <v>0</v>
      </c>
      <c r="S966" s="360">
        <f t="shared" ca="1" si="456"/>
        <v>0.42898953648292248</v>
      </c>
      <c r="T966" s="357">
        <f t="shared" ca="1" si="436"/>
        <v>4.2083873528974696</v>
      </c>
      <c r="U966" s="364">
        <f t="shared" ca="1" si="437"/>
        <v>0</v>
      </c>
      <c r="V966" s="359">
        <f t="shared" ca="1" si="438"/>
        <v>1.2260286947173866</v>
      </c>
      <c r="W966" s="357">
        <f t="shared" ca="1" si="439"/>
        <v>3.4042493424344449</v>
      </c>
      <c r="X966" s="343"/>
      <c r="Y966" s="367" t="str">
        <f t="shared" ca="1" si="457"/>
        <v/>
      </c>
      <c r="Z966" s="368" t="str">
        <f t="shared" ca="1" si="458"/>
        <v/>
      </c>
      <c r="AA966" s="369" t="str">
        <f t="shared" ca="1" si="459"/>
        <v/>
      </c>
      <c r="AB966" s="344"/>
      <c r="AC966" s="363" t="e">
        <f t="shared" ca="1" si="460"/>
        <v>#N/A</v>
      </c>
      <c r="AD966" s="376" t="e">
        <f t="shared" ca="1" si="461"/>
        <v>#N/A</v>
      </c>
      <c r="AE966" s="377" t="e">
        <f t="shared" ca="1" si="440"/>
        <v>#N/A</v>
      </c>
      <c r="AF966" s="344"/>
      <c r="AG966" s="359">
        <f t="shared" ca="1" si="462"/>
        <v>1.8358885441601718</v>
      </c>
      <c r="AH966" s="357">
        <f t="shared" ca="1" si="463"/>
        <v>-7.935450351421844</v>
      </c>
    </row>
    <row r="967" spans="1:34">
      <c r="A967" s="402">
        <f t="shared" ca="1" si="441"/>
        <v>1E-4</v>
      </c>
      <c r="B967" s="357">
        <f t="shared" ca="1" si="442"/>
        <v>16.961399999999831</v>
      </c>
      <c r="C967" s="342"/>
      <c r="D967" s="359">
        <f t="shared" ca="1" si="443"/>
        <v>-0.70381158998033722</v>
      </c>
      <c r="E967" s="360">
        <f t="shared" ca="1" si="444"/>
        <v>-1.9057659520362984</v>
      </c>
      <c r="F967" s="357">
        <f t="shared" ca="1" si="445"/>
        <v>2.0315744185560787</v>
      </c>
      <c r="G967" s="359">
        <f t="shared" ca="1" si="446"/>
        <v>4.9776757373956269</v>
      </c>
      <c r="H967" s="360">
        <f t="shared" ca="1" si="447"/>
        <v>-55.903319926167001</v>
      </c>
      <c r="I967" s="357">
        <f t="shared" ca="1" si="448"/>
        <v>56.124490505607596</v>
      </c>
      <c r="J967" s="359">
        <f t="shared" ca="1" si="449"/>
        <v>184.26379383972827</v>
      </c>
      <c r="K967" s="360">
        <f t="shared" ca="1" si="450"/>
        <v>-8.3995737923707363</v>
      </c>
      <c r="L967" s="357">
        <f t="shared" ca="1" si="435"/>
        <v>184.45513969554594</v>
      </c>
      <c r="M967" s="359">
        <f t="shared" ca="1" si="451"/>
        <v>-1.4819897372099422</v>
      </c>
      <c r="N967" s="357">
        <f t="shared" ca="1" si="452"/>
        <v>-84.911757223831657</v>
      </c>
      <c r="O967" s="343"/>
      <c r="P967" s="363">
        <f t="shared" ca="1" si="453"/>
        <v>23</v>
      </c>
      <c r="Q967" s="357">
        <f t="shared" ca="1" si="454"/>
        <v>0</v>
      </c>
      <c r="R967" s="359">
        <f t="shared" ca="1" si="455"/>
        <v>0</v>
      </c>
      <c r="S967" s="360">
        <f t="shared" ca="1" si="456"/>
        <v>0.42898953648292248</v>
      </c>
      <c r="T967" s="357">
        <f t="shared" ca="1" si="436"/>
        <v>4.2083873528974696</v>
      </c>
      <c r="U967" s="364">
        <f t="shared" ca="1" si="437"/>
        <v>0</v>
      </c>
      <c r="V967" s="359">
        <f t="shared" ca="1" si="438"/>
        <v>1.2260293801072744</v>
      </c>
      <c r="W967" s="357">
        <f t="shared" ca="1" si="439"/>
        <v>3.40427351626724</v>
      </c>
      <c r="X967" s="343"/>
      <c r="Y967" s="367" t="str">
        <f t="shared" ca="1" si="457"/>
        <v/>
      </c>
      <c r="Z967" s="368" t="str">
        <f t="shared" ca="1" si="458"/>
        <v/>
      </c>
      <c r="AA967" s="369" t="str">
        <f t="shared" ca="1" si="459"/>
        <v/>
      </c>
      <c r="AB967" s="344"/>
      <c r="AC967" s="363" t="e">
        <f t="shared" ca="1" si="460"/>
        <v>#N/A</v>
      </c>
      <c r="AD967" s="376" t="e">
        <f t="shared" ca="1" si="461"/>
        <v>#N/A</v>
      </c>
      <c r="AE967" s="377" t="e">
        <f t="shared" ca="1" si="440"/>
        <v>#N/A</v>
      </c>
      <c r="AF967" s="344"/>
      <c r="AG967" s="359">
        <f t="shared" ca="1" si="462"/>
        <v>1.83583354105967</v>
      </c>
      <c r="AH967" s="357">
        <f t="shared" ca="1" si="463"/>
        <v>-7.9355067033667934</v>
      </c>
    </row>
    <row r="968" spans="1:34">
      <c r="A968" s="402">
        <f t="shared" ca="1" si="441"/>
        <v>1E-4</v>
      </c>
      <c r="B968" s="357">
        <f t="shared" ca="1" si="442"/>
        <v>16.96149999999983</v>
      </c>
      <c r="C968" s="342"/>
      <c r="D968" s="359">
        <f t="shared" ca="1" si="443"/>
        <v>-0.70380433426885602</v>
      </c>
      <c r="E968" s="360">
        <f t="shared" ca="1" si="444"/>
        <v>-1.9057087323971382</v>
      </c>
      <c r="F968" s="357">
        <f t="shared" ca="1" si="445"/>
        <v>2.0315182287319833</v>
      </c>
      <c r="G968" s="359">
        <f t="shared" ca="1" si="446"/>
        <v>4.9776053569621999</v>
      </c>
      <c r="H968" s="360">
        <f t="shared" ca="1" si="447"/>
        <v>-55.903510497040237</v>
      </c>
      <c r="I968" s="357">
        <f t="shared" ca="1" si="448"/>
        <v>56.124674083528959</v>
      </c>
      <c r="J968" s="359">
        <f t="shared" ca="1" si="449"/>
        <v>184.26379383972827</v>
      </c>
      <c r="K968" s="360">
        <f t="shared" ca="1" si="450"/>
        <v>-8.4051641338918959</v>
      </c>
      <c r="L968" s="357">
        <f t="shared" ca="1" si="435"/>
        <v>184.45539434868135</v>
      </c>
      <c r="M968" s="359">
        <f t="shared" ca="1" si="451"/>
        <v>-1.481991287415771</v>
      </c>
      <c r="N968" s="357">
        <f t="shared" ca="1" si="452"/>
        <v>-84.911846044083035</v>
      </c>
      <c r="O968" s="343"/>
      <c r="P968" s="363">
        <f t="shared" ca="1" si="453"/>
        <v>23</v>
      </c>
      <c r="Q968" s="357">
        <f t="shared" ca="1" si="454"/>
        <v>0</v>
      </c>
      <c r="R968" s="359">
        <f t="shared" ca="1" si="455"/>
        <v>0</v>
      </c>
      <c r="S968" s="360">
        <f t="shared" ca="1" si="456"/>
        <v>0.42898953648292248</v>
      </c>
      <c r="T968" s="357">
        <f t="shared" ca="1" si="436"/>
        <v>4.2083873528974696</v>
      </c>
      <c r="U968" s="364">
        <f t="shared" ca="1" si="437"/>
        <v>0</v>
      </c>
      <c r="V968" s="359">
        <f t="shared" ca="1" si="438"/>
        <v>1.2260300654998817</v>
      </c>
      <c r="W968" s="357">
        <f t="shared" ca="1" si="439"/>
        <v>3.4042976895380974</v>
      </c>
      <c r="X968" s="343"/>
      <c r="Y968" s="367" t="str">
        <f t="shared" ca="1" si="457"/>
        <v/>
      </c>
      <c r="Z968" s="368" t="str">
        <f t="shared" ca="1" si="458"/>
        <v/>
      </c>
      <c r="AA968" s="369" t="str">
        <f t="shared" ca="1" si="459"/>
        <v/>
      </c>
      <c r="AB968" s="344"/>
      <c r="AC968" s="363" t="e">
        <f t="shared" ca="1" si="460"/>
        <v>#N/A</v>
      </c>
      <c r="AD968" s="376" t="e">
        <f t="shared" ca="1" si="461"/>
        <v>#N/A</v>
      </c>
      <c r="AE968" s="377" t="e">
        <f t="shared" ca="1" si="440"/>
        <v>#N/A</v>
      </c>
      <c r="AF968" s="344"/>
      <c r="AG968" s="359">
        <f t="shared" ca="1" si="462"/>
        <v>1.835778539217725</v>
      </c>
      <c r="AH968" s="357">
        <f t="shared" ca="1" si="463"/>
        <v>-7.9355630540018067</v>
      </c>
    </row>
    <row r="969" spans="1:34">
      <c r="A969" s="402">
        <f t="shared" ca="1" si="441"/>
        <v>1E-4</v>
      </c>
      <c r="B969" s="357">
        <f t="shared" ca="1" si="442"/>
        <v>16.96159999999983</v>
      </c>
      <c r="C969" s="342"/>
      <c r="D969" s="359">
        <f t="shared" ca="1" si="443"/>
        <v>-0.70379707851890239</v>
      </c>
      <c r="E969" s="360">
        <f t="shared" ca="1" si="444"/>
        <v>-1.9056515140887917</v>
      </c>
      <c r="F969" s="357">
        <f t="shared" ca="1" si="445"/>
        <v>2.0314620402263603</v>
      </c>
      <c r="G969" s="359">
        <f t="shared" ca="1" si="446"/>
        <v>4.977534977254348</v>
      </c>
      <c r="H969" s="360">
        <f t="shared" ca="1" si="447"/>
        <v>-55.903701062191644</v>
      </c>
      <c r="I969" s="357">
        <f t="shared" ca="1" si="448"/>
        <v>56.124857655950251</v>
      </c>
      <c r="J969" s="359">
        <f t="shared" ca="1" si="449"/>
        <v>184.26379383972827</v>
      </c>
      <c r="K969" s="360">
        <f t="shared" ca="1" si="450"/>
        <v>-8.4107544944698578</v>
      </c>
      <c r="L969" s="357">
        <f t="shared" ca="1" si="435"/>
        <v>184.45564917176196</v>
      </c>
      <c r="M969" s="359">
        <f t="shared" ca="1" si="451"/>
        <v>-1.4819928375895406</v>
      </c>
      <c r="N969" s="357">
        <f t="shared" ca="1" si="452"/>
        <v>-84.911934862497532</v>
      </c>
      <c r="O969" s="343"/>
      <c r="P969" s="363">
        <f t="shared" ca="1" si="453"/>
        <v>23</v>
      </c>
      <c r="Q969" s="357">
        <f t="shared" ca="1" si="454"/>
        <v>0</v>
      </c>
      <c r="R969" s="359">
        <f t="shared" ca="1" si="455"/>
        <v>0</v>
      </c>
      <c r="S969" s="360">
        <f t="shared" ca="1" si="456"/>
        <v>0.42898953648292248</v>
      </c>
      <c r="T969" s="357">
        <f t="shared" ca="1" si="436"/>
        <v>4.2083873528974696</v>
      </c>
      <c r="U969" s="364">
        <f t="shared" ca="1" si="437"/>
        <v>0</v>
      </c>
      <c r="V969" s="359">
        <f t="shared" ca="1" si="438"/>
        <v>1.2260307508952091</v>
      </c>
      <c r="W969" s="357">
        <f t="shared" ca="1" si="439"/>
        <v>3.404321862247023</v>
      </c>
      <c r="X969" s="343"/>
      <c r="Y969" s="367" t="str">
        <f t="shared" ca="1" si="457"/>
        <v/>
      </c>
      <c r="Z969" s="368" t="str">
        <f t="shared" ca="1" si="458"/>
        <v/>
      </c>
      <c r="AA969" s="369" t="str">
        <f t="shared" ca="1" si="459"/>
        <v/>
      </c>
      <c r="AB969" s="344"/>
      <c r="AC969" s="363" t="e">
        <f t="shared" ca="1" si="460"/>
        <v>#N/A</v>
      </c>
      <c r="AD969" s="376" t="e">
        <f t="shared" ca="1" si="461"/>
        <v>#N/A</v>
      </c>
      <c r="AE969" s="377" t="e">
        <f t="shared" ca="1" si="440"/>
        <v>#N/A</v>
      </c>
      <c r="AF969" s="344"/>
      <c r="AG969" s="359">
        <f t="shared" ca="1" si="462"/>
        <v>1.8357235386343156</v>
      </c>
      <c r="AH969" s="357">
        <f t="shared" ca="1" si="463"/>
        <v>-7.9356194033269105</v>
      </c>
    </row>
    <row r="970" spans="1:34">
      <c r="A970" s="402">
        <f t="shared" ca="1" si="441"/>
        <v>1E-4</v>
      </c>
      <c r="B970" s="357">
        <f t="shared" ca="1" si="442"/>
        <v>16.96169999999983</v>
      </c>
      <c r="C970" s="342"/>
      <c r="D970" s="359">
        <f t="shared" ca="1" si="443"/>
        <v>-0.70378982273047852</v>
      </c>
      <c r="E970" s="360">
        <f t="shared" ca="1" si="444"/>
        <v>-1.9055942971112438</v>
      </c>
      <c r="F970" s="357">
        <f t="shared" ca="1" si="445"/>
        <v>2.0314058530391934</v>
      </c>
      <c r="G970" s="359">
        <f t="shared" ca="1" si="446"/>
        <v>4.9774645982720749</v>
      </c>
      <c r="H970" s="360">
        <f t="shared" ca="1" si="447"/>
        <v>-55.903891621621355</v>
      </c>
      <c r="I970" s="357">
        <f t="shared" ca="1" si="448"/>
        <v>56.125041222871616</v>
      </c>
      <c r="J970" s="359">
        <f t="shared" ca="1" si="449"/>
        <v>184.26379383972827</v>
      </c>
      <c r="K970" s="360">
        <f t="shared" ca="1" si="450"/>
        <v>-8.4163448741040483</v>
      </c>
      <c r="L970" s="357">
        <f t="shared" ca="1" si="435"/>
        <v>184.45590416478879</v>
      </c>
      <c r="M970" s="359">
        <f t="shared" ca="1" si="451"/>
        <v>-1.4819943877312516</v>
      </c>
      <c r="N970" s="357">
        <f t="shared" ca="1" si="452"/>
        <v>-84.912023679075219</v>
      </c>
      <c r="O970" s="343"/>
      <c r="P970" s="363">
        <f t="shared" ca="1" si="453"/>
        <v>23</v>
      </c>
      <c r="Q970" s="357">
        <f t="shared" ca="1" si="454"/>
        <v>0</v>
      </c>
      <c r="R970" s="359">
        <f t="shared" ca="1" si="455"/>
        <v>0</v>
      </c>
      <c r="S970" s="360">
        <f t="shared" ca="1" si="456"/>
        <v>0.42898953648292248</v>
      </c>
      <c r="T970" s="357">
        <f t="shared" ca="1" si="436"/>
        <v>4.2083873528974696</v>
      </c>
      <c r="U970" s="364">
        <f t="shared" ca="1" si="437"/>
        <v>0</v>
      </c>
      <c r="V970" s="359">
        <f t="shared" ca="1" si="438"/>
        <v>1.2260314362932561</v>
      </c>
      <c r="W970" s="357">
        <f t="shared" ca="1" si="439"/>
        <v>3.4043460343940266</v>
      </c>
      <c r="X970" s="343"/>
      <c r="Y970" s="367" t="str">
        <f t="shared" ca="1" si="457"/>
        <v/>
      </c>
      <c r="Z970" s="368" t="str">
        <f t="shared" ca="1" si="458"/>
        <v/>
      </c>
      <c r="AA970" s="369" t="str">
        <f t="shared" ca="1" si="459"/>
        <v/>
      </c>
      <c r="AB970" s="344"/>
      <c r="AC970" s="363" t="e">
        <f t="shared" ca="1" si="460"/>
        <v>#N/A</v>
      </c>
      <c r="AD970" s="376" t="e">
        <f t="shared" ca="1" si="461"/>
        <v>#N/A</v>
      </c>
      <c r="AE970" s="377" t="e">
        <f t="shared" ca="1" si="440"/>
        <v>#N/A</v>
      </c>
      <c r="AF970" s="344"/>
      <c r="AG970" s="359">
        <f t="shared" ca="1" si="462"/>
        <v>1.8356685393094248</v>
      </c>
      <c r="AH970" s="357">
        <f t="shared" ca="1" si="463"/>
        <v>-7.9356757513421181</v>
      </c>
    </row>
    <row r="971" spans="1:34">
      <c r="A971" s="402">
        <f t="shared" ca="1" si="441"/>
        <v>1E-4</v>
      </c>
      <c r="B971" s="357">
        <f t="shared" ca="1" si="442"/>
        <v>16.96179999999983</v>
      </c>
      <c r="C971" s="342"/>
      <c r="D971" s="359">
        <f t="shared" ca="1" si="443"/>
        <v>-0.70378256690359287</v>
      </c>
      <c r="E971" s="360">
        <f t="shared" ca="1" si="444"/>
        <v>-1.9055370814644714</v>
      </c>
      <c r="F971" s="357">
        <f t="shared" ca="1" si="445"/>
        <v>2.0313496671704616</v>
      </c>
      <c r="G971" s="359">
        <f t="shared" ca="1" si="446"/>
        <v>4.9773942200153849</v>
      </c>
      <c r="H971" s="360">
        <f t="shared" ca="1" si="447"/>
        <v>-55.904082175329499</v>
      </c>
      <c r="I971" s="357">
        <f t="shared" ca="1" si="448"/>
        <v>56.125224784293167</v>
      </c>
      <c r="J971" s="359">
        <f t="shared" ca="1" si="449"/>
        <v>184.26379383972827</v>
      </c>
      <c r="K971" s="360">
        <f t="shared" ca="1" si="450"/>
        <v>-8.4219352727938954</v>
      </c>
      <c r="L971" s="357">
        <f t="shared" ca="1" si="435"/>
        <v>184.4561593277628</v>
      </c>
      <c r="M971" s="359">
        <f t="shared" ca="1" si="451"/>
        <v>-1.4819959378409049</v>
      </c>
      <c r="N971" s="357">
        <f t="shared" ca="1" si="452"/>
        <v>-84.912112493816139</v>
      </c>
      <c r="O971" s="343"/>
      <c r="P971" s="363">
        <f t="shared" ca="1" si="453"/>
        <v>23</v>
      </c>
      <c r="Q971" s="357">
        <f t="shared" ca="1" si="454"/>
        <v>0</v>
      </c>
      <c r="R971" s="359">
        <f t="shared" ca="1" si="455"/>
        <v>0</v>
      </c>
      <c r="S971" s="360">
        <f t="shared" ca="1" si="456"/>
        <v>0.42898953648292248</v>
      </c>
      <c r="T971" s="357">
        <f t="shared" ca="1" si="436"/>
        <v>4.2083873528974696</v>
      </c>
      <c r="U971" s="364">
        <f t="shared" ca="1" si="437"/>
        <v>0</v>
      </c>
      <c r="V971" s="359">
        <f t="shared" ca="1" si="438"/>
        <v>1.2260321216940222</v>
      </c>
      <c r="W971" s="357">
        <f t="shared" ca="1" si="439"/>
        <v>3.4043702059791134</v>
      </c>
      <c r="X971" s="343"/>
      <c r="Y971" s="367" t="str">
        <f t="shared" ca="1" si="457"/>
        <v/>
      </c>
      <c r="Z971" s="368" t="str">
        <f t="shared" ca="1" si="458"/>
        <v/>
      </c>
      <c r="AA971" s="369" t="str">
        <f t="shared" ca="1" si="459"/>
        <v/>
      </c>
      <c r="AB971" s="344"/>
      <c r="AC971" s="363" t="e">
        <f t="shared" ca="1" si="460"/>
        <v>#N/A</v>
      </c>
      <c r="AD971" s="376" t="e">
        <f t="shared" ca="1" si="461"/>
        <v>#N/A</v>
      </c>
      <c r="AE971" s="377" t="e">
        <f t="shared" ca="1" si="440"/>
        <v>#N/A</v>
      </c>
      <c r="AF971" s="344"/>
      <c r="AG971" s="359">
        <f t="shared" ca="1" si="462"/>
        <v>1.8356135412430366</v>
      </c>
      <c r="AH971" s="357">
        <f t="shared" ca="1" si="463"/>
        <v>-7.9357320980474526</v>
      </c>
    </row>
    <row r="972" spans="1:34">
      <c r="A972" s="402">
        <f t="shared" ca="1" si="441"/>
        <v>1E-4</v>
      </c>
      <c r="B972" s="357">
        <f t="shared" ca="1" si="442"/>
        <v>16.961899999999829</v>
      </c>
      <c r="C972" s="342"/>
      <c r="D972" s="359">
        <f t="shared" ca="1" si="443"/>
        <v>-0.70377531103825075</v>
      </c>
      <c r="E972" s="360">
        <f t="shared" ca="1" si="444"/>
        <v>-1.9054798671484621</v>
      </c>
      <c r="F972" s="357">
        <f t="shared" ca="1" si="445"/>
        <v>2.0312934826201525</v>
      </c>
      <c r="G972" s="359">
        <f t="shared" ca="1" si="446"/>
        <v>4.9773238424842807</v>
      </c>
      <c r="H972" s="360">
        <f t="shared" ca="1" si="447"/>
        <v>-55.904272723316211</v>
      </c>
      <c r="I972" s="357">
        <f t="shared" ca="1" si="448"/>
        <v>56.125408340215039</v>
      </c>
      <c r="J972" s="359">
        <f t="shared" ca="1" si="449"/>
        <v>184.26379383972827</v>
      </c>
      <c r="K972" s="360">
        <f t="shared" ca="1" si="450"/>
        <v>-8.4275256905388272</v>
      </c>
      <c r="L972" s="357">
        <f t="shared" ca="1" si="435"/>
        <v>184.45641466068503</v>
      </c>
      <c r="M972" s="359">
        <f t="shared" ca="1" si="451"/>
        <v>-1.4819974879185014</v>
      </c>
      <c r="N972" s="357">
        <f t="shared" ca="1" si="452"/>
        <v>-84.912201306720334</v>
      </c>
      <c r="O972" s="343"/>
      <c r="P972" s="363">
        <f t="shared" ca="1" si="453"/>
        <v>23</v>
      </c>
      <c r="Q972" s="357">
        <f t="shared" ca="1" si="454"/>
        <v>0</v>
      </c>
      <c r="R972" s="359">
        <f t="shared" ca="1" si="455"/>
        <v>0</v>
      </c>
      <c r="S972" s="360">
        <f t="shared" ca="1" si="456"/>
        <v>0.42898953648292248</v>
      </c>
      <c r="T972" s="357">
        <f t="shared" ca="1" si="436"/>
        <v>4.2083873528974696</v>
      </c>
      <c r="U972" s="364">
        <f t="shared" ca="1" si="437"/>
        <v>0</v>
      </c>
      <c r="V972" s="359">
        <f t="shared" ca="1" si="438"/>
        <v>1.2260328070975084</v>
      </c>
      <c r="W972" s="357">
        <f t="shared" ca="1" si="439"/>
        <v>3.4043943770022933</v>
      </c>
      <c r="X972" s="343"/>
      <c r="Y972" s="367" t="str">
        <f t="shared" ca="1" si="457"/>
        <v/>
      </c>
      <c r="Z972" s="368" t="str">
        <f t="shared" ca="1" si="458"/>
        <v/>
      </c>
      <c r="AA972" s="369" t="str">
        <f t="shared" ca="1" si="459"/>
        <v/>
      </c>
      <c r="AB972" s="344"/>
      <c r="AC972" s="363" t="e">
        <f t="shared" ca="1" si="460"/>
        <v>#N/A</v>
      </c>
      <c r="AD972" s="376" t="e">
        <f t="shared" ca="1" si="461"/>
        <v>#N/A</v>
      </c>
      <c r="AE972" s="377" t="e">
        <f t="shared" ca="1" si="440"/>
        <v>#N/A</v>
      </c>
      <c r="AF972" s="344"/>
      <c r="AG972" s="359">
        <f t="shared" ca="1" si="462"/>
        <v>1.8355585444351394</v>
      </c>
      <c r="AH972" s="357">
        <f t="shared" ca="1" si="463"/>
        <v>-7.9357884434429256</v>
      </c>
    </row>
    <row r="973" spans="1:34">
      <c r="A973" s="402">
        <f t="shared" ca="1" si="441"/>
        <v>1E-4</v>
      </c>
      <c r="B973" s="357">
        <f t="shared" ca="1" si="442"/>
        <v>16.961999999999829</v>
      </c>
      <c r="C973" s="342"/>
      <c r="D973" s="359">
        <f t="shared" ca="1" si="443"/>
        <v>-0.70376805513445895</v>
      </c>
      <c r="E973" s="360">
        <f t="shared" ca="1" si="444"/>
        <v>-1.9054226541631918</v>
      </c>
      <c r="F973" s="357">
        <f t="shared" ca="1" si="445"/>
        <v>2.0312372993882426</v>
      </c>
      <c r="G973" s="359">
        <f t="shared" ca="1" si="446"/>
        <v>4.9772534656787677</v>
      </c>
      <c r="H973" s="360">
        <f t="shared" ca="1" si="447"/>
        <v>-55.904463265581626</v>
      </c>
      <c r="I973" s="357">
        <f t="shared" ca="1" si="448"/>
        <v>56.125591890637345</v>
      </c>
      <c r="J973" s="359">
        <f t="shared" ca="1" si="449"/>
        <v>184.26379383972827</v>
      </c>
      <c r="K973" s="360">
        <f t="shared" ca="1" si="450"/>
        <v>-8.4331161273382715</v>
      </c>
      <c r="L973" s="357">
        <f t="shared" ca="1" si="435"/>
        <v>184.45667016355645</v>
      </c>
      <c r="M973" s="359">
        <f t="shared" ca="1" si="451"/>
        <v>-1.481999037964042</v>
      </c>
      <c r="N973" s="357">
        <f t="shared" ca="1" si="452"/>
        <v>-84.912290117787862</v>
      </c>
      <c r="O973" s="343"/>
      <c r="P973" s="363">
        <f t="shared" ca="1" si="453"/>
        <v>23</v>
      </c>
      <c r="Q973" s="357">
        <f t="shared" ca="1" si="454"/>
        <v>0</v>
      </c>
      <c r="R973" s="359">
        <f t="shared" ca="1" si="455"/>
        <v>0</v>
      </c>
      <c r="S973" s="360">
        <f t="shared" ca="1" si="456"/>
        <v>0.42898953648292248</v>
      </c>
      <c r="T973" s="357">
        <f t="shared" ca="1" si="436"/>
        <v>4.2083873528974696</v>
      </c>
      <c r="U973" s="364">
        <f t="shared" ca="1" si="437"/>
        <v>0</v>
      </c>
      <c r="V973" s="359">
        <f t="shared" ca="1" si="438"/>
        <v>1.226033492503714</v>
      </c>
      <c r="W973" s="357">
        <f t="shared" ca="1" si="439"/>
        <v>3.4044185474635724</v>
      </c>
      <c r="X973" s="343"/>
      <c r="Y973" s="367" t="str">
        <f t="shared" ca="1" si="457"/>
        <v/>
      </c>
      <c r="Z973" s="368" t="str">
        <f t="shared" ca="1" si="458"/>
        <v/>
      </c>
      <c r="AA973" s="369" t="str">
        <f t="shared" ca="1" si="459"/>
        <v/>
      </c>
      <c r="AB973" s="344"/>
      <c r="AC973" s="363" t="e">
        <f t="shared" ca="1" si="460"/>
        <v>#N/A</v>
      </c>
      <c r="AD973" s="376" t="e">
        <f t="shared" ca="1" si="461"/>
        <v>#N/A</v>
      </c>
      <c r="AE973" s="377" t="e">
        <f t="shared" ca="1" si="440"/>
        <v>#N/A</v>
      </c>
      <c r="AF973" s="344"/>
      <c r="AG973" s="359">
        <f t="shared" ca="1" si="462"/>
        <v>1.8355035488857139</v>
      </c>
      <c r="AH973" s="357">
        <f t="shared" ca="1" si="463"/>
        <v>-7.93584478752856</v>
      </c>
    </row>
    <row r="974" spans="1:34">
      <c r="A974" s="402">
        <f t="shared" ca="1" si="441"/>
        <v>1E-4</v>
      </c>
      <c r="B974" s="357">
        <f t="shared" ca="1" si="442"/>
        <v>16.962099999999829</v>
      </c>
      <c r="C974" s="342"/>
      <c r="D974" s="359">
        <f t="shared" ca="1" si="443"/>
        <v>-0.70376079919222334</v>
      </c>
      <c r="E974" s="360">
        <f t="shared" ca="1" si="444"/>
        <v>-1.9053654425086481</v>
      </c>
      <c r="F974" s="357">
        <f t="shared" ca="1" si="445"/>
        <v>2.0311811174747203</v>
      </c>
      <c r="G974" s="359">
        <f t="shared" ca="1" si="446"/>
        <v>4.9771830895988485</v>
      </c>
      <c r="H974" s="360">
        <f t="shared" ca="1" si="447"/>
        <v>-55.904653802125878</v>
      </c>
      <c r="I974" s="357">
        <f t="shared" ca="1" si="448"/>
        <v>56.125775435560229</v>
      </c>
      <c r="J974" s="359">
        <f t="shared" ca="1" si="449"/>
        <v>184.26379383972827</v>
      </c>
      <c r="K974" s="360">
        <f t="shared" ca="1" si="450"/>
        <v>-8.4387065831916566</v>
      </c>
      <c r="L974" s="357">
        <f t="shared" ca="1" si="435"/>
        <v>184.45692583637808</v>
      </c>
      <c r="M974" s="359">
        <f t="shared" ca="1" si="451"/>
        <v>-1.4820005879775278</v>
      </c>
      <c r="N974" s="357">
        <f t="shared" ca="1" si="452"/>
        <v>-84.912378927018793</v>
      </c>
      <c r="O974" s="343"/>
      <c r="P974" s="363">
        <f t="shared" ca="1" si="453"/>
        <v>23</v>
      </c>
      <c r="Q974" s="357">
        <f t="shared" ca="1" si="454"/>
        <v>0</v>
      </c>
      <c r="R974" s="359">
        <f t="shared" ca="1" si="455"/>
        <v>0</v>
      </c>
      <c r="S974" s="360">
        <f t="shared" ca="1" si="456"/>
        <v>0.42898953648292248</v>
      </c>
      <c r="T974" s="357">
        <f t="shared" ca="1" si="436"/>
        <v>4.2083873528974696</v>
      </c>
      <c r="U974" s="364">
        <f t="shared" ca="1" si="437"/>
        <v>0</v>
      </c>
      <c r="V974" s="359">
        <f t="shared" ca="1" si="438"/>
        <v>1.2260341779126389</v>
      </c>
      <c r="W974" s="357">
        <f t="shared" ca="1" si="439"/>
        <v>3.4044427173629606</v>
      </c>
      <c r="X974" s="343"/>
      <c r="Y974" s="367" t="str">
        <f t="shared" ca="1" si="457"/>
        <v/>
      </c>
      <c r="Z974" s="368" t="str">
        <f t="shared" ca="1" si="458"/>
        <v/>
      </c>
      <c r="AA974" s="369" t="str">
        <f t="shared" ca="1" si="459"/>
        <v/>
      </c>
      <c r="AB974" s="344"/>
      <c r="AC974" s="363" t="e">
        <f t="shared" ca="1" si="460"/>
        <v>#N/A</v>
      </c>
      <c r="AD974" s="376" t="e">
        <f t="shared" ca="1" si="461"/>
        <v>#N/A</v>
      </c>
      <c r="AE974" s="377" t="e">
        <f t="shared" ca="1" si="440"/>
        <v>#N/A</v>
      </c>
      <c r="AF974" s="344"/>
      <c r="AG974" s="359">
        <f t="shared" ca="1" si="462"/>
        <v>1.8354485545947474</v>
      </c>
      <c r="AH974" s="357">
        <f t="shared" ca="1" si="463"/>
        <v>-7.9359011303043703</v>
      </c>
    </row>
    <row r="975" spans="1:34">
      <c r="A975" s="402">
        <f t="shared" ca="1" si="441"/>
        <v>1E-4</v>
      </c>
      <c r="B975" s="357">
        <f t="shared" ca="1" si="442"/>
        <v>16.962199999999829</v>
      </c>
      <c r="C975" s="342"/>
      <c r="D975" s="359">
        <f t="shared" ca="1" si="443"/>
        <v>-0.70375354321154848</v>
      </c>
      <c r="E975" s="360">
        <f t="shared" ca="1" si="444"/>
        <v>-1.9053082321848063</v>
      </c>
      <c r="F975" s="357">
        <f t="shared" ca="1" si="445"/>
        <v>2.0311249368795607</v>
      </c>
      <c r="G975" s="359">
        <f t="shared" ca="1" si="446"/>
        <v>4.9771127142445275</v>
      </c>
      <c r="H975" s="360">
        <f t="shared" ca="1" si="447"/>
        <v>-55.904844332949096</v>
      </c>
      <c r="I975" s="357">
        <f t="shared" ca="1" si="448"/>
        <v>56.12595897498381</v>
      </c>
      <c r="J975" s="359">
        <f t="shared" ca="1" si="449"/>
        <v>184.26379383972827</v>
      </c>
      <c r="K975" s="360">
        <f t="shared" ca="1" si="450"/>
        <v>-8.4442970580984102</v>
      </c>
      <c r="L975" s="357">
        <f t="shared" ca="1" si="435"/>
        <v>184.45718167915092</v>
      </c>
      <c r="M975" s="359">
        <f t="shared" ca="1" si="451"/>
        <v>-1.4820021379589596</v>
      </c>
      <c r="N975" s="357">
        <f t="shared" ca="1" si="452"/>
        <v>-84.912467734413156</v>
      </c>
      <c r="O975" s="343"/>
      <c r="P975" s="363">
        <f t="shared" ca="1" si="453"/>
        <v>23</v>
      </c>
      <c r="Q975" s="357">
        <f t="shared" ca="1" si="454"/>
        <v>0</v>
      </c>
      <c r="R975" s="359">
        <f t="shared" ca="1" si="455"/>
        <v>0</v>
      </c>
      <c r="S975" s="360">
        <f t="shared" ca="1" si="456"/>
        <v>0.42898953648292248</v>
      </c>
      <c r="T975" s="357">
        <f t="shared" ca="1" si="436"/>
        <v>4.2083873528974696</v>
      </c>
      <c r="U975" s="364">
        <f t="shared" ca="1" si="437"/>
        <v>0</v>
      </c>
      <c r="V975" s="359">
        <f t="shared" ca="1" si="438"/>
        <v>1.2260348633242832</v>
      </c>
      <c r="W975" s="357">
        <f t="shared" ca="1" si="439"/>
        <v>3.4044668867004639</v>
      </c>
      <c r="X975" s="343"/>
      <c r="Y975" s="367" t="str">
        <f t="shared" ca="1" si="457"/>
        <v/>
      </c>
      <c r="Z975" s="368" t="str">
        <f t="shared" ca="1" si="458"/>
        <v/>
      </c>
      <c r="AA975" s="369" t="str">
        <f t="shared" ca="1" si="459"/>
        <v/>
      </c>
      <c r="AB975" s="344"/>
      <c r="AC975" s="363" t="e">
        <f t="shared" ca="1" si="460"/>
        <v>#N/A</v>
      </c>
      <c r="AD975" s="376" t="e">
        <f t="shared" ca="1" si="461"/>
        <v>#N/A</v>
      </c>
      <c r="AE975" s="377" t="e">
        <f t="shared" ca="1" si="440"/>
        <v>#N/A</v>
      </c>
      <c r="AF975" s="344"/>
      <c r="AG975" s="359">
        <f t="shared" ca="1" si="462"/>
        <v>1.8353935615622188</v>
      </c>
      <c r="AH975" s="357">
        <f t="shared" ca="1" si="463"/>
        <v>-7.9359574717703794</v>
      </c>
    </row>
    <row r="976" spans="1:34">
      <c r="A976" s="402">
        <f t="shared" ca="1" si="441"/>
        <v>1E-4</v>
      </c>
      <c r="B976" s="357">
        <f t="shared" ca="1" si="442"/>
        <v>16.962299999999829</v>
      </c>
      <c r="C976" s="342"/>
      <c r="D976" s="359">
        <f t="shared" ca="1" si="443"/>
        <v>-0.70374628719244048</v>
      </c>
      <c r="E976" s="360">
        <f t="shared" ca="1" si="444"/>
        <v>-1.9052510231916502</v>
      </c>
      <c r="F976" s="357">
        <f t="shared" ca="1" si="445"/>
        <v>2.0310687576027493</v>
      </c>
      <c r="G976" s="359">
        <f t="shared" ca="1" si="446"/>
        <v>4.9770423396158083</v>
      </c>
      <c r="H976" s="360">
        <f t="shared" ca="1" si="447"/>
        <v>-55.905034858051415</v>
      </c>
      <c r="I976" s="357">
        <f t="shared" ca="1" si="448"/>
        <v>56.126142508908202</v>
      </c>
      <c r="J976" s="359">
        <f t="shared" ca="1" si="449"/>
        <v>184.26379383972827</v>
      </c>
      <c r="K976" s="360">
        <f t="shared" ca="1" si="450"/>
        <v>-8.4498875520579606</v>
      </c>
      <c r="L976" s="357">
        <f t="shared" ca="1" si="435"/>
        <v>184.45743769187598</v>
      </c>
      <c r="M976" s="359">
        <f t="shared" ca="1" si="451"/>
        <v>-1.4820036879083385</v>
      </c>
      <c r="N976" s="357">
        <f t="shared" ca="1" si="452"/>
        <v>-84.912556539971021</v>
      </c>
      <c r="O976" s="343"/>
      <c r="P976" s="363">
        <f t="shared" ca="1" si="453"/>
        <v>23</v>
      </c>
      <c r="Q976" s="357">
        <f t="shared" ca="1" si="454"/>
        <v>0</v>
      </c>
      <c r="R976" s="359">
        <f t="shared" ca="1" si="455"/>
        <v>0</v>
      </c>
      <c r="S976" s="360">
        <f t="shared" ca="1" si="456"/>
        <v>0.42898953648292248</v>
      </c>
      <c r="T976" s="357">
        <f t="shared" ca="1" si="436"/>
        <v>4.2083873528974696</v>
      </c>
      <c r="U976" s="364">
        <f t="shared" ca="1" si="437"/>
        <v>0</v>
      </c>
      <c r="V976" s="359">
        <f t="shared" ca="1" si="438"/>
        <v>1.226035548738647</v>
      </c>
      <c r="W976" s="357">
        <f t="shared" ca="1" si="439"/>
        <v>3.4044910554760897</v>
      </c>
      <c r="X976" s="343"/>
      <c r="Y976" s="367" t="str">
        <f t="shared" ca="1" si="457"/>
        <v/>
      </c>
      <c r="Z976" s="368" t="str">
        <f t="shared" ca="1" si="458"/>
        <v/>
      </c>
      <c r="AA976" s="369" t="str">
        <f t="shared" ca="1" si="459"/>
        <v/>
      </c>
      <c r="AB976" s="344"/>
      <c r="AC976" s="363" t="e">
        <f t="shared" ca="1" si="460"/>
        <v>#N/A</v>
      </c>
      <c r="AD976" s="376" t="e">
        <f t="shared" ca="1" si="461"/>
        <v>#N/A</v>
      </c>
      <c r="AE976" s="377" t="e">
        <f t="shared" ca="1" si="440"/>
        <v>#N/A</v>
      </c>
      <c r="AF976" s="344"/>
      <c r="AG976" s="359">
        <f t="shared" ca="1" si="462"/>
        <v>1.8353385697881182</v>
      </c>
      <c r="AH976" s="357">
        <f t="shared" ca="1" si="463"/>
        <v>-7.9360138119266024</v>
      </c>
    </row>
    <row r="977" spans="1:34">
      <c r="A977" s="402">
        <f t="shared" ca="1" si="441"/>
        <v>1E-4</v>
      </c>
      <c r="B977" s="357">
        <f t="shared" ca="1" si="442"/>
        <v>16.962399999999828</v>
      </c>
      <c r="C977" s="342"/>
      <c r="D977" s="359">
        <f t="shared" ca="1" si="443"/>
        <v>-0.7037390311349051</v>
      </c>
      <c r="E977" s="360">
        <f t="shared" ca="1" si="444"/>
        <v>-1.9051938155291648</v>
      </c>
      <c r="F977" s="357">
        <f t="shared" ca="1" si="445"/>
        <v>2.03101257964427</v>
      </c>
      <c r="G977" s="359">
        <f t="shared" ca="1" si="446"/>
        <v>4.9769719657126945</v>
      </c>
      <c r="H977" s="360">
        <f t="shared" ca="1" si="447"/>
        <v>-55.90522537743297</v>
      </c>
      <c r="I977" s="357">
        <f t="shared" ca="1" si="448"/>
        <v>56.126326037333548</v>
      </c>
      <c r="J977" s="359">
        <f t="shared" ca="1" si="449"/>
        <v>184.26379383972827</v>
      </c>
      <c r="K977" s="360">
        <f t="shared" ca="1" si="450"/>
        <v>-8.4554780650697356</v>
      </c>
      <c r="L977" s="357">
        <f t="shared" ca="1" si="435"/>
        <v>184.45769387455422</v>
      </c>
      <c r="M977" s="359">
        <f t="shared" ca="1" si="451"/>
        <v>-1.482005237825665</v>
      </c>
      <c r="N977" s="357">
        <f t="shared" ca="1" si="452"/>
        <v>-84.912645343692432</v>
      </c>
      <c r="O977" s="343"/>
      <c r="P977" s="363">
        <f t="shared" ca="1" si="453"/>
        <v>23</v>
      </c>
      <c r="Q977" s="357">
        <f t="shared" ca="1" si="454"/>
        <v>0</v>
      </c>
      <c r="R977" s="359">
        <f t="shared" ca="1" si="455"/>
        <v>0</v>
      </c>
      <c r="S977" s="360">
        <f t="shared" ca="1" si="456"/>
        <v>0.42898953648292248</v>
      </c>
      <c r="T977" s="357">
        <f t="shared" ca="1" si="436"/>
        <v>4.2083873528974696</v>
      </c>
      <c r="U977" s="364">
        <f t="shared" ca="1" si="437"/>
        <v>0</v>
      </c>
      <c r="V977" s="359">
        <f t="shared" ca="1" si="438"/>
        <v>1.2260362341557296</v>
      </c>
      <c r="W977" s="357">
        <f t="shared" ca="1" si="439"/>
        <v>3.4045152236898466</v>
      </c>
      <c r="X977" s="343"/>
      <c r="Y977" s="367" t="str">
        <f t="shared" ca="1" si="457"/>
        <v/>
      </c>
      <c r="Z977" s="368" t="str">
        <f t="shared" ca="1" si="458"/>
        <v/>
      </c>
      <c r="AA977" s="369" t="str">
        <f t="shared" ca="1" si="459"/>
        <v/>
      </c>
      <c r="AB977" s="344"/>
      <c r="AC977" s="363" t="e">
        <f t="shared" ca="1" si="460"/>
        <v>#N/A</v>
      </c>
      <c r="AD977" s="376" t="e">
        <f t="shared" ca="1" si="461"/>
        <v>#N/A</v>
      </c>
      <c r="AE977" s="377" t="e">
        <f t="shared" ca="1" si="440"/>
        <v>#N/A</v>
      </c>
      <c r="AF977" s="344"/>
      <c r="AG977" s="359">
        <f t="shared" ca="1" si="462"/>
        <v>1.835283579272426</v>
      </c>
      <c r="AH977" s="357">
        <f t="shared" ca="1" si="463"/>
        <v>-7.9360701507730553</v>
      </c>
    </row>
    <row r="978" spans="1:34">
      <c r="A978" s="402">
        <f t="shared" ca="1" si="441"/>
        <v>1E-4</v>
      </c>
      <c r="B978" s="357">
        <f t="shared" ca="1" si="442"/>
        <v>16.962499999999828</v>
      </c>
      <c r="C978" s="342"/>
      <c r="D978" s="359">
        <f t="shared" ca="1" si="443"/>
        <v>-0.70373177503895079</v>
      </c>
      <c r="E978" s="360">
        <f t="shared" ca="1" si="444"/>
        <v>-1.9051366091973287</v>
      </c>
      <c r="F978" s="357">
        <f t="shared" ca="1" si="445"/>
        <v>2.0309564030041036</v>
      </c>
      <c r="G978" s="359">
        <f t="shared" ca="1" si="446"/>
        <v>4.9769015925351905</v>
      </c>
      <c r="H978" s="360">
        <f t="shared" ca="1" si="447"/>
        <v>-55.905415891093888</v>
      </c>
      <c r="I978" s="357">
        <f t="shared" ca="1" si="448"/>
        <v>56.126509560259954</v>
      </c>
      <c r="J978" s="359">
        <f t="shared" ca="1" si="449"/>
        <v>184.26379383972827</v>
      </c>
      <c r="K978" s="360">
        <f t="shared" ca="1" si="450"/>
        <v>-8.4610685971331616</v>
      </c>
      <c r="L978" s="357">
        <f t="shared" ca="1" si="435"/>
        <v>184.45795022718667</v>
      </c>
      <c r="M978" s="359">
        <f t="shared" ca="1" si="451"/>
        <v>-1.4820067877109404</v>
      </c>
      <c r="N978" s="357">
        <f t="shared" ca="1" si="452"/>
        <v>-84.912734145577446</v>
      </c>
      <c r="O978" s="343"/>
      <c r="P978" s="363">
        <f t="shared" ca="1" si="453"/>
        <v>23</v>
      </c>
      <c r="Q978" s="357">
        <f t="shared" ca="1" si="454"/>
        <v>0</v>
      </c>
      <c r="R978" s="359">
        <f t="shared" ca="1" si="455"/>
        <v>0</v>
      </c>
      <c r="S978" s="360">
        <f t="shared" ca="1" si="456"/>
        <v>0.42898953648292248</v>
      </c>
      <c r="T978" s="357">
        <f t="shared" ca="1" si="436"/>
        <v>4.2083873528974696</v>
      </c>
      <c r="U978" s="364">
        <f t="shared" ca="1" si="437"/>
        <v>0</v>
      </c>
      <c r="V978" s="359">
        <f t="shared" ca="1" si="438"/>
        <v>1.2260369195755321</v>
      </c>
      <c r="W978" s="357">
        <f t="shared" ca="1" si="439"/>
        <v>3.4045393913417419</v>
      </c>
      <c r="X978" s="343"/>
      <c r="Y978" s="367" t="str">
        <f t="shared" ca="1" si="457"/>
        <v/>
      </c>
      <c r="Z978" s="368" t="str">
        <f t="shared" ca="1" si="458"/>
        <v/>
      </c>
      <c r="AA978" s="369" t="str">
        <f t="shared" ca="1" si="459"/>
        <v/>
      </c>
      <c r="AB978" s="344"/>
      <c r="AC978" s="363" t="e">
        <f t="shared" ca="1" si="460"/>
        <v>#N/A</v>
      </c>
      <c r="AD978" s="376" t="e">
        <f t="shared" ca="1" si="461"/>
        <v>#N/A</v>
      </c>
      <c r="AE978" s="377" t="e">
        <f t="shared" ca="1" si="440"/>
        <v>#N/A</v>
      </c>
      <c r="AF978" s="344"/>
      <c r="AG978" s="359">
        <f t="shared" ca="1" si="462"/>
        <v>1.8352285900151291</v>
      </c>
      <c r="AH978" s="357">
        <f t="shared" ca="1" si="463"/>
        <v>-7.9361264883097586</v>
      </c>
    </row>
    <row r="979" spans="1:34">
      <c r="A979" s="402">
        <f t="shared" ca="1" si="441"/>
        <v>1E-4</v>
      </c>
      <c r="B979" s="357">
        <f t="shared" ca="1" si="442"/>
        <v>16.962599999999828</v>
      </c>
      <c r="C979" s="342"/>
      <c r="D979" s="359">
        <f t="shared" ca="1" si="443"/>
        <v>-0.70372451890457965</v>
      </c>
      <c r="E979" s="360">
        <f t="shared" ca="1" si="444"/>
        <v>-1.9050794041961252</v>
      </c>
      <c r="F979" s="357">
        <f t="shared" ca="1" si="445"/>
        <v>2.030900227682233</v>
      </c>
      <c r="G979" s="359">
        <f t="shared" ca="1" si="446"/>
        <v>4.9768312200832998</v>
      </c>
      <c r="H979" s="360">
        <f t="shared" ca="1" si="447"/>
        <v>-55.905606399034305</v>
      </c>
      <c r="I979" s="357">
        <f t="shared" ca="1" si="448"/>
        <v>56.126693077687563</v>
      </c>
      <c r="J979" s="359">
        <f t="shared" ca="1" si="449"/>
        <v>184.26379383972827</v>
      </c>
      <c r="K979" s="360">
        <f t="shared" ca="1" si="450"/>
        <v>-8.4666591482476683</v>
      </c>
      <c r="L979" s="357">
        <f t="shared" ca="1" si="435"/>
        <v>184.45820674977432</v>
      </c>
      <c r="M979" s="359">
        <f t="shared" ca="1" si="451"/>
        <v>-1.4820083375641653</v>
      </c>
      <c r="N979" s="357">
        <f t="shared" ca="1" si="452"/>
        <v>-84.91282294562609</v>
      </c>
      <c r="O979" s="343"/>
      <c r="P979" s="363">
        <f t="shared" ca="1" si="453"/>
        <v>23</v>
      </c>
      <c r="Q979" s="357">
        <f t="shared" ca="1" si="454"/>
        <v>0</v>
      </c>
      <c r="R979" s="359">
        <f t="shared" ca="1" si="455"/>
        <v>0</v>
      </c>
      <c r="S979" s="360">
        <f t="shared" ca="1" si="456"/>
        <v>0.42898953648292248</v>
      </c>
      <c r="T979" s="357">
        <f t="shared" ca="1" si="436"/>
        <v>4.2083873528974696</v>
      </c>
      <c r="U979" s="364">
        <f t="shared" ca="1" si="437"/>
        <v>0</v>
      </c>
      <c r="V979" s="359">
        <f t="shared" ca="1" si="438"/>
        <v>1.226037604998053</v>
      </c>
      <c r="W979" s="357">
        <f t="shared" ca="1" si="439"/>
        <v>3.4045635584317817</v>
      </c>
      <c r="X979" s="343"/>
      <c r="Y979" s="367" t="str">
        <f t="shared" ca="1" si="457"/>
        <v/>
      </c>
      <c r="Z979" s="368" t="str">
        <f t="shared" ca="1" si="458"/>
        <v/>
      </c>
      <c r="AA979" s="369" t="str">
        <f t="shared" ca="1" si="459"/>
        <v/>
      </c>
      <c r="AB979" s="344"/>
      <c r="AC979" s="363" t="e">
        <f t="shared" ca="1" si="460"/>
        <v>#N/A</v>
      </c>
      <c r="AD979" s="376" t="e">
        <f t="shared" ca="1" si="461"/>
        <v>#N/A</v>
      </c>
      <c r="AE979" s="377" t="e">
        <f t="shared" ca="1" si="440"/>
        <v>#N/A</v>
      </c>
      <c r="AF979" s="344"/>
      <c r="AG979" s="359">
        <f t="shared" ca="1" si="462"/>
        <v>1.8351736020162086</v>
      </c>
      <c r="AH979" s="357">
        <f t="shared" ca="1" si="463"/>
        <v>-7.9361828245367292</v>
      </c>
    </row>
    <row r="980" spans="1:34">
      <c r="A980" s="402">
        <f t="shared" ca="1" si="441"/>
        <v>1E-4</v>
      </c>
      <c r="B980" s="357">
        <f t="shared" ca="1" si="442"/>
        <v>16.962699999999828</v>
      </c>
      <c r="C980" s="342"/>
      <c r="D980" s="359">
        <f t="shared" ca="1" si="443"/>
        <v>-0.70371726273180135</v>
      </c>
      <c r="E980" s="360">
        <f t="shared" ca="1" si="444"/>
        <v>-1.9050222005255391</v>
      </c>
      <c r="F980" s="357">
        <f t="shared" ca="1" si="445"/>
        <v>2.0308440536786438</v>
      </c>
      <c r="G980" s="359">
        <f t="shared" ca="1" si="446"/>
        <v>4.9767608483570269</v>
      </c>
      <c r="H980" s="360">
        <f t="shared" ca="1" si="447"/>
        <v>-55.905796901254355</v>
      </c>
      <c r="I980" s="357">
        <f t="shared" ca="1" si="448"/>
        <v>56.126876589616494</v>
      </c>
      <c r="J980" s="359">
        <f t="shared" ca="1" si="449"/>
        <v>184.26379383972827</v>
      </c>
      <c r="K980" s="360">
        <f t="shared" ca="1" si="450"/>
        <v>-8.4722497184126819</v>
      </c>
      <c r="L980" s="357">
        <f t="shared" ca="1" si="435"/>
        <v>184.45846344231816</v>
      </c>
      <c r="M980" s="359">
        <f t="shared" ca="1" si="451"/>
        <v>-1.4820098873853409</v>
      </c>
      <c r="N980" s="357">
        <f t="shared" ca="1" si="452"/>
        <v>-84.91291174383845</v>
      </c>
      <c r="O980" s="343"/>
      <c r="P980" s="363">
        <f t="shared" ca="1" si="453"/>
        <v>23</v>
      </c>
      <c r="Q980" s="357">
        <f t="shared" ca="1" si="454"/>
        <v>0</v>
      </c>
      <c r="R980" s="359">
        <f t="shared" ca="1" si="455"/>
        <v>0</v>
      </c>
      <c r="S980" s="360">
        <f t="shared" ca="1" si="456"/>
        <v>0.42898953648292248</v>
      </c>
      <c r="T980" s="357">
        <f t="shared" ca="1" si="436"/>
        <v>4.2083873528974696</v>
      </c>
      <c r="U980" s="364">
        <f t="shared" ca="1" si="437"/>
        <v>0</v>
      </c>
      <c r="V980" s="359">
        <f t="shared" ca="1" si="438"/>
        <v>1.2260382904232929</v>
      </c>
      <c r="W980" s="357">
        <f t="shared" ca="1" si="439"/>
        <v>3.4045877249599763</v>
      </c>
      <c r="X980" s="343"/>
      <c r="Y980" s="367" t="str">
        <f t="shared" ca="1" si="457"/>
        <v/>
      </c>
      <c r="Z980" s="368" t="str">
        <f t="shared" ca="1" si="458"/>
        <v/>
      </c>
      <c r="AA980" s="369" t="str">
        <f t="shared" ca="1" si="459"/>
        <v/>
      </c>
      <c r="AB980" s="344"/>
      <c r="AC980" s="363" t="e">
        <f t="shared" ca="1" si="460"/>
        <v>#N/A</v>
      </c>
      <c r="AD980" s="376" t="e">
        <f t="shared" ca="1" si="461"/>
        <v>#N/A</v>
      </c>
      <c r="AE980" s="377" t="e">
        <f t="shared" ca="1" si="440"/>
        <v>#N/A</v>
      </c>
      <c r="AF980" s="344"/>
      <c r="AG980" s="359">
        <f t="shared" ca="1" si="462"/>
        <v>1.8351186152756576</v>
      </c>
      <c r="AH980" s="357">
        <f t="shared" ca="1" si="463"/>
        <v>-7.9362391594539812</v>
      </c>
    </row>
    <row r="981" spans="1:34">
      <c r="A981" s="402">
        <f t="shared" ca="1" si="441"/>
        <v>1E-4</v>
      </c>
      <c r="B981" s="357">
        <f t="shared" ca="1" si="442"/>
        <v>16.962799999999827</v>
      </c>
      <c r="C981" s="342"/>
      <c r="D981" s="359">
        <f t="shared" ca="1" si="443"/>
        <v>-0.70371000652061877</v>
      </c>
      <c r="E981" s="360">
        <f t="shared" ca="1" si="444"/>
        <v>-1.9049649981855472</v>
      </c>
      <c r="F981" s="357">
        <f t="shared" ca="1" si="445"/>
        <v>2.0307878809933131</v>
      </c>
      <c r="G981" s="359">
        <f t="shared" ca="1" si="446"/>
        <v>4.9766904773563745</v>
      </c>
      <c r="H981" s="360">
        <f t="shared" ca="1" si="447"/>
        <v>-55.905987397754174</v>
      </c>
      <c r="I981" s="357">
        <f t="shared" ca="1" si="448"/>
        <v>56.127060096046883</v>
      </c>
      <c r="J981" s="359">
        <f t="shared" ca="1" si="449"/>
        <v>184.26379383972827</v>
      </c>
      <c r="K981" s="360">
        <f t="shared" ca="1" si="450"/>
        <v>-8.4778403076276323</v>
      </c>
      <c r="L981" s="357">
        <f t="shared" ca="1" si="435"/>
        <v>184.4587203048192</v>
      </c>
      <c r="M981" s="359">
        <f t="shared" ca="1" si="451"/>
        <v>-1.4820114371744679</v>
      </c>
      <c r="N981" s="357">
        <f t="shared" ca="1" si="452"/>
        <v>-84.913000540214568</v>
      </c>
      <c r="O981" s="343"/>
      <c r="P981" s="363">
        <f t="shared" ca="1" si="453"/>
        <v>23</v>
      </c>
      <c r="Q981" s="357">
        <f t="shared" ca="1" si="454"/>
        <v>0</v>
      </c>
      <c r="R981" s="359">
        <f t="shared" ca="1" si="455"/>
        <v>0</v>
      </c>
      <c r="S981" s="360">
        <f t="shared" ca="1" si="456"/>
        <v>0.42898953648292248</v>
      </c>
      <c r="T981" s="357">
        <f t="shared" ca="1" si="436"/>
        <v>4.2083873528974696</v>
      </c>
      <c r="U981" s="364">
        <f t="shared" ca="1" si="437"/>
        <v>0</v>
      </c>
      <c r="V981" s="359">
        <f t="shared" ca="1" si="438"/>
        <v>1.226038975851252</v>
      </c>
      <c r="W981" s="357">
        <f t="shared" ca="1" si="439"/>
        <v>3.4046118909263332</v>
      </c>
      <c r="X981" s="343"/>
      <c r="Y981" s="367" t="str">
        <f t="shared" ca="1" si="457"/>
        <v/>
      </c>
      <c r="Z981" s="368" t="str">
        <f t="shared" ca="1" si="458"/>
        <v/>
      </c>
      <c r="AA981" s="369" t="str">
        <f t="shared" ca="1" si="459"/>
        <v/>
      </c>
      <c r="AB981" s="344"/>
      <c r="AC981" s="363" t="e">
        <f t="shared" ca="1" si="460"/>
        <v>#N/A</v>
      </c>
      <c r="AD981" s="376" t="e">
        <f t="shared" ca="1" si="461"/>
        <v>#N/A</v>
      </c>
      <c r="AE981" s="377" t="e">
        <f t="shared" ca="1" si="440"/>
        <v>#N/A</v>
      </c>
      <c r="AF981" s="344"/>
      <c r="AG981" s="359">
        <f t="shared" ca="1" si="462"/>
        <v>1.8350636297934484</v>
      </c>
      <c r="AH981" s="357">
        <f t="shared" ca="1" si="463"/>
        <v>-7.9362954930615386</v>
      </c>
    </row>
    <row r="982" spans="1:34">
      <c r="A982" s="402">
        <f t="shared" ca="1" si="441"/>
        <v>1E-4</v>
      </c>
      <c r="B982" s="357">
        <f t="shared" ca="1" si="442"/>
        <v>16.962899999999827</v>
      </c>
      <c r="C982" s="342"/>
      <c r="D982" s="359">
        <f t="shared" ca="1" si="443"/>
        <v>-0.70370275027104012</v>
      </c>
      <c r="E982" s="360">
        <f t="shared" ca="1" si="444"/>
        <v>-1.9049077971761292</v>
      </c>
      <c r="F982" s="357">
        <f t="shared" ca="1" si="445"/>
        <v>2.0307317096262221</v>
      </c>
      <c r="G982" s="359">
        <f t="shared" ca="1" si="446"/>
        <v>4.9766201070813469</v>
      </c>
      <c r="H982" s="360">
        <f t="shared" ca="1" si="447"/>
        <v>-55.90617788853389</v>
      </c>
      <c r="I982" s="357">
        <f t="shared" ca="1" si="448"/>
        <v>56.127243596978843</v>
      </c>
      <c r="J982" s="359">
        <f t="shared" ca="1" si="449"/>
        <v>184.26379383972827</v>
      </c>
      <c r="K982" s="360">
        <f t="shared" ca="1" si="450"/>
        <v>-8.4834309158919474</v>
      </c>
      <c r="L982" s="357">
        <f t="shared" ca="1" si="435"/>
        <v>184.45897733727841</v>
      </c>
      <c r="M982" s="359">
        <f t="shared" ca="1" si="451"/>
        <v>-1.4820129869315475</v>
      </c>
      <c r="N982" s="357">
        <f t="shared" ca="1" si="452"/>
        <v>-84.913089334754503</v>
      </c>
      <c r="O982" s="343"/>
      <c r="P982" s="363">
        <f t="shared" ca="1" si="453"/>
        <v>23</v>
      </c>
      <c r="Q982" s="357">
        <f t="shared" ca="1" si="454"/>
        <v>0</v>
      </c>
      <c r="R982" s="359">
        <f t="shared" ca="1" si="455"/>
        <v>0</v>
      </c>
      <c r="S982" s="360">
        <f t="shared" ca="1" si="456"/>
        <v>0.42898953648292248</v>
      </c>
      <c r="T982" s="357">
        <f t="shared" ca="1" si="436"/>
        <v>4.2083873528974696</v>
      </c>
      <c r="U982" s="364">
        <f t="shared" ca="1" si="437"/>
        <v>0</v>
      </c>
      <c r="V982" s="359">
        <f t="shared" ca="1" si="438"/>
        <v>1.2260396612819298</v>
      </c>
      <c r="W982" s="357">
        <f t="shared" ca="1" si="439"/>
        <v>3.4046360563308582</v>
      </c>
      <c r="X982" s="343"/>
      <c r="Y982" s="367" t="str">
        <f t="shared" ca="1" si="457"/>
        <v/>
      </c>
      <c r="Z982" s="368" t="str">
        <f t="shared" ca="1" si="458"/>
        <v/>
      </c>
      <c r="AA982" s="369" t="str">
        <f t="shared" ca="1" si="459"/>
        <v/>
      </c>
      <c r="AB982" s="344"/>
      <c r="AC982" s="363" t="e">
        <f t="shared" ca="1" si="460"/>
        <v>#N/A</v>
      </c>
      <c r="AD982" s="376" t="e">
        <f t="shared" ca="1" si="461"/>
        <v>#N/A</v>
      </c>
      <c r="AE982" s="377" t="e">
        <f t="shared" ca="1" si="440"/>
        <v>#N/A</v>
      </c>
      <c r="AF982" s="344"/>
      <c r="AG982" s="359">
        <f t="shared" ca="1" si="462"/>
        <v>1.8350086455695713</v>
      </c>
      <c r="AH982" s="357">
        <f t="shared" ca="1" si="463"/>
        <v>-7.9363518253594201</v>
      </c>
    </row>
    <row r="983" spans="1:34">
      <c r="A983" s="402">
        <f t="shared" ca="1" si="441"/>
        <v>1E-4</v>
      </c>
      <c r="B983" s="357">
        <f t="shared" ca="1" si="442"/>
        <v>16.962999999999827</v>
      </c>
      <c r="C983" s="342"/>
      <c r="D983" s="359">
        <f t="shared" ca="1" si="443"/>
        <v>-0.70369549398306896</v>
      </c>
      <c r="E983" s="360">
        <f t="shared" ca="1" si="444"/>
        <v>-1.9048505974972727</v>
      </c>
      <c r="F983" s="357">
        <f t="shared" ca="1" si="445"/>
        <v>2.0306755395773575</v>
      </c>
      <c r="G983" s="359">
        <f t="shared" ca="1" si="446"/>
        <v>4.9765497375319487</v>
      </c>
      <c r="H983" s="360">
        <f t="shared" ca="1" si="447"/>
        <v>-55.906368373593637</v>
      </c>
      <c r="I983" s="357">
        <f t="shared" ca="1" si="448"/>
        <v>56.127427092412496</v>
      </c>
      <c r="J983" s="359">
        <f t="shared" ca="1" si="449"/>
        <v>184.26379383972827</v>
      </c>
      <c r="K983" s="360">
        <f t="shared" ca="1" si="450"/>
        <v>-8.4890215432050535</v>
      </c>
      <c r="L983" s="357">
        <f t="shared" ca="1" si="435"/>
        <v>184.45923453969684</v>
      </c>
      <c r="M983" s="359">
        <f t="shared" ca="1" si="451"/>
        <v>-1.4820145366565805</v>
      </c>
      <c r="N983" s="357">
        <f t="shared" ca="1" si="452"/>
        <v>-84.913178127458295</v>
      </c>
      <c r="O983" s="343"/>
      <c r="P983" s="363">
        <f t="shared" ca="1" si="453"/>
        <v>23</v>
      </c>
      <c r="Q983" s="357">
        <f t="shared" ca="1" si="454"/>
        <v>0</v>
      </c>
      <c r="R983" s="359">
        <f t="shared" ca="1" si="455"/>
        <v>0</v>
      </c>
      <c r="S983" s="360">
        <f t="shared" ca="1" si="456"/>
        <v>0.42898953648292248</v>
      </c>
      <c r="T983" s="357">
        <f t="shared" ca="1" si="436"/>
        <v>4.2083873528974696</v>
      </c>
      <c r="U983" s="364">
        <f t="shared" ca="1" si="437"/>
        <v>0</v>
      </c>
      <c r="V983" s="359">
        <f t="shared" ca="1" si="438"/>
        <v>1.2260403467153267</v>
      </c>
      <c r="W983" s="357">
        <f t="shared" ca="1" si="439"/>
        <v>3.4046602211735602</v>
      </c>
      <c r="X983" s="343"/>
      <c r="Y983" s="367" t="str">
        <f t="shared" ca="1" si="457"/>
        <v/>
      </c>
      <c r="Z983" s="368" t="str">
        <f t="shared" ca="1" si="458"/>
        <v/>
      </c>
      <c r="AA983" s="369" t="str">
        <f t="shared" ca="1" si="459"/>
        <v/>
      </c>
      <c r="AB983" s="344"/>
      <c r="AC983" s="363" t="e">
        <f t="shared" ca="1" si="460"/>
        <v>#N/A</v>
      </c>
      <c r="AD983" s="376" t="e">
        <f t="shared" ca="1" si="461"/>
        <v>#N/A</v>
      </c>
      <c r="AE983" s="377" t="e">
        <f t="shared" ca="1" si="440"/>
        <v>#N/A</v>
      </c>
      <c r="AF983" s="344"/>
      <c r="AG983" s="359">
        <f t="shared" ca="1" si="462"/>
        <v>1.834953662604013</v>
      </c>
      <c r="AH983" s="357">
        <f t="shared" ca="1" si="463"/>
        <v>-7.9364081563476372</v>
      </c>
    </row>
    <row r="984" spans="1:34">
      <c r="A984" s="402">
        <f t="shared" ca="1" si="441"/>
        <v>1E-4</v>
      </c>
      <c r="B984" s="357">
        <f t="shared" ca="1" si="442"/>
        <v>16.963099999999827</v>
      </c>
      <c r="C984" s="342"/>
      <c r="D984" s="359">
        <f t="shared" ca="1" si="443"/>
        <v>-0.70368823765671173</v>
      </c>
      <c r="E984" s="360">
        <f t="shared" ca="1" si="444"/>
        <v>-1.9047933991489581</v>
      </c>
      <c r="F984" s="357">
        <f t="shared" ca="1" si="445"/>
        <v>2.0306193708467006</v>
      </c>
      <c r="G984" s="359">
        <f t="shared" ca="1" si="446"/>
        <v>4.9764793687081834</v>
      </c>
      <c r="H984" s="360">
        <f t="shared" ca="1" si="447"/>
        <v>-55.90655885293355</v>
      </c>
      <c r="I984" s="357">
        <f t="shared" ca="1" si="448"/>
        <v>56.127610582347977</v>
      </c>
      <c r="J984" s="359">
        <f t="shared" ca="1" si="449"/>
        <v>184.26379383972827</v>
      </c>
      <c r="K984" s="360">
        <f t="shared" ca="1" si="450"/>
        <v>-8.4946121895663804</v>
      </c>
      <c r="L984" s="357">
        <f t="shared" ca="1" si="435"/>
        <v>184.45949191207541</v>
      </c>
      <c r="M984" s="359">
        <f t="shared" ca="1" si="451"/>
        <v>-1.4820160863495675</v>
      </c>
      <c r="N984" s="357">
        <f t="shared" ca="1" si="452"/>
        <v>-84.913266918325988</v>
      </c>
      <c r="O984" s="343"/>
      <c r="P984" s="363">
        <f t="shared" ca="1" si="453"/>
        <v>23</v>
      </c>
      <c r="Q984" s="357">
        <f t="shared" ca="1" si="454"/>
        <v>0</v>
      </c>
      <c r="R984" s="359">
        <f t="shared" ca="1" si="455"/>
        <v>0</v>
      </c>
      <c r="S984" s="360">
        <f t="shared" ca="1" si="456"/>
        <v>0.42898953648292248</v>
      </c>
      <c r="T984" s="357">
        <f t="shared" ca="1" si="436"/>
        <v>4.2083873528974696</v>
      </c>
      <c r="U984" s="364">
        <f t="shared" ca="1" si="437"/>
        <v>0</v>
      </c>
      <c r="V984" s="359">
        <f t="shared" ca="1" si="438"/>
        <v>1.2260410321514423</v>
      </c>
      <c r="W984" s="357">
        <f t="shared" ca="1" si="439"/>
        <v>3.4046843854544471</v>
      </c>
      <c r="X984" s="343"/>
      <c r="Y984" s="367" t="str">
        <f t="shared" ca="1" si="457"/>
        <v/>
      </c>
      <c r="Z984" s="368" t="str">
        <f t="shared" ca="1" si="458"/>
        <v/>
      </c>
      <c r="AA984" s="369" t="str">
        <f t="shared" ca="1" si="459"/>
        <v/>
      </c>
      <c r="AB984" s="344"/>
      <c r="AC984" s="363" t="e">
        <f t="shared" ca="1" si="460"/>
        <v>#N/A</v>
      </c>
      <c r="AD984" s="376" t="e">
        <f t="shared" ca="1" si="461"/>
        <v>#N/A</v>
      </c>
      <c r="AE984" s="377" t="e">
        <f t="shared" ca="1" si="440"/>
        <v>#N/A</v>
      </c>
      <c r="AF984" s="344"/>
      <c r="AG984" s="359">
        <f t="shared" ca="1" si="462"/>
        <v>1.834898680896754</v>
      </c>
      <c r="AH984" s="357">
        <f t="shared" ca="1" si="463"/>
        <v>-7.9364644860262112</v>
      </c>
    </row>
    <row r="985" spans="1:34">
      <c r="A985" s="402">
        <f t="shared" ca="1" si="441"/>
        <v>1E-4</v>
      </c>
      <c r="B985" s="357">
        <f t="shared" ca="1" si="442"/>
        <v>16.963199999999826</v>
      </c>
      <c r="C985" s="342"/>
      <c r="D985" s="359">
        <f t="shared" ca="1" si="443"/>
        <v>-0.70368098129197676</v>
      </c>
      <c r="E985" s="360">
        <f t="shared" ca="1" si="444"/>
        <v>-1.9047362021311649</v>
      </c>
      <c r="F985" s="357">
        <f t="shared" ca="1" si="445"/>
        <v>2.0305632034342325</v>
      </c>
      <c r="G985" s="359">
        <f t="shared" ca="1" si="446"/>
        <v>4.9764090006100545</v>
      </c>
      <c r="H985" s="360">
        <f t="shared" ca="1" si="447"/>
        <v>-55.906749326553765</v>
      </c>
      <c r="I985" s="357">
        <f t="shared" ca="1" si="448"/>
        <v>56.12779406678542</v>
      </c>
      <c r="J985" s="359">
        <f t="shared" ca="1" si="449"/>
        <v>184.26379383972827</v>
      </c>
      <c r="K985" s="360">
        <f t="shared" ca="1" si="450"/>
        <v>-8.5002028549753543</v>
      </c>
      <c r="L985" s="357">
        <f t="shared" ca="1" si="435"/>
        <v>184.45974945441515</v>
      </c>
      <c r="M985" s="359">
        <f t="shared" ca="1" si="451"/>
        <v>-1.4820176360105097</v>
      </c>
      <c r="N985" s="357">
        <f t="shared" ca="1" si="452"/>
        <v>-84.913355707357653</v>
      </c>
      <c r="O985" s="343"/>
      <c r="P985" s="363">
        <f t="shared" ca="1" si="453"/>
        <v>23</v>
      </c>
      <c r="Q985" s="357">
        <f t="shared" ca="1" si="454"/>
        <v>0</v>
      </c>
      <c r="R985" s="359">
        <f t="shared" ca="1" si="455"/>
        <v>0</v>
      </c>
      <c r="S985" s="360">
        <f t="shared" ca="1" si="456"/>
        <v>0.42898953648292248</v>
      </c>
      <c r="T985" s="357">
        <f t="shared" ca="1" si="436"/>
        <v>4.2083873528974696</v>
      </c>
      <c r="U985" s="364">
        <f t="shared" ca="1" si="437"/>
        <v>0</v>
      </c>
      <c r="V985" s="359">
        <f t="shared" ca="1" si="438"/>
        <v>1.2260417175902762</v>
      </c>
      <c r="W985" s="357">
        <f t="shared" ca="1" si="439"/>
        <v>3.4047085491735256</v>
      </c>
      <c r="X985" s="343"/>
      <c r="Y985" s="367" t="str">
        <f t="shared" ca="1" si="457"/>
        <v/>
      </c>
      <c r="Z985" s="368" t="str">
        <f t="shared" ca="1" si="458"/>
        <v/>
      </c>
      <c r="AA985" s="369" t="str">
        <f t="shared" ca="1" si="459"/>
        <v/>
      </c>
      <c r="AB985" s="344"/>
      <c r="AC985" s="363" t="e">
        <f t="shared" ca="1" si="460"/>
        <v>#N/A</v>
      </c>
      <c r="AD985" s="376" t="e">
        <f t="shared" ca="1" si="461"/>
        <v>#N/A</v>
      </c>
      <c r="AE985" s="377" t="e">
        <f t="shared" ca="1" si="440"/>
        <v>#N/A</v>
      </c>
      <c r="AF985" s="344"/>
      <c r="AG985" s="359">
        <f t="shared" ca="1" si="462"/>
        <v>1.83484370044778</v>
      </c>
      <c r="AH985" s="357">
        <f t="shared" ca="1" si="463"/>
        <v>-7.9365208143951618</v>
      </c>
    </row>
    <row r="986" spans="1:34">
      <c r="A986" s="402">
        <f t="shared" ca="1" si="441"/>
        <v>1E-4</v>
      </c>
      <c r="B986" s="357">
        <f t="shared" ca="1" si="442"/>
        <v>16.963299999999826</v>
      </c>
      <c r="C986" s="342"/>
      <c r="D986" s="359">
        <f t="shared" ca="1" si="443"/>
        <v>-0.70367372488886781</v>
      </c>
      <c r="E986" s="360">
        <f t="shared" ca="1" si="444"/>
        <v>-1.9046790064438772</v>
      </c>
      <c r="F986" s="357">
        <f t="shared" ca="1" si="445"/>
        <v>2.0305070373399374</v>
      </c>
      <c r="G986" s="359">
        <f t="shared" ca="1" si="446"/>
        <v>4.9763386332375656</v>
      </c>
      <c r="H986" s="360">
        <f t="shared" ca="1" si="447"/>
        <v>-55.906939794454409</v>
      </c>
      <c r="I986" s="357">
        <f t="shared" ca="1" si="448"/>
        <v>56.127977545724939</v>
      </c>
      <c r="J986" s="359">
        <f t="shared" ca="1" si="449"/>
        <v>184.26379383972827</v>
      </c>
      <c r="K986" s="360">
        <f t="shared" ca="1" si="450"/>
        <v>-8.505793539431405</v>
      </c>
      <c r="L986" s="357">
        <f t="shared" ca="1" si="435"/>
        <v>184.46000716671708</v>
      </c>
      <c r="M986" s="359">
        <f t="shared" ca="1" si="451"/>
        <v>-1.482019185639408</v>
      </c>
      <c r="N986" s="357">
        <f t="shared" ca="1" si="452"/>
        <v>-84.913444494553346</v>
      </c>
      <c r="O986" s="343"/>
      <c r="P986" s="363">
        <f t="shared" ca="1" si="453"/>
        <v>23</v>
      </c>
      <c r="Q986" s="357">
        <f t="shared" ca="1" si="454"/>
        <v>0</v>
      </c>
      <c r="R986" s="359">
        <f t="shared" ca="1" si="455"/>
        <v>0</v>
      </c>
      <c r="S986" s="360">
        <f t="shared" ca="1" si="456"/>
        <v>0.42898953648292248</v>
      </c>
      <c r="T986" s="357">
        <f t="shared" ca="1" si="436"/>
        <v>4.2083873528974696</v>
      </c>
      <c r="U986" s="364">
        <f t="shared" ca="1" si="437"/>
        <v>0</v>
      </c>
      <c r="V986" s="359">
        <f t="shared" ca="1" si="438"/>
        <v>1.2260424030318291</v>
      </c>
      <c r="W986" s="357">
        <f t="shared" ca="1" si="439"/>
        <v>3.4047327123308047</v>
      </c>
      <c r="X986" s="343"/>
      <c r="Y986" s="367" t="str">
        <f t="shared" ca="1" si="457"/>
        <v/>
      </c>
      <c r="Z986" s="368" t="str">
        <f t="shared" ca="1" si="458"/>
        <v/>
      </c>
      <c r="AA986" s="369" t="str">
        <f t="shared" ca="1" si="459"/>
        <v/>
      </c>
      <c r="AB986" s="344"/>
      <c r="AC986" s="363" t="e">
        <f t="shared" ca="1" si="460"/>
        <v>#N/A</v>
      </c>
      <c r="AD986" s="376" t="e">
        <f t="shared" ca="1" si="461"/>
        <v>#N/A</v>
      </c>
      <c r="AE986" s="377" t="e">
        <f t="shared" ca="1" si="440"/>
        <v>#N/A</v>
      </c>
      <c r="AF986" s="344"/>
      <c r="AG986" s="359">
        <f t="shared" ca="1" si="462"/>
        <v>1.8347887212570742</v>
      </c>
      <c r="AH986" s="357">
        <f t="shared" ca="1" si="463"/>
        <v>-7.9365771414545039</v>
      </c>
    </row>
    <row r="987" spans="1:34">
      <c r="A987" s="402">
        <f t="shared" ca="1" si="441"/>
        <v>1E-4</v>
      </c>
      <c r="B987" s="357">
        <f t="shared" ca="1" si="442"/>
        <v>16.963399999999826</v>
      </c>
      <c r="C987" s="342"/>
      <c r="D987" s="359">
        <f t="shared" ca="1" si="443"/>
        <v>-0.70366646844739134</v>
      </c>
      <c r="E987" s="360">
        <f t="shared" ca="1" si="444"/>
        <v>-1.9046218120870737</v>
      </c>
      <c r="F987" s="357">
        <f t="shared" ca="1" si="445"/>
        <v>2.0304508725637938</v>
      </c>
      <c r="G987" s="359">
        <f t="shared" ca="1" si="446"/>
        <v>4.9762682665907212</v>
      </c>
      <c r="H987" s="360">
        <f t="shared" ca="1" si="447"/>
        <v>-55.907130256635618</v>
      </c>
      <c r="I987" s="357">
        <f t="shared" ca="1" si="448"/>
        <v>56.128161019166654</v>
      </c>
      <c r="J987" s="359">
        <f t="shared" ca="1" si="449"/>
        <v>184.26379383972827</v>
      </c>
      <c r="K987" s="360">
        <f t="shared" ca="1" si="450"/>
        <v>-8.5113842429339588</v>
      </c>
      <c r="L987" s="357">
        <f t="shared" ca="1" si="435"/>
        <v>184.46026504898217</v>
      </c>
      <c r="M987" s="359">
        <f t="shared" ca="1" si="451"/>
        <v>-1.4820207352362633</v>
      </c>
      <c r="N987" s="357">
        <f t="shared" ca="1" si="452"/>
        <v>-84.913533279913096</v>
      </c>
      <c r="O987" s="343"/>
      <c r="P987" s="363">
        <f t="shared" ca="1" si="453"/>
        <v>23</v>
      </c>
      <c r="Q987" s="357">
        <f t="shared" ca="1" si="454"/>
        <v>0</v>
      </c>
      <c r="R987" s="359">
        <f t="shared" ca="1" si="455"/>
        <v>0</v>
      </c>
      <c r="S987" s="360">
        <f t="shared" ca="1" si="456"/>
        <v>0.42898953648292248</v>
      </c>
      <c r="T987" s="357">
        <f t="shared" ca="1" si="436"/>
        <v>4.2083873528974696</v>
      </c>
      <c r="U987" s="364">
        <f t="shared" ca="1" si="437"/>
        <v>0</v>
      </c>
      <c r="V987" s="359">
        <f t="shared" ca="1" si="438"/>
        <v>1.2260430884761007</v>
      </c>
      <c r="W987" s="357">
        <f t="shared" ca="1" si="439"/>
        <v>3.4047568749262913</v>
      </c>
      <c r="X987" s="343"/>
      <c r="Y987" s="367" t="str">
        <f t="shared" ca="1" si="457"/>
        <v/>
      </c>
      <c r="Z987" s="368" t="str">
        <f t="shared" ca="1" si="458"/>
        <v/>
      </c>
      <c r="AA987" s="369" t="str">
        <f t="shared" ca="1" si="459"/>
        <v/>
      </c>
      <c r="AB987" s="344"/>
      <c r="AC987" s="363" t="e">
        <f t="shared" ca="1" si="460"/>
        <v>#N/A</v>
      </c>
      <c r="AD987" s="376" t="e">
        <f t="shared" ca="1" si="461"/>
        <v>#N/A</v>
      </c>
      <c r="AE987" s="377" t="e">
        <f t="shared" ca="1" si="440"/>
        <v>#N/A</v>
      </c>
      <c r="AF987" s="344"/>
      <c r="AG987" s="359">
        <f t="shared" ca="1" si="462"/>
        <v>1.8347337433246196</v>
      </c>
      <c r="AH987" s="357">
        <f t="shared" ca="1" si="463"/>
        <v>-7.936633467204258</v>
      </c>
    </row>
    <row r="988" spans="1:34">
      <c r="A988" s="402">
        <f t="shared" ca="1" si="441"/>
        <v>1E-4</v>
      </c>
      <c r="B988" s="357">
        <f t="shared" ca="1" si="442"/>
        <v>16.963499999999826</v>
      </c>
      <c r="C988" s="342"/>
      <c r="D988" s="359">
        <f t="shared" ca="1" si="443"/>
        <v>-0.70365921196755343</v>
      </c>
      <c r="E988" s="360">
        <f t="shared" ca="1" si="444"/>
        <v>-1.9045646190607393</v>
      </c>
      <c r="F988" s="357">
        <f t="shared" ca="1" si="445"/>
        <v>2.0303947091057881</v>
      </c>
      <c r="G988" s="359">
        <f t="shared" ca="1" si="446"/>
        <v>4.9761979006695247</v>
      </c>
      <c r="H988" s="360">
        <f t="shared" ca="1" si="447"/>
        <v>-55.907320713097526</v>
      </c>
      <c r="I988" s="357">
        <f t="shared" ca="1" si="448"/>
        <v>56.128344487110709</v>
      </c>
      <c r="J988" s="359">
        <f t="shared" ca="1" si="449"/>
        <v>184.26379383972827</v>
      </c>
      <c r="K988" s="360">
        <f t="shared" ca="1" si="450"/>
        <v>-8.5169749654824454</v>
      </c>
      <c r="L988" s="357">
        <f t="shared" ca="1" si="435"/>
        <v>184.46052310121138</v>
      </c>
      <c r="M988" s="359">
        <f t="shared" ca="1" si="451"/>
        <v>-1.4820222848010767</v>
      </c>
      <c r="N988" s="357">
        <f t="shared" ca="1" si="452"/>
        <v>-84.913622063436989</v>
      </c>
      <c r="O988" s="343"/>
      <c r="P988" s="363">
        <f t="shared" ca="1" si="453"/>
        <v>23</v>
      </c>
      <c r="Q988" s="357">
        <f t="shared" ca="1" si="454"/>
        <v>0</v>
      </c>
      <c r="R988" s="359">
        <f t="shared" ca="1" si="455"/>
        <v>0</v>
      </c>
      <c r="S988" s="360">
        <f t="shared" ca="1" si="456"/>
        <v>0.42898953648292248</v>
      </c>
      <c r="T988" s="357">
        <f t="shared" ca="1" si="436"/>
        <v>4.2083873528974696</v>
      </c>
      <c r="U988" s="364">
        <f t="shared" ca="1" si="437"/>
        <v>0</v>
      </c>
      <c r="V988" s="359">
        <f t="shared" ca="1" si="438"/>
        <v>1.2260437739230903</v>
      </c>
      <c r="W988" s="357">
        <f t="shared" ca="1" si="439"/>
        <v>3.4047810369599927</v>
      </c>
      <c r="X988" s="343"/>
      <c r="Y988" s="367" t="str">
        <f t="shared" ca="1" si="457"/>
        <v/>
      </c>
      <c r="Z988" s="368" t="str">
        <f t="shared" ca="1" si="458"/>
        <v/>
      </c>
      <c r="AA988" s="369" t="str">
        <f t="shared" ca="1" si="459"/>
        <v/>
      </c>
      <c r="AB988" s="344"/>
      <c r="AC988" s="363" t="e">
        <f t="shared" ca="1" si="460"/>
        <v>#N/A</v>
      </c>
      <c r="AD988" s="376" t="e">
        <f t="shared" ca="1" si="461"/>
        <v>#N/A</v>
      </c>
      <c r="AE988" s="377" t="e">
        <f t="shared" ca="1" si="440"/>
        <v>#N/A</v>
      </c>
      <c r="AF988" s="344"/>
      <c r="AG988" s="359">
        <f t="shared" ca="1" si="462"/>
        <v>1.8346787666504047</v>
      </c>
      <c r="AH988" s="357">
        <f t="shared" ca="1" si="463"/>
        <v>-7.936689791644441</v>
      </c>
    </row>
    <row r="989" spans="1:34">
      <c r="A989" s="402">
        <f t="shared" ca="1" si="441"/>
        <v>1E-4</v>
      </c>
      <c r="B989" s="357">
        <f t="shared" ca="1" si="442"/>
        <v>16.963599999999825</v>
      </c>
      <c r="C989" s="342"/>
      <c r="D989" s="359">
        <f t="shared" ca="1" si="443"/>
        <v>-0.70365195544935832</v>
      </c>
      <c r="E989" s="360">
        <f t="shared" ca="1" si="444"/>
        <v>-1.9045074273648561</v>
      </c>
      <c r="F989" s="357">
        <f t="shared" ca="1" si="445"/>
        <v>2.0303385469659014</v>
      </c>
      <c r="G989" s="359">
        <f t="shared" ca="1" si="446"/>
        <v>4.9761275354739798</v>
      </c>
      <c r="H989" s="360">
        <f t="shared" ca="1" si="447"/>
        <v>-55.907511163840262</v>
      </c>
      <c r="I989" s="357">
        <f t="shared" ca="1" si="448"/>
        <v>56.128527949557217</v>
      </c>
      <c r="J989" s="359">
        <f t="shared" ca="1" si="449"/>
        <v>184.26379383972827</v>
      </c>
      <c r="K989" s="360">
        <f t="shared" ca="1" si="450"/>
        <v>-8.5225657070762928</v>
      </c>
      <c r="L989" s="357">
        <f t="shared" ca="1" si="435"/>
        <v>184.46078132340574</v>
      </c>
      <c r="M989" s="359">
        <f t="shared" ca="1" si="451"/>
        <v>-1.4820238343338485</v>
      </c>
      <c r="N989" s="357">
        <f t="shared" ca="1" si="452"/>
        <v>-84.913710845125024</v>
      </c>
      <c r="O989" s="343"/>
      <c r="P989" s="363">
        <f t="shared" ca="1" si="453"/>
        <v>23</v>
      </c>
      <c r="Q989" s="357">
        <f t="shared" ca="1" si="454"/>
        <v>0</v>
      </c>
      <c r="R989" s="359">
        <f t="shared" ca="1" si="455"/>
        <v>0</v>
      </c>
      <c r="S989" s="360">
        <f t="shared" ca="1" si="456"/>
        <v>0.42898953648292248</v>
      </c>
      <c r="T989" s="357">
        <f t="shared" ca="1" si="436"/>
        <v>4.2083873528974696</v>
      </c>
      <c r="U989" s="364">
        <f t="shared" ca="1" si="437"/>
        <v>0</v>
      </c>
      <c r="V989" s="359">
        <f t="shared" ca="1" si="438"/>
        <v>1.2260444593727986</v>
      </c>
      <c r="W989" s="357">
        <f t="shared" ca="1" si="439"/>
        <v>3.4048051984319181</v>
      </c>
      <c r="X989" s="343"/>
      <c r="Y989" s="367" t="str">
        <f t="shared" ca="1" si="457"/>
        <v/>
      </c>
      <c r="Z989" s="368" t="str">
        <f t="shared" ca="1" si="458"/>
        <v/>
      </c>
      <c r="AA989" s="369" t="str">
        <f t="shared" ca="1" si="459"/>
        <v/>
      </c>
      <c r="AB989" s="344"/>
      <c r="AC989" s="363" t="e">
        <f t="shared" ca="1" si="460"/>
        <v>#N/A</v>
      </c>
      <c r="AD989" s="376" t="e">
        <f t="shared" ca="1" si="461"/>
        <v>#N/A</v>
      </c>
      <c r="AE989" s="377" t="e">
        <f t="shared" ca="1" si="440"/>
        <v>#N/A</v>
      </c>
      <c r="AF989" s="344"/>
      <c r="AG989" s="359">
        <f t="shared" ca="1" si="462"/>
        <v>1.8346237912344119</v>
      </c>
      <c r="AH989" s="357">
        <f t="shared" ca="1" si="463"/>
        <v>-7.9367461147750689</v>
      </c>
    </row>
    <row r="990" spans="1:34">
      <c r="A990" s="402">
        <f t="shared" ca="1" si="441"/>
        <v>1E-4</v>
      </c>
      <c r="B990" s="357">
        <f t="shared" ca="1" si="442"/>
        <v>16.963699999999825</v>
      </c>
      <c r="C990" s="342"/>
      <c r="D990" s="359">
        <f t="shared" ca="1" si="443"/>
        <v>-0.70364469889281589</v>
      </c>
      <c r="E990" s="360">
        <f t="shared" ca="1" si="444"/>
        <v>-1.9044502369994003</v>
      </c>
      <c r="F990" s="357">
        <f t="shared" ca="1" si="445"/>
        <v>2.0302823861441133</v>
      </c>
      <c r="G990" s="359">
        <f t="shared" ca="1" si="446"/>
        <v>4.9760571710040908</v>
      </c>
      <c r="H990" s="360">
        <f t="shared" ca="1" si="447"/>
        <v>-55.90770160886396</v>
      </c>
      <c r="I990" s="357">
        <f t="shared" ca="1" si="448"/>
        <v>56.128711406506305</v>
      </c>
      <c r="J990" s="359">
        <f t="shared" ca="1" si="449"/>
        <v>184.26379383972827</v>
      </c>
      <c r="K990" s="360">
        <f t="shared" ca="1" si="450"/>
        <v>-8.5281564677149273</v>
      </c>
      <c r="L990" s="357">
        <f t="shared" ca="1" si="435"/>
        <v>184.46103971556624</v>
      </c>
      <c r="M990" s="359">
        <f t="shared" ca="1" si="451"/>
        <v>-1.4820253838345805</v>
      </c>
      <c r="N990" s="357">
        <f t="shared" ca="1" si="452"/>
        <v>-84.913799624977329</v>
      </c>
      <c r="O990" s="343"/>
      <c r="P990" s="363">
        <f t="shared" ca="1" si="453"/>
        <v>23</v>
      </c>
      <c r="Q990" s="357">
        <f t="shared" ca="1" si="454"/>
        <v>0</v>
      </c>
      <c r="R990" s="359">
        <f t="shared" ca="1" si="455"/>
        <v>0</v>
      </c>
      <c r="S990" s="360">
        <f t="shared" ca="1" si="456"/>
        <v>0.42898953648292248</v>
      </c>
      <c r="T990" s="357">
        <f t="shared" ca="1" si="436"/>
        <v>4.2083873528974696</v>
      </c>
      <c r="U990" s="364">
        <f t="shared" ca="1" si="437"/>
        <v>0</v>
      </c>
      <c r="V990" s="359">
        <f t="shared" ca="1" si="438"/>
        <v>1.226045144825225</v>
      </c>
      <c r="W990" s="357">
        <f t="shared" ca="1" si="439"/>
        <v>3.4048293593420729</v>
      </c>
      <c r="X990" s="343"/>
      <c r="Y990" s="367" t="str">
        <f t="shared" ca="1" si="457"/>
        <v/>
      </c>
      <c r="Z990" s="368" t="str">
        <f t="shared" ca="1" si="458"/>
        <v/>
      </c>
      <c r="AA990" s="369" t="str">
        <f t="shared" ca="1" si="459"/>
        <v/>
      </c>
      <c r="AB990" s="344"/>
      <c r="AC990" s="363" t="e">
        <f t="shared" ca="1" si="460"/>
        <v>#N/A</v>
      </c>
      <c r="AD990" s="376" t="e">
        <f t="shared" ca="1" si="461"/>
        <v>#N/A</v>
      </c>
      <c r="AE990" s="377" t="e">
        <f t="shared" ca="1" si="440"/>
        <v>#N/A</v>
      </c>
      <c r="AF990" s="344"/>
      <c r="AG990" s="359">
        <f t="shared" ca="1" si="462"/>
        <v>1.8345688170766241</v>
      </c>
      <c r="AH990" s="357">
        <f t="shared" ca="1" si="463"/>
        <v>-7.9368024365961638</v>
      </c>
    </row>
    <row r="991" spans="1:34">
      <c r="A991" s="402">
        <f t="shared" ca="1" si="441"/>
        <v>1E-4</v>
      </c>
      <c r="B991" s="357">
        <f t="shared" ca="1" si="442"/>
        <v>16.963799999999825</v>
      </c>
      <c r="C991" s="342"/>
      <c r="D991" s="359">
        <f t="shared" ca="1" si="443"/>
        <v>-0.70363744229792646</v>
      </c>
      <c r="E991" s="360">
        <f t="shared" ca="1" si="444"/>
        <v>-1.904393047964362</v>
      </c>
      <c r="F991" s="357">
        <f t="shared" ca="1" si="445"/>
        <v>2.0302262266404107</v>
      </c>
      <c r="G991" s="359">
        <f t="shared" ca="1" si="446"/>
        <v>4.9759868072598614</v>
      </c>
      <c r="H991" s="360">
        <f t="shared" ca="1" si="447"/>
        <v>-55.907892048168755</v>
      </c>
      <c r="I991" s="357">
        <f t="shared" ca="1" si="448"/>
        <v>56.128894857958102</v>
      </c>
      <c r="J991" s="359">
        <f t="shared" ca="1" si="449"/>
        <v>184.26379383972827</v>
      </c>
      <c r="K991" s="360">
        <f t="shared" ca="1" si="450"/>
        <v>-8.5337472473977787</v>
      </c>
      <c r="L991" s="357">
        <f t="shared" ca="1" si="435"/>
        <v>184.46129827769388</v>
      </c>
      <c r="M991" s="359">
        <f t="shared" ca="1" si="451"/>
        <v>-1.482026933303273</v>
      </c>
      <c r="N991" s="357">
        <f t="shared" ca="1" si="452"/>
        <v>-84.913888402993891</v>
      </c>
      <c r="O991" s="343"/>
      <c r="P991" s="363">
        <f t="shared" ca="1" si="453"/>
        <v>23</v>
      </c>
      <c r="Q991" s="357">
        <f t="shared" ca="1" si="454"/>
        <v>0</v>
      </c>
      <c r="R991" s="359">
        <f t="shared" ca="1" si="455"/>
        <v>0</v>
      </c>
      <c r="S991" s="360">
        <f t="shared" ca="1" si="456"/>
        <v>0.42898953648292248</v>
      </c>
      <c r="T991" s="357">
        <f t="shared" ca="1" si="436"/>
        <v>4.2083873528974696</v>
      </c>
      <c r="U991" s="364">
        <f t="shared" ca="1" si="437"/>
        <v>0</v>
      </c>
      <c r="V991" s="359">
        <f t="shared" ca="1" si="438"/>
        <v>1.2260458302803703</v>
      </c>
      <c r="W991" s="357">
        <f t="shared" ca="1" si="439"/>
        <v>3.4048535196904677</v>
      </c>
      <c r="X991" s="343"/>
      <c r="Y991" s="367" t="str">
        <f t="shared" ca="1" si="457"/>
        <v/>
      </c>
      <c r="Z991" s="368" t="str">
        <f t="shared" ca="1" si="458"/>
        <v/>
      </c>
      <c r="AA991" s="369" t="str">
        <f t="shared" ca="1" si="459"/>
        <v/>
      </c>
      <c r="AB991" s="344"/>
      <c r="AC991" s="363" t="e">
        <f t="shared" ca="1" si="460"/>
        <v>#N/A</v>
      </c>
      <c r="AD991" s="376" t="e">
        <f t="shared" ca="1" si="461"/>
        <v>#N/A</v>
      </c>
      <c r="AE991" s="377" t="e">
        <f t="shared" ca="1" si="440"/>
        <v>#N/A</v>
      </c>
      <c r="AF991" s="344"/>
      <c r="AG991" s="359">
        <f t="shared" ca="1" si="462"/>
        <v>1.8345138441770272</v>
      </c>
      <c r="AH991" s="357">
        <f t="shared" ca="1" si="463"/>
        <v>-7.9368587571077382</v>
      </c>
    </row>
    <row r="992" spans="1:34">
      <c r="A992" s="402">
        <f t="shared" ca="1" si="441"/>
        <v>1E-4</v>
      </c>
      <c r="B992" s="357">
        <f t="shared" ca="1" si="442"/>
        <v>16.963899999999825</v>
      </c>
      <c r="C992" s="342"/>
      <c r="D992" s="359">
        <f t="shared" ca="1" si="443"/>
        <v>-0.70363018566470059</v>
      </c>
      <c r="E992" s="360">
        <f t="shared" ca="1" si="444"/>
        <v>-1.9043358602597138</v>
      </c>
      <c r="F992" s="357">
        <f t="shared" ca="1" si="445"/>
        <v>2.0301700684547699</v>
      </c>
      <c r="G992" s="359">
        <f t="shared" ca="1" si="446"/>
        <v>4.9759164442412951</v>
      </c>
      <c r="H992" s="360">
        <f t="shared" ca="1" si="447"/>
        <v>-55.908082481754782</v>
      </c>
      <c r="I992" s="357">
        <f t="shared" ca="1" si="448"/>
        <v>56.129078303912735</v>
      </c>
      <c r="J992" s="359">
        <f t="shared" ca="1" si="449"/>
        <v>184.26379383972827</v>
      </c>
      <c r="K992" s="360">
        <f t="shared" ca="1" si="450"/>
        <v>-8.5393380461242749</v>
      </c>
      <c r="L992" s="357">
        <f t="shared" ca="1" si="435"/>
        <v>184.46155700978963</v>
      </c>
      <c r="M992" s="359">
        <f t="shared" ca="1" si="451"/>
        <v>-1.4820284827399268</v>
      </c>
      <c r="N992" s="357">
        <f t="shared" ca="1" si="452"/>
        <v>-84.913977179174779</v>
      </c>
      <c r="O992" s="343"/>
      <c r="P992" s="363">
        <f t="shared" ca="1" si="453"/>
        <v>23</v>
      </c>
      <c r="Q992" s="357">
        <f t="shared" ca="1" si="454"/>
        <v>0</v>
      </c>
      <c r="R992" s="359">
        <f t="shared" ca="1" si="455"/>
        <v>0</v>
      </c>
      <c r="S992" s="360">
        <f t="shared" ca="1" si="456"/>
        <v>0.42898953648292248</v>
      </c>
      <c r="T992" s="357">
        <f t="shared" ca="1" si="436"/>
        <v>4.2083873528974696</v>
      </c>
      <c r="U992" s="364">
        <f t="shared" ca="1" si="437"/>
        <v>0</v>
      </c>
      <c r="V992" s="359">
        <f t="shared" ca="1" si="438"/>
        <v>1.2260465157382334</v>
      </c>
      <c r="W992" s="357">
        <f t="shared" ca="1" si="439"/>
        <v>3.4048776794771078</v>
      </c>
      <c r="X992" s="343"/>
      <c r="Y992" s="367" t="str">
        <f t="shared" ca="1" si="457"/>
        <v/>
      </c>
      <c r="Z992" s="368" t="str">
        <f t="shared" ca="1" si="458"/>
        <v/>
      </c>
      <c r="AA992" s="369" t="str">
        <f t="shared" ca="1" si="459"/>
        <v/>
      </c>
      <c r="AB992" s="344"/>
      <c r="AC992" s="363" t="e">
        <f t="shared" ca="1" si="460"/>
        <v>#N/A</v>
      </c>
      <c r="AD992" s="376" t="e">
        <f t="shared" ca="1" si="461"/>
        <v>#N/A</v>
      </c>
      <c r="AE992" s="377" t="e">
        <f t="shared" ca="1" si="440"/>
        <v>#N/A</v>
      </c>
      <c r="AF992" s="344"/>
      <c r="AG992" s="359">
        <f t="shared" ca="1" si="462"/>
        <v>1.8344588725356035</v>
      </c>
      <c r="AH992" s="357">
        <f t="shared" ca="1" si="463"/>
        <v>-7.9369150763098171</v>
      </c>
    </row>
    <row r="993" spans="1:34">
      <c r="A993" s="402">
        <f t="shared" ca="1" si="441"/>
        <v>1E-4</v>
      </c>
      <c r="B993" s="357">
        <f t="shared" ca="1" si="442"/>
        <v>16.963999999999825</v>
      </c>
      <c r="C993" s="342"/>
      <c r="D993" s="359">
        <f t="shared" ca="1" si="443"/>
        <v>-0.7036229289931436</v>
      </c>
      <c r="E993" s="360">
        <f t="shared" ca="1" si="444"/>
        <v>-1.9042786738854449</v>
      </c>
      <c r="F993" s="357">
        <f t="shared" ca="1" si="445"/>
        <v>2.03011391158718</v>
      </c>
      <c r="G993" s="359">
        <f t="shared" ca="1" si="446"/>
        <v>4.9758460819483954</v>
      </c>
      <c r="H993" s="360">
        <f t="shared" ca="1" si="447"/>
        <v>-55.90827290962217</v>
      </c>
      <c r="I993" s="357">
        <f t="shared" ca="1" si="448"/>
        <v>56.129261744370318</v>
      </c>
      <c r="J993" s="359">
        <f t="shared" ca="1" si="449"/>
        <v>184.26379383972827</v>
      </c>
      <c r="K993" s="360">
        <f t="shared" ca="1" si="450"/>
        <v>-8.5449288638938441</v>
      </c>
      <c r="L993" s="357">
        <f t="shared" ca="1" si="435"/>
        <v>184.46181591185447</v>
      </c>
      <c r="M993" s="359">
        <f t="shared" ca="1" si="451"/>
        <v>-1.4820300321445434</v>
      </c>
      <c r="N993" s="357">
        <f t="shared" ca="1" si="452"/>
        <v>-84.914065953520065</v>
      </c>
      <c r="O993" s="343"/>
      <c r="P993" s="363">
        <f t="shared" ca="1" si="453"/>
        <v>23</v>
      </c>
      <c r="Q993" s="357">
        <f t="shared" ca="1" si="454"/>
        <v>0</v>
      </c>
      <c r="R993" s="359">
        <f t="shared" ca="1" si="455"/>
        <v>0</v>
      </c>
      <c r="S993" s="360">
        <f t="shared" ca="1" si="456"/>
        <v>0.42898953648292248</v>
      </c>
      <c r="T993" s="357">
        <f t="shared" ca="1" si="436"/>
        <v>4.2083873528974696</v>
      </c>
      <c r="U993" s="364">
        <f t="shared" ca="1" si="437"/>
        <v>0</v>
      </c>
      <c r="V993" s="359">
        <f t="shared" ca="1" si="438"/>
        <v>1.2260472011988148</v>
      </c>
      <c r="W993" s="357">
        <f t="shared" ca="1" si="439"/>
        <v>3.4049018387020014</v>
      </c>
      <c r="X993" s="343"/>
      <c r="Y993" s="367" t="str">
        <f t="shared" ca="1" si="457"/>
        <v/>
      </c>
      <c r="Z993" s="368" t="str">
        <f t="shared" ca="1" si="458"/>
        <v/>
      </c>
      <c r="AA993" s="369" t="str">
        <f t="shared" ca="1" si="459"/>
        <v/>
      </c>
      <c r="AB993" s="344"/>
      <c r="AC993" s="363" t="e">
        <f t="shared" ca="1" si="460"/>
        <v>#N/A</v>
      </c>
      <c r="AD993" s="376" t="e">
        <f t="shared" ca="1" si="461"/>
        <v>#N/A</v>
      </c>
      <c r="AE993" s="377" t="e">
        <f t="shared" ca="1" si="440"/>
        <v>#N/A</v>
      </c>
      <c r="AF993" s="344"/>
      <c r="AG993" s="359">
        <f t="shared" ca="1" si="462"/>
        <v>1.8344039021523413</v>
      </c>
      <c r="AH993" s="357">
        <f t="shared" ca="1" si="463"/>
        <v>-7.9369713942024118</v>
      </c>
    </row>
    <row r="994" spans="1:34">
      <c r="A994" s="402">
        <f t="shared" ca="1" si="441"/>
        <v>1E-4</v>
      </c>
      <c r="B994" s="357">
        <f t="shared" ca="1" si="442"/>
        <v>16.964099999999824</v>
      </c>
      <c r="C994" s="342"/>
      <c r="D994" s="359">
        <f t="shared" ca="1" si="443"/>
        <v>-0.70361567228325839</v>
      </c>
      <c r="E994" s="360">
        <f t="shared" ca="1" si="444"/>
        <v>-1.9042214888415341</v>
      </c>
      <c r="F994" s="357">
        <f t="shared" ca="1" si="445"/>
        <v>2.0300577560376185</v>
      </c>
      <c r="G994" s="359">
        <f t="shared" ca="1" si="446"/>
        <v>4.9757757203811668</v>
      </c>
      <c r="H994" s="360">
        <f t="shared" ca="1" si="447"/>
        <v>-55.908463331771053</v>
      </c>
      <c r="I994" s="357">
        <f t="shared" ca="1" si="448"/>
        <v>56.129445179330993</v>
      </c>
      <c r="J994" s="359">
        <f t="shared" ca="1" si="449"/>
        <v>184.26379383972827</v>
      </c>
      <c r="K994" s="360">
        <f t="shared" ca="1" si="450"/>
        <v>-8.5505197007059142</v>
      </c>
      <c r="L994" s="357">
        <f t="shared" ca="1" si="435"/>
        <v>184.46207498388941</v>
      </c>
      <c r="M994" s="359">
        <f t="shared" ca="1" si="451"/>
        <v>-1.4820315815171234</v>
      </c>
      <c r="N994" s="357">
        <f t="shared" ca="1" si="452"/>
        <v>-84.914154726029793</v>
      </c>
      <c r="O994" s="343"/>
      <c r="P994" s="363">
        <f t="shared" ca="1" si="453"/>
        <v>23</v>
      </c>
      <c r="Q994" s="357">
        <f t="shared" ca="1" si="454"/>
        <v>0</v>
      </c>
      <c r="R994" s="359">
        <f t="shared" ca="1" si="455"/>
        <v>0</v>
      </c>
      <c r="S994" s="360">
        <f t="shared" ca="1" si="456"/>
        <v>0.42898953648292248</v>
      </c>
      <c r="T994" s="357">
        <f t="shared" ca="1" si="436"/>
        <v>4.2083873528974696</v>
      </c>
      <c r="U994" s="364">
        <f t="shared" ca="1" si="437"/>
        <v>0</v>
      </c>
      <c r="V994" s="359">
        <f t="shared" ca="1" si="438"/>
        <v>1.2260478866621136</v>
      </c>
      <c r="W994" s="357">
        <f t="shared" ca="1" si="439"/>
        <v>3.4049259973651549</v>
      </c>
      <c r="X994" s="343"/>
      <c r="Y994" s="367" t="str">
        <f t="shared" ca="1" si="457"/>
        <v/>
      </c>
      <c r="Z994" s="368" t="str">
        <f t="shared" ca="1" si="458"/>
        <v/>
      </c>
      <c r="AA994" s="369" t="str">
        <f t="shared" ca="1" si="459"/>
        <v/>
      </c>
      <c r="AB994" s="344"/>
      <c r="AC994" s="363" t="e">
        <f t="shared" ca="1" si="460"/>
        <v>#N/A</v>
      </c>
      <c r="AD994" s="376" t="e">
        <f t="shared" ca="1" si="461"/>
        <v>#N/A</v>
      </c>
      <c r="AE994" s="377" t="e">
        <f t="shared" ca="1" si="440"/>
        <v>#N/A</v>
      </c>
      <c r="AF994" s="344"/>
      <c r="AG994" s="359">
        <f t="shared" ca="1" si="462"/>
        <v>1.834348933027222</v>
      </c>
      <c r="AH994" s="357">
        <f t="shared" ca="1" si="463"/>
        <v>-7.9370277107855429</v>
      </c>
    </row>
    <row r="995" spans="1:34">
      <c r="A995" s="402">
        <f t="shared" ca="1" si="441"/>
        <v>1E-4</v>
      </c>
      <c r="B995" s="357">
        <f t="shared" ca="1" si="442"/>
        <v>16.964199999999824</v>
      </c>
      <c r="C995" s="342"/>
      <c r="D995" s="359">
        <f t="shared" ca="1" si="443"/>
        <v>-0.70360841553505238</v>
      </c>
      <c r="E995" s="360">
        <f t="shared" ca="1" si="444"/>
        <v>-1.904164305127968</v>
      </c>
      <c r="F995" s="357">
        <f t="shared" ca="1" si="445"/>
        <v>2.0300016018060734</v>
      </c>
      <c r="G995" s="359">
        <f t="shared" ca="1" si="446"/>
        <v>4.9757053595396137</v>
      </c>
      <c r="H995" s="360">
        <f t="shared" ca="1" si="447"/>
        <v>-55.908653748201566</v>
      </c>
      <c r="I995" s="357">
        <f t="shared" ca="1" si="448"/>
        <v>56.129628608794874</v>
      </c>
      <c r="J995" s="359">
        <f t="shared" ca="1" si="449"/>
        <v>184.26379383972827</v>
      </c>
      <c r="K995" s="360">
        <f t="shared" ca="1" si="450"/>
        <v>-8.5561105565599131</v>
      </c>
      <c r="L995" s="357">
        <f t="shared" ca="1" si="435"/>
        <v>184.46233422589546</v>
      </c>
      <c r="M995" s="359">
        <f t="shared" ca="1" si="451"/>
        <v>-1.4820331308576675</v>
      </c>
      <c r="N995" s="357">
        <f t="shared" ca="1" si="452"/>
        <v>-84.914243496704003</v>
      </c>
      <c r="O995" s="343"/>
      <c r="P995" s="363">
        <f t="shared" ca="1" si="453"/>
        <v>23</v>
      </c>
      <c r="Q995" s="357">
        <f t="shared" ca="1" si="454"/>
        <v>0</v>
      </c>
      <c r="R995" s="359">
        <f t="shared" ca="1" si="455"/>
        <v>0</v>
      </c>
      <c r="S995" s="360">
        <f t="shared" ca="1" si="456"/>
        <v>0.42898953648292248</v>
      </c>
      <c r="T995" s="357">
        <f t="shared" ca="1" si="436"/>
        <v>4.2083873528974696</v>
      </c>
      <c r="U995" s="364">
        <f t="shared" ca="1" si="437"/>
        <v>0</v>
      </c>
      <c r="V995" s="359">
        <f t="shared" ca="1" si="438"/>
        <v>1.2260485721281316</v>
      </c>
      <c r="W995" s="357">
        <f t="shared" ca="1" si="439"/>
        <v>3.4049501554665804</v>
      </c>
      <c r="X995" s="343"/>
      <c r="Y995" s="367" t="str">
        <f t="shared" ca="1" si="457"/>
        <v/>
      </c>
      <c r="Z995" s="368" t="str">
        <f t="shared" ca="1" si="458"/>
        <v/>
      </c>
      <c r="AA995" s="369" t="str">
        <f t="shared" ca="1" si="459"/>
        <v/>
      </c>
      <c r="AB995" s="344"/>
      <c r="AC995" s="363" t="e">
        <f t="shared" ca="1" si="460"/>
        <v>#N/A</v>
      </c>
      <c r="AD995" s="376" t="e">
        <f t="shared" ca="1" si="461"/>
        <v>#N/A</v>
      </c>
      <c r="AE995" s="377" t="e">
        <f t="shared" ca="1" si="440"/>
        <v>#N/A</v>
      </c>
      <c r="AF995" s="344"/>
      <c r="AG995" s="359">
        <f t="shared" ca="1" si="462"/>
        <v>1.834293965160235</v>
      </c>
      <c r="AH995" s="357">
        <f t="shared" ca="1" si="463"/>
        <v>-7.9370840260592246</v>
      </c>
    </row>
    <row r="996" spans="1:34">
      <c r="A996" s="402">
        <f t="shared" ca="1" si="441"/>
        <v>1E-4</v>
      </c>
      <c r="B996" s="357">
        <f t="shared" ca="1" si="442"/>
        <v>16.964299999999824</v>
      </c>
      <c r="C996" s="342"/>
      <c r="D996" s="359">
        <f t="shared" ca="1" si="443"/>
        <v>-0.70360115874853435</v>
      </c>
      <c r="E996" s="360">
        <f t="shared" ca="1" si="444"/>
        <v>-1.9041071227447164</v>
      </c>
      <c r="F996" s="357">
        <f t="shared" ca="1" si="445"/>
        <v>2.029945448892517</v>
      </c>
      <c r="G996" s="359">
        <f t="shared" ca="1" si="446"/>
        <v>4.9756349994237388</v>
      </c>
      <c r="H996" s="360">
        <f t="shared" ca="1" si="447"/>
        <v>-55.908844158913837</v>
      </c>
      <c r="I996" s="357">
        <f t="shared" ca="1" si="448"/>
        <v>56.129812032762096</v>
      </c>
      <c r="J996" s="359">
        <f t="shared" ca="1" si="449"/>
        <v>184.26379383972827</v>
      </c>
      <c r="K996" s="360">
        <f t="shared" ca="1" si="450"/>
        <v>-8.5617014314552691</v>
      </c>
      <c r="L996" s="357">
        <f t="shared" ca="1" si="435"/>
        <v>184.46259363787354</v>
      </c>
      <c r="M996" s="359">
        <f t="shared" ca="1" si="451"/>
        <v>-1.482034680166177</v>
      </c>
      <c r="N996" s="357">
        <f t="shared" ca="1" si="452"/>
        <v>-84.914332265542754</v>
      </c>
      <c r="O996" s="343"/>
      <c r="P996" s="363">
        <f t="shared" ca="1" si="453"/>
        <v>23</v>
      </c>
      <c r="Q996" s="357">
        <f t="shared" ca="1" si="454"/>
        <v>0</v>
      </c>
      <c r="R996" s="359">
        <f t="shared" ca="1" si="455"/>
        <v>0</v>
      </c>
      <c r="S996" s="360">
        <f t="shared" ca="1" si="456"/>
        <v>0.42898953648292248</v>
      </c>
      <c r="T996" s="357">
        <f t="shared" ca="1" si="436"/>
        <v>4.2083873528974696</v>
      </c>
      <c r="U996" s="364">
        <f t="shared" ca="1" si="437"/>
        <v>0</v>
      </c>
      <c r="V996" s="359">
        <f t="shared" ca="1" si="438"/>
        <v>1.2260492575968669</v>
      </c>
      <c r="W996" s="357">
        <f t="shared" ca="1" si="439"/>
        <v>3.4049743130062815</v>
      </c>
      <c r="X996" s="343"/>
      <c r="Y996" s="367" t="str">
        <f t="shared" ca="1" si="457"/>
        <v/>
      </c>
      <c r="Z996" s="368" t="str">
        <f t="shared" ca="1" si="458"/>
        <v/>
      </c>
      <c r="AA996" s="369" t="str">
        <f t="shared" ca="1" si="459"/>
        <v/>
      </c>
      <c r="AB996" s="344"/>
      <c r="AC996" s="363" t="e">
        <f t="shared" ca="1" si="460"/>
        <v>#N/A</v>
      </c>
      <c r="AD996" s="376" t="e">
        <f t="shared" ca="1" si="461"/>
        <v>#N/A</v>
      </c>
      <c r="AE996" s="377" t="e">
        <f t="shared" ca="1" si="440"/>
        <v>#N/A</v>
      </c>
      <c r="AF996" s="344"/>
      <c r="AG996" s="359">
        <f t="shared" ca="1" si="462"/>
        <v>1.8342389985513528</v>
      </c>
      <c r="AH996" s="357">
        <f t="shared" ca="1" si="463"/>
        <v>-7.9371403400234843</v>
      </c>
    </row>
    <row r="997" spans="1:34">
      <c r="A997" s="402">
        <f t="shared" ca="1" si="441"/>
        <v>1E-4</v>
      </c>
      <c r="B997" s="357">
        <f t="shared" ca="1" si="442"/>
        <v>16.964399999999824</v>
      </c>
      <c r="C997" s="342"/>
      <c r="D997" s="359">
        <f t="shared" ca="1" si="443"/>
        <v>-0.7035939019237063</v>
      </c>
      <c r="E997" s="360">
        <f t="shared" ca="1" si="444"/>
        <v>-1.9040499416917713</v>
      </c>
      <c r="F997" s="357">
        <f t="shared" ca="1" si="445"/>
        <v>2.0298892972969398</v>
      </c>
      <c r="G997" s="359">
        <f t="shared" ca="1" si="446"/>
        <v>4.9755646400335465</v>
      </c>
      <c r="H997" s="360">
        <f t="shared" ca="1" si="447"/>
        <v>-55.909034563908008</v>
      </c>
      <c r="I997" s="357">
        <f t="shared" ca="1" si="448"/>
        <v>56.129995451232773</v>
      </c>
      <c r="J997" s="359">
        <f t="shared" ca="1" si="449"/>
        <v>184.26379383972827</v>
      </c>
      <c r="K997" s="360">
        <f t="shared" ca="1" si="450"/>
        <v>-8.5672923253914099</v>
      </c>
      <c r="L997" s="357">
        <f t="shared" ca="1" si="435"/>
        <v>184.46285321982469</v>
      </c>
      <c r="M997" s="359">
        <f t="shared" ca="1" si="451"/>
        <v>-1.4820362294426528</v>
      </c>
      <c r="N997" s="357">
        <f t="shared" ca="1" si="452"/>
        <v>-84.914421032546116</v>
      </c>
      <c r="O997" s="343"/>
      <c r="P997" s="363">
        <f t="shared" ca="1" si="453"/>
        <v>23</v>
      </c>
      <c r="Q997" s="357">
        <f t="shared" ca="1" si="454"/>
        <v>0</v>
      </c>
      <c r="R997" s="359">
        <f t="shared" ca="1" si="455"/>
        <v>0</v>
      </c>
      <c r="S997" s="360">
        <f t="shared" ca="1" si="456"/>
        <v>0.42898953648292248</v>
      </c>
      <c r="T997" s="357">
        <f t="shared" ca="1" si="436"/>
        <v>4.2083873528974696</v>
      </c>
      <c r="U997" s="364">
        <f t="shared" ca="1" si="437"/>
        <v>0</v>
      </c>
      <c r="V997" s="359">
        <f t="shared" ca="1" si="438"/>
        <v>1.22604994306832</v>
      </c>
      <c r="W997" s="357">
        <f t="shared" ca="1" si="439"/>
        <v>3.4049984699842657</v>
      </c>
      <c r="X997" s="343"/>
      <c r="Y997" s="367" t="str">
        <f t="shared" ca="1" si="457"/>
        <v/>
      </c>
      <c r="Z997" s="368" t="str">
        <f t="shared" ca="1" si="458"/>
        <v/>
      </c>
      <c r="AA997" s="369" t="str">
        <f t="shared" ca="1" si="459"/>
        <v/>
      </c>
      <c r="AB997" s="344"/>
      <c r="AC997" s="363" t="e">
        <f t="shared" ca="1" si="460"/>
        <v>#N/A</v>
      </c>
      <c r="AD997" s="376" t="e">
        <f t="shared" ca="1" si="461"/>
        <v>#N/A</v>
      </c>
      <c r="AE997" s="377" t="e">
        <f t="shared" ca="1" si="440"/>
        <v>#N/A</v>
      </c>
      <c r="AF997" s="344"/>
      <c r="AG997" s="359">
        <f t="shared" ca="1" si="462"/>
        <v>1.8341840332005708</v>
      </c>
      <c r="AH997" s="357">
        <f t="shared" ca="1" si="463"/>
        <v>-7.937196652678332</v>
      </c>
    </row>
    <row r="998" spans="1:34">
      <c r="A998" s="402">
        <f t="shared" ca="1" si="441"/>
        <v>1E-4</v>
      </c>
      <c r="B998" s="357">
        <f t="shared" ca="1" si="442"/>
        <v>16.964499999999823</v>
      </c>
      <c r="C998" s="342"/>
      <c r="D998" s="359">
        <f t="shared" ca="1" si="443"/>
        <v>-0.70358664506057422</v>
      </c>
      <c r="E998" s="360">
        <f t="shared" ca="1" si="444"/>
        <v>-1.9039927619691142</v>
      </c>
      <c r="F998" s="357">
        <f t="shared" ca="1" si="445"/>
        <v>2.0298331470193234</v>
      </c>
      <c r="G998" s="359">
        <f t="shared" ca="1" si="446"/>
        <v>4.9754942813690404</v>
      </c>
      <c r="H998" s="360">
        <f t="shared" ca="1" si="447"/>
        <v>-55.909224963184208</v>
      </c>
      <c r="I998" s="357">
        <f t="shared" ca="1" si="448"/>
        <v>56.130178864207053</v>
      </c>
      <c r="J998" s="359">
        <f t="shared" ca="1" si="449"/>
        <v>184.26379383972827</v>
      </c>
      <c r="K998" s="360">
        <f t="shared" ca="1" si="450"/>
        <v>-8.5728832383677638</v>
      </c>
      <c r="L998" s="357">
        <f t="shared" ca="1" si="435"/>
        <v>184.46311297174989</v>
      </c>
      <c r="M998" s="359">
        <f t="shared" ca="1" si="451"/>
        <v>-1.4820377786870953</v>
      </c>
      <c r="N998" s="357">
        <f t="shared" ca="1" si="452"/>
        <v>-84.914509797714103</v>
      </c>
      <c r="O998" s="343"/>
      <c r="P998" s="363">
        <f t="shared" ca="1" si="453"/>
        <v>23</v>
      </c>
      <c r="Q998" s="357">
        <f t="shared" ca="1" si="454"/>
        <v>0</v>
      </c>
      <c r="R998" s="359">
        <f t="shared" ca="1" si="455"/>
        <v>0</v>
      </c>
      <c r="S998" s="360">
        <f t="shared" ca="1" si="456"/>
        <v>0.42898953648292248</v>
      </c>
      <c r="T998" s="357">
        <f t="shared" ca="1" si="436"/>
        <v>4.2083873528974696</v>
      </c>
      <c r="U998" s="364">
        <f t="shared" ca="1" si="437"/>
        <v>0</v>
      </c>
      <c r="V998" s="359">
        <f t="shared" ca="1" si="438"/>
        <v>1.2260506285424912</v>
      </c>
      <c r="W998" s="357">
        <f t="shared" ca="1" si="439"/>
        <v>3.405022626400545</v>
      </c>
      <c r="X998" s="343"/>
      <c r="Y998" s="367" t="str">
        <f t="shared" ca="1" si="457"/>
        <v/>
      </c>
      <c r="Z998" s="368" t="str">
        <f t="shared" ca="1" si="458"/>
        <v/>
      </c>
      <c r="AA998" s="369" t="str">
        <f t="shared" ca="1" si="459"/>
        <v/>
      </c>
      <c r="AB998" s="344"/>
      <c r="AC998" s="363" t="e">
        <f t="shared" ca="1" si="460"/>
        <v>#N/A</v>
      </c>
      <c r="AD998" s="376" t="e">
        <f t="shared" ca="1" si="461"/>
        <v>#N/A</v>
      </c>
      <c r="AE998" s="377" t="e">
        <f t="shared" ca="1" si="440"/>
        <v>#N/A</v>
      </c>
      <c r="AF998" s="344"/>
      <c r="AG998" s="359">
        <f t="shared" ca="1" si="462"/>
        <v>1.8341290691078722</v>
      </c>
      <c r="AH998" s="357">
        <f t="shared" ca="1" si="463"/>
        <v>-7.9372529640237843</v>
      </c>
    </row>
    <row r="999" spans="1:34">
      <c r="A999" s="402">
        <f t="shared" ca="1" si="441"/>
        <v>1E-4</v>
      </c>
      <c r="B999" s="357">
        <f t="shared" ca="1" si="442"/>
        <v>16.964599999999823</v>
      </c>
      <c r="C999" s="342"/>
      <c r="D999" s="359">
        <f t="shared" ca="1" si="443"/>
        <v>-0.70357938815914844</v>
      </c>
      <c r="E999" s="360">
        <f t="shared" ca="1" si="444"/>
        <v>-1.9039355835767191</v>
      </c>
      <c r="F999" s="357">
        <f t="shared" ca="1" si="445"/>
        <v>2.0297769980596452</v>
      </c>
      <c r="G999" s="359">
        <f t="shared" ca="1" si="446"/>
        <v>4.9754239234302249</v>
      </c>
      <c r="H999" s="360">
        <f t="shared" ca="1" si="447"/>
        <v>-55.909415356742564</v>
      </c>
      <c r="I999" s="357">
        <f t="shared" ca="1" si="448"/>
        <v>56.130362271685037</v>
      </c>
      <c r="J999" s="359">
        <f t="shared" ca="1" si="449"/>
        <v>184.26379383972827</v>
      </c>
      <c r="K999" s="360">
        <f t="shared" ca="1" si="450"/>
        <v>-8.5784741703837604</v>
      </c>
      <c r="L999" s="357">
        <f t="shared" ca="1" si="435"/>
        <v>184.46337289365016</v>
      </c>
      <c r="M999" s="359">
        <f t="shared" ca="1" si="451"/>
        <v>-1.4820393278995061</v>
      </c>
      <c r="N999" s="357">
        <f t="shared" ca="1" si="452"/>
        <v>-84.914598561046816</v>
      </c>
      <c r="O999" s="343"/>
      <c r="P999" s="363">
        <f t="shared" ca="1" si="453"/>
        <v>23</v>
      </c>
      <c r="Q999" s="357">
        <f t="shared" ca="1" si="454"/>
        <v>0</v>
      </c>
      <c r="R999" s="359">
        <f t="shared" ca="1" si="455"/>
        <v>0</v>
      </c>
      <c r="S999" s="360">
        <f t="shared" ca="1" si="456"/>
        <v>0.42898953648292248</v>
      </c>
      <c r="T999" s="357">
        <f t="shared" ca="1" si="436"/>
        <v>4.2083873528974696</v>
      </c>
      <c r="U999" s="364">
        <f t="shared" ca="1" si="437"/>
        <v>0</v>
      </c>
      <c r="V999" s="359">
        <f t="shared" ca="1" si="438"/>
        <v>1.2260513140193798</v>
      </c>
      <c r="W999" s="357">
        <f t="shared" ca="1" si="439"/>
        <v>3.4050467822551216</v>
      </c>
      <c r="X999" s="343"/>
      <c r="Y999" s="367" t="str">
        <f t="shared" ca="1" si="457"/>
        <v/>
      </c>
      <c r="Z999" s="368" t="str">
        <f t="shared" ca="1" si="458"/>
        <v/>
      </c>
      <c r="AA999" s="369" t="str">
        <f t="shared" ca="1" si="459"/>
        <v/>
      </c>
      <c r="AB999" s="344"/>
      <c r="AC999" s="363" t="e">
        <f t="shared" ca="1" si="460"/>
        <v>#N/A</v>
      </c>
      <c r="AD999" s="376" t="e">
        <f t="shared" ca="1" si="461"/>
        <v>#N/A</v>
      </c>
      <c r="AE999" s="377" t="e">
        <f t="shared" ca="1" si="440"/>
        <v>#N/A</v>
      </c>
      <c r="AF999" s="344"/>
      <c r="AG999" s="359">
        <f t="shared" ca="1" si="462"/>
        <v>1.8340741062732313</v>
      </c>
      <c r="AH999" s="357">
        <f t="shared" ca="1" si="463"/>
        <v>-7.937309274059869</v>
      </c>
    </row>
    <row r="1000" spans="1:34">
      <c r="A1000" s="402">
        <f t="shared" ca="1" si="441"/>
        <v>1E-4</v>
      </c>
      <c r="B1000" s="357">
        <f t="shared" ca="1" si="442"/>
        <v>16.964699999999823</v>
      </c>
      <c r="C1000" s="342"/>
      <c r="D1000" s="359">
        <f t="shared" ca="1" si="443"/>
        <v>-0.70357213121942885</v>
      </c>
      <c r="E1000" s="360">
        <f t="shared" ca="1" si="444"/>
        <v>-1.9038784065145782</v>
      </c>
      <c r="F1000" s="357">
        <f t="shared" ca="1" si="445"/>
        <v>2.0297208504178941</v>
      </c>
      <c r="G1000" s="359">
        <f t="shared" ca="1" si="446"/>
        <v>4.9753535662171027</v>
      </c>
      <c r="H1000" s="360">
        <f t="shared" ca="1" si="447"/>
        <v>-55.909605744583217</v>
      </c>
      <c r="I1000" s="357">
        <f t="shared" ca="1" si="448"/>
        <v>56.130545673666866</v>
      </c>
      <c r="J1000" s="359">
        <f t="shared" ca="1" si="449"/>
        <v>184.26379383972827</v>
      </c>
      <c r="K1000" s="360">
        <f t="shared" ca="1" si="450"/>
        <v>-8.5840651214388259</v>
      </c>
      <c r="L1000" s="357">
        <f t="shared" ca="1" si="435"/>
        <v>184.4636329855264</v>
      </c>
      <c r="M1000" s="359">
        <f t="shared" ca="1" si="451"/>
        <v>-1.4820408770798856</v>
      </c>
      <c r="N1000" s="357">
        <f t="shared" ca="1" si="452"/>
        <v>-84.914687322544268</v>
      </c>
      <c r="O1000" s="343"/>
      <c r="P1000" s="363">
        <f t="shared" ca="1" si="453"/>
        <v>23</v>
      </c>
      <c r="Q1000" s="357">
        <f t="shared" ca="1" si="454"/>
        <v>0</v>
      </c>
      <c r="R1000" s="359">
        <f t="shared" ca="1" si="455"/>
        <v>0</v>
      </c>
      <c r="S1000" s="360">
        <f t="shared" ca="1" si="456"/>
        <v>0.42898953648292248</v>
      </c>
      <c r="T1000" s="357">
        <f t="shared" ca="1" si="436"/>
        <v>4.2083873528974696</v>
      </c>
      <c r="U1000" s="364">
        <f t="shared" ca="1" si="437"/>
        <v>0</v>
      </c>
      <c r="V1000" s="359">
        <f t="shared" ca="1" si="438"/>
        <v>1.2260519994989867</v>
      </c>
      <c r="W1000" s="357">
        <f t="shared" ca="1" si="439"/>
        <v>3.4050709375480079</v>
      </c>
      <c r="X1000" s="343"/>
      <c r="Y1000" s="367" t="str">
        <f t="shared" ca="1" si="457"/>
        <v/>
      </c>
      <c r="Z1000" s="368" t="str">
        <f t="shared" ca="1" si="458"/>
        <v/>
      </c>
      <c r="AA1000" s="369" t="str">
        <f t="shared" ca="1" si="459"/>
        <v/>
      </c>
      <c r="AB1000" s="344"/>
      <c r="AC1000" s="363" t="e">
        <f t="shared" ca="1" si="460"/>
        <v>#N/A</v>
      </c>
      <c r="AD1000" s="376" t="e">
        <f t="shared" ca="1" si="461"/>
        <v>#N/A</v>
      </c>
      <c r="AE1000" s="377" t="e">
        <f t="shared" ca="1" si="440"/>
        <v>#N/A</v>
      </c>
      <c r="AF1000" s="344"/>
      <c r="AG1000" s="359">
        <f t="shared" ca="1" si="462"/>
        <v>1.8340191446966463</v>
      </c>
      <c r="AH1000" s="357">
        <f t="shared" ca="1" si="463"/>
        <v>-7.9373655827865912</v>
      </c>
    </row>
    <row r="1001" spans="1:34">
      <c r="A1001" s="402">
        <f t="shared" ca="1" si="441"/>
        <v>1E-4</v>
      </c>
      <c r="B1001" s="357">
        <f t="shared" ca="1" si="442"/>
        <v>16.964799999999823</v>
      </c>
      <c r="C1001" s="342"/>
      <c r="D1001" s="359">
        <f t="shared" ca="1" si="443"/>
        <v>-0.70356487424142611</v>
      </c>
      <c r="E1001" s="360">
        <f t="shared" ca="1" si="444"/>
        <v>-1.903821230782663</v>
      </c>
      <c r="F1001" s="357">
        <f t="shared" ca="1" si="445"/>
        <v>2.0296647040940452</v>
      </c>
      <c r="G1001" s="359">
        <f t="shared" ca="1" si="446"/>
        <v>4.9752832097296782</v>
      </c>
      <c r="H1001" s="360">
        <f t="shared" ca="1" si="447"/>
        <v>-55.909796126706297</v>
      </c>
      <c r="I1001" s="357">
        <f t="shared" ca="1" si="448"/>
        <v>56.130729070152654</v>
      </c>
      <c r="J1001" s="359">
        <f t="shared" ca="1" si="449"/>
        <v>184.26379383972827</v>
      </c>
      <c r="K1001" s="360">
        <f t="shared" ca="1" si="450"/>
        <v>-8.5896560915323903</v>
      </c>
      <c r="L1001" s="357">
        <f t="shared" ca="1" si="435"/>
        <v>184.46389324737967</v>
      </c>
      <c r="M1001" s="359">
        <f t="shared" ca="1" si="451"/>
        <v>-1.482042426228235</v>
      </c>
      <c r="N1001" s="357">
        <f t="shared" ca="1" si="452"/>
        <v>-84.914776082206529</v>
      </c>
      <c r="O1001" s="343"/>
      <c r="P1001" s="363">
        <f t="shared" ca="1" si="453"/>
        <v>23</v>
      </c>
      <c r="Q1001" s="357">
        <f t="shared" ca="1" si="454"/>
        <v>0</v>
      </c>
      <c r="R1001" s="359">
        <f t="shared" ca="1" si="455"/>
        <v>0</v>
      </c>
      <c r="S1001" s="360">
        <f t="shared" ca="1" si="456"/>
        <v>0.42898953648292248</v>
      </c>
      <c r="T1001" s="357">
        <f t="shared" ca="1" si="436"/>
        <v>4.2083873528974696</v>
      </c>
      <c r="U1001" s="364">
        <f t="shared" ca="1" si="437"/>
        <v>0</v>
      </c>
      <c r="V1001" s="359">
        <f t="shared" ca="1" si="438"/>
        <v>1.2260526849813109</v>
      </c>
      <c r="W1001" s="357">
        <f t="shared" ca="1" si="439"/>
        <v>3.4050950922792085</v>
      </c>
      <c r="X1001" s="343"/>
      <c r="Y1001" s="367" t="str">
        <f t="shared" ca="1" si="457"/>
        <v/>
      </c>
      <c r="Z1001" s="368" t="str">
        <f t="shared" ca="1" si="458"/>
        <v/>
      </c>
      <c r="AA1001" s="369" t="str">
        <f t="shared" ca="1" si="459"/>
        <v/>
      </c>
      <c r="AB1001" s="344"/>
      <c r="AC1001" s="363" t="e">
        <f t="shared" ca="1" si="460"/>
        <v>#N/A</v>
      </c>
      <c r="AD1001" s="376" t="e">
        <f t="shared" ca="1" si="461"/>
        <v>#N/A</v>
      </c>
      <c r="AE1001" s="377" t="e">
        <f t="shared" ca="1" si="440"/>
        <v>#N/A</v>
      </c>
      <c r="AF1001" s="344"/>
      <c r="AG1001" s="359">
        <f t="shared" ca="1" si="462"/>
        <v>1.8339641843780914</v>
      </c>
      <c r="AH1001" s="357">
        <f t="shared" ca="1" si="463"/>
        <v>-7.9374218902039804</v>
      </c>
    </row>
    <row r="1002" spans="1:34">
      <c r="A1002" s="402">
        <f t="shared" ca="1" si="441"/>
        <v>1E-4</v>
      </c>
      <c r="B1002" s="357">
        <f t="shared" ca="1" si="442"/>
        <v>16.964899999999822</v>
      </c>
      <c r="C1002" s="342"/>
      <c r="D1002" s="359">
        <f t="shared" ca="1" si="443"/>
        <v>-0.70355761722514365</v>
      </c>
      <c r="E1002" s="360">
        <f t="shared" ca="1" si="444"/>
        <v>-1.9037640563809628</v>
      </c>
      <c r="F1002" s="357">
        <f t="shared" ca="1" si="445"/>
        <v>2.029608559088087</v>
      </c>
      <c r="G1002" s="359">
        <f t="shared" ca="1" si="446"/>
        <v>4.9752128539679559</v>
      </c>
      <c r="H1002" s="360">
        <f t="shared" ca="1" si="447"/>
        <v>-55.909986503111938</v>
      </c>
      <c r="I1002" s="357">
        <f t="shared" ca="1" si="448"/>
        <v>56.130912461142543</v>
      </c>
      <c r="J1002" s="359">
        <f t="shared" ca="1" si="449"/>
        <v>184.26379383972827</v>
      </c>
      <c r="K1002" s="360">
        <f t="shared" ca="1" si="450"/>
        <v>-8.5952470806638814</v>
      </c>
      <c r="L1002" s="357">
        <f t="shared" ca="1" si="435"/>
        <v>184.46415367921091</v>
      </c>
      <c r="M1002" s="359">
        <f t="shared" ca="1" si="451"/>
        <v>-1.4820439753445551</v>
      </c>
      <c r="N1002" s="357">
        <f t="shared" ca="1" si="452"/>
        <v>-84.914864840033644</v>
      </c>
      <c r="O1002" s="343"/>
      <c r="P1002" s="363">
        <f t="shared" ca="1" si="453"/>
        <v>23</v>
      </c>
      <c r="Q1002" s="357">
        <f t="shared" ca="1" si="454"/>
        <v>0</v>
      </c>
      <c r="R1002" s="359">
        <f t="shared" ca="1" si="455"/>
        <v>0</v>
      </c>
      <c r="S1002" s="360">
        <f t="shared" ca="1" si="456"/>
        <v>0.42898953648292248</v>
      </c>
      <c r="T1002" s="357">
        <f t="shared" ca="1" si="436"/>
        <v>4.2083873528974696</v>
      </c>
      <c r="U1002" s="364">
        <f t="shared" ca="1" si="437"/>
        <v>0</v>
      </c>
      <c r="V1002" s="359">
        <f t="shared" ca="1" si="438"/>
        <v>1.2260533704663525</v>
      </c>
      <c r="W1002" s="357">
        <f t="shared" ca="1" si="439"/>
        <v>3.4051192464487325</v>
      </c>
      <c r="X1002" s="343"/>
      <c r="Y1002" s="367" t="str">
        <f t="shared" ca="1" si="457"/>
        <v/>
      </c>
      <c r="Z1002" s="368" t="str">
        <f t="shared" ca="1" si="458"/>
        <v/>
      </c>
      <c r="AA1002" s="369" t="str">
        <f t="shared" ca="1" si="459"/>
        <v/>
      </c>
      <c r="AB1002" s="344"/>
      <c r="AC1002" s="363" t="e">
        <f t="shared" ca="1" si="460"/>
        <v>#N/A</v>
      </c>
      <c r="AD1002" s="376" t="e">
        <f t="shared" ca="1" si="461"/>
        <v>#N/A</v>
      </c>
      <c r="AE1002" s="377" t="e">
        <f t="shared" ca="1" si="440"/>
        <v>#N/A</v>
      </c>
      <c r="AF1002" s="344"/>
      <c r="AG1002" s="359">
        <f t="shared" ca="1" si="462"/>
        <v>1.8339092253175551</v>
      </c>
      <c r="AH1002" s="357">
        <f t="shared" ca="1" si="463"/>
        <v>-7.9374781963120462</v>
      </c>
    </row>
    <row r="1003" spans="1:34">
      <c r="A1003" s="402">
        <f t="shared" ca="1" si="441"/>
        <v>1E-4</v>
      </c>
      <c r="B1003" s="357">
        <f t="shared" ca="1" si="442"/>
        <v>16.964999999999822</v>
      </c>
      <c r="C1003" s="342"/>
      <c r="D1003" s="359">
        <f t="shared" ca="1" si="443"/>
        <v>-0.70355036017058836</v>
      </c>
      <c r="E1003" s="360">
        <f t="shared" ca="1" si="444"/>
        <v>-1.9037068833094546</v>
      </c>
      <c r="F1003" s="357">
        <f t="shared" ca="1" si="445"/>
        <v>2.0295524153999969</v>
      </c>
      <c r="G1003" s="359">
        <f t="shared" ca="1" si="446"/>
        <v>4.9751424989319384</v>
      </c>
      <c r="H1003" s="360">
        <f t="shared" ca="1" si="447"/>
        <v>-55.910176873800268</v>
      </c>
      <c r="I1003" s="357">
        <f t="shared" ca="1" si="448"/>
        <v>56.13109584663664</v>
      </c>
      <c r="J1003" s="359">
        <f t="shared" ca="1" si="449"/>
        <v>184.26379383972827</v>
      </c>
      <c r="K1003" s="360">
        <f t="shared" ca="1" si="450"/>
        <v>-8.6008380888327274</v>
      </c>
      <c r="L1003" s="357">
        <f t="shared" ca="1" si="435"/>
        <v>184.46441428102113</v>
      </c>
      <c r="M1003" s="359">
        <f t="shared" ca="1" si="451"/>
        <v>-1.4820455244288468</v>
      </c>
      <c r="N1003" s="357">
        <f t="shared" ca="1" si="452"/>
        <v>-84.914953596025669</v>
      </c>
      <c r="O1003" s="343"/>
      <c r="P1003" s="363">
        <f t="shared" ca="1" si="453"/>
        <v>23</v>
      </c>
      <c r="Q1003" s="357">
        <f t="shared" ca="1" si="454"/>
        <v>0</v>
      </c>
      <c r="R1003" s="359">
        <f t="shared" ca="1" si="455"/>
        <v>0</v>
      </c>
      <c r="S1003" s="360">
        <f t="shared" ca="1" si="456"/>
        <v>0.42898953648292248</v>
      </c>
      <c r="T1003" s="357">
        <f t="shared" ca="1" si="436"/>
        <v>4.2083873528974696</v>
      </c>
      <c r="U1003" s="364">
        <f t="shared" ca="1" si="437"/>
        <v>0</v>
      </c>
      <c r="V1003" s="359">
        <f ca="1">Rho_moyen*(20000-Alt_rampe-pos_z)/(20000+Alt_rampe+pos_z)</f>
        <v>1.2260540559541122</v>
      </c>
      <c r="W1003" s="357">
        <f t="shared" ca="1" si="439"/>
        <v>3.4051434000565881</v>
      </c>
      <c r="X1003" s="343"/>
      <c r="Y1003" s="367" t="str">
        <f t="shared" ca="1" si="457"/>
        <v/>
      </c>
      <c r="Z1003" s="368" t="str">
        <f t="shared" ca="1" si="458"/>
        <v/>
      </c>
      <c r="AA1003" s="369" t="str">
        <f t="shared" ca="1" si="459"/>
        <v/>
      </c>
      <c r="AB1003" s="344"/>
      <c r="AC1003" s="363" t="e">
        <f t="shared" ca="1" si="460"/>
        <v>#N/A</v>
      </c>
      <c r="AD1003" s="376" t="e">
        <f t="shared" ca="1" si="461"/>
        <v>#N/A</v>
      </c>
      <c r="AE1003" s="377" t="e">
        <f t="shared" ca="1" si="440"/>
        <v>#N/A</v>
      </c>
      <c r="AF1003" s="344"/>
      <c r="AG1003" s="359">
        <f t="shared" ca="1" si="462"/>
        <v>1.8338542675150213</v>
      </c>
      <c r="AH1003" s="357">
        <f t="shared" ca="1" si="463"/>
        <v>-7.9375345011108118</v>
      </c>
    </row>
    <row r="1004" spans="1:34">
      <c r="A1004" s="403">
        <f t="shared" ca="1" si="441"/>
        <v>1E-4</v>
      </c>
      <c r="B1004" s="358">
        <f t="shared" ca="1" si="442"/>
        <v>16.965099999999822</v>
      </c>
      <c r="C1004" s="342"/>
      <c r="D1004" s="361">
        <f t="shared" ca="1" si="443"/>
        <v>-0.70354310307776602</v>
      </c>
      <c r="E1004" s="362">
        <f t="shared" ca="1" si="444"/>
        <v>-1.9036497115681206</v>
      </c>
      <c r="F1004" s="358">
        <f t="shared" ca="1" si="445"/>
        <v>2.0294962730297588</v>
      </c>
      <c r="G1004" s="361">
        <f t="shared" ca="1" si="446"/>
        <v>4.9750721446216302</v>
      </c>
      <c r="H1004" s="362">
        <f t="shared" ca="1" si="447"/>
        <v>-55.910367238771421</v>
      </c>
      <c r="I1004" s="358">
        <f t="shared" ca="1" si="448"/>
        <v>56.13127922663508</v>
      </c>
      <c r="J1004" s="361">
        <f t="shared" ca="1" si="449"/>
        <v>184.26379383972827</v>
      </c>
      <c r="K1004" s="362">
        <f t="shared" ca="1" si="450"/>
        <v>-8.6064291160383561</v>
      </c>
      <c r="L1004" s="358">
        <f t="shared" ca="1" si="435"/>
        <v>184.46467505281134</v>
      </c>
      <c r="M1004" s="361">
        <f t="shared" ca="1" si="451"/>
        <v>-1.4820470734811111</v>
      </c>
      <c r="N1004" s="358">
        <f t="shared" ca="1" si="452"/>
        <v>-84.915042350182659</v>
      </c>
      <c r="O1004" s="343"/>
      <c r="P1004" s="365">
        <f t="shared" ca="1" si="453"/>
        <v>23</v>
      </c>
      <c r="Q1004" s="358">
        <f t="shared" ca="1" si="454"/>
        <v>0</v>
      </c>
      <c r="R1004" s="361">
        <f t="shared" ca="1" si="455"/>
        <v>0</v>
      </c>
      <c r="S1004" s="362">
        <f t="shared" ca="1" si="456"/>
        <v>0.42898953648292248</v>
      </c>
      <c r="T1004" s="358">
        <f t="shared" ca="1" si="436"/>
        <v>4.2083873528974696</v>
      </c>
      <c r="U1004" s="366">
        <f t="shared" ca="1" si="437"/>
        <v>0</v>
      </c>
      <c r="V1004" s="361">
        <f t="shared" ca="1" si="438"/>
        <v>1.2260547414445888</v>
      </c>
      <c r="W1004" s="358">
        <f ca="1">1/2*Rho*Sref*Cx*vit_xz^2</f>
        <v>3.4051675531027805</v>
      </c>
      <c r="X1004" s="343"/>
      <c r="Y1004" s="370" t="str">
        <f ca="1">IF(AND(pos_z&lt;=0,K1003&gt;0),"Impact balistique","") &amp; IF(AND(H1005&lt;0,vit_z&gt;=0),"Apogée","") &amp; IF(AND(Poussee=0,Q1003&gt;0),"Fin de propulsion","") &amp; IF(AND(L1005&gt;L_rampe,pos_xz&lt;=L_rampe),"Sortie de rampe","")</f>
        <v/>
      </c>
      <c r="Z1004" s="371" t="str">
        <f t="shared" ca="1" si="458"/>
        <v/>
      </c>
      <c r="AA1004" s="372" t="str">
        <f t="shared" ca="1" si="459"/>
        <v/>
      </c>
      <c r="AB1004" s="344"/>
      <c r="AC1004" s="365" t="e">
        <f t="shared" ca="1" si="460"/>
        <v>#N/A</v>
      </c>
      <c r="AD1004" s="378" t="e">
        <f t="shared" ca="1" si="461"/>
        <v>#N/A</v>
      </c>
      <c r="AE1004" s="379" t="e">
        <f t="shared" ca="1" si="440"/>
        <v>#N/A</v>
      </c>
      <c r="AF1004" s="344"/>
      <c r="AG1004" s="361">
        <f t="shared" ca="1" si="462"/>
        <v>1.8337993109704724</v>
      </c>
      <c r="AH1004" s="358">
        <f t="shared" ca="1" si="463"/>
        <v>-7.937590804600295</v>
      </c>
    </row>
    <row r="1005" spans="1:34">
      <c r="Y1005" s="356"/>
    </row>
    <row r="1010" spans="12:12">
      <c r="L1010"/>
    </row>
    <row r="1034" spans="5:25">
      <c r="E1034" s="353" t="s">
        <v>257</v>
      </c>
      <c r="J1034" s="354" t="s">
        <v>249</v>
      </c>
      <c r="T1034" s="353" t="s">
        <v>248</v>
      </c>
      <c r="Y1034" s="355" t="s">
        <v>251</v>
      </c>
    </row>
    <row r="1035" spans="5:25">
      <c r="E1035" s="352" t="s">
        <v>261</v>
      </c>
    </row>
    <row r="1036" spans="5:25">
      <c r="E1036" s="352"/>
      <c r="T1036" s="352" t="s">
        <v>254</v>
      </c>
    </row>
    <row r="1037" spans="5:25">
      <c r="E1037" s="352"/>
      <c r="T1037" s="352" t="s">
        <v>258</v>
      </c>
    </row>
    <row r="1038" spans="5:25">
      <c r="E1038" s="352"/>
      <c r="T1038" s="352" t="s">
        <v>259</v>
      </c>
    </row>
    <row r="1039" spans="5:25">
      <c r="E1039" s="352"/>
      <c r="T1039" s="352" t="s">
        <v>265</v>
      </c>
    </row>
    <row r="1040" spans="5:25">
      <c r="E1040" s="352" t="s">
        <v>260</v>
      </c>
      <c r="T1040" s="352" t="s">
        <v>250</v>
      </c>
    </row>
    <row r="1041" spans="5:20">
      <c r="E1041" s="352"/>
      <c r="T1041" s="352" t="s">
        <v>266</v>
      </c>
    </row>
    <row r="1042" spans="5:20">
      <c r="E1042" s="352"/>
      <c r="R1042" s="356"/>
      <c r="T1042" s="352"/>
    </row>
    <row r="1043" spans="5:20">
      <c r="E1043" s="352"/>
    </row>
    <row r="1044" spans="5:20">
      <c r="E1044" s="352"/>
    </row>
    <row r="1045" spans="5:20">
      <c r="E1045" s="352" t="s">
        <v>263</v>
      </c>
      <c r="R1045" s="356"/>
      <c r="T1045" s="352"/>
    </row>
    <row r="1046" spans="5:20">
      <c r="E1046" s="352"/>
    </row>
    <row r="1047" spans="5:20">
      <c r="E1047" s="352"/>
    </row>
    <row r="1048" spans="5:20">
      <c r="E1048" s="352"/>
      <c r="T1048" s="351" t="s">
        <v>256</v>
      </c>
    </row>
    <row r="1049" spans="5:20">
      <c r="E1049" s="352"/>
    </row>
    <row r="1050" spans="5:20">
      <c r="E1050" s="352" t="s">
        <v>264</v>
      </c>
    </row>
    <row r="1053" spans="5:20">
      <c r="T1053" s="351" t="s">
        <v>271</v>
      </c>
    </row>
    <row r="1055" spans="5:20">
      <c r="E1055" s="352" t="s">
        <v>253</v>
      </c>
    </row>
    <row r="1058" spans="5:20">
      <c r="T1058" s="352" t="s">
        <v>272</v>
      </c>
    </row>
    <row r="1060" spans="5:20">
      <c r="E1060" s="352" t="s">
        <v>262</v>
      </c>
    </row>
    <row r="1061" spans="5:20">
      <c r="E1061" s="352"/>
    </row>
    <row r="1062" spans="5:20">
      <c r="E1062" s="352"/>
    </row>
    <row r="1063" spans="5:20">
      <c r="E1063" s="352"/>
    </row>
    <row r="1064" spans="5:20">
      <c r="E1064" s="352"/>
    </row>
    <row r="1065" spans="5:20">
      <c r="E1065" s="352" t="s">
        <v>252</v>
      </c>
    </row>
    <row r="1066" spans="5:20">
      <c r="E1066" s="352"/>
    </row>
    <row r="1067" spans="5:20">
      <c r="E1067" s="352"/>
    </row>
    <row r="1068" spans="5:20">
      <c r="E1068" s="352"/>
    </row>
    <row r="1069" spans="5:20">
      <c r="E1069" s="352"/>
    </row>
    <row r="1070" spans="5:20">
      <c r="E1070" s="352" t="s">
        <v>255</v>
      </c>
    </row>
    <row r="1071" spans="5:20">
      <c r="E1071" s="352"/>
    </row>
    <row r="1072" spans="5:20">
      <c r="E1072" s="352"/>
    </row>
    <row r="1073" spans="5:5">
      <c r="E1073" s="352"/>
    </row>
    <row r="1074" spans="5:5">
      <c r="E1074" s="352"/>
    </row>
    <row r="1075" spans="5:5">
      <c r="E1075" s="352" t="s">
        <v>267</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hyperlink ref="Y1034" r:id="rId2"/>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oleObject progId="Equation.3" shapeId="3091" r:id="rId6"/>
    <oleObject progId="Equation.3" shapeId="3092" r:id="rId7"/>
    <oleObject progId="Equation.3" shapeId="3096" r:id="rId8"/>
    <oleObject progId="Equation.3" shapeId="3112" r:id="rId9"/>
    <oleObject progId="Equation.3" shapeId="3114" r:id="rId10"/>
    <oleObject progId="Equation.3" shapeId="3115" r:id="rId11"/>
    <oleObject progId="Equation.3" shapeId="3119" r:id="rId12"/>
    <oleObject progId="Equation.3" shapeId="3120" r:id="rId13"/>
    <oleObject progId="Equation.3" shapeId="3121" r:id="rId14"/>
    <oleObject progId="Equation.3" shapeId="3122" r:id="rId15"/>
    <oleObject progId="Equation.3" shapeId="3124" r:id="rId16"/>
    <oleObject progId="Equation.3" shapeId="3125" r:id="rId17"/>
    <oleObject progId="Equation.3" shapeId="3127" r:id="rId18"/>
    <oleObject progId="Equation.3" shapeId="3129" r:id="rId19"/>
    <oleObject progId="Equation.3" shapeId="3131" r:id="rId20"/>
    <oleObject progId="Equation.3" shapeId="3134" r:id="rId21"/>
    <oleObject progId="Equation.3" shapeId="3135" r:id="rId22"/>
    <oleObject progId="Equation.3" shapeId="3141" r:id="rId23"/>
    <oleObject progId="Equation.3" shapeId="3142" r:id="rId24"/>
    <oleObject progId="Equation.3" shapeId="3157" r:id="rId25"/>
    <oleObject progId="Equation.3" shapeId="3158" r:id="rId26"/>
    <oleObject progId="Equation.3" shapeId="3161" r:id="rId27"/>
    <oleObject progId="Equation.3" shapeId="3162" r:id="rId28"/>
    <oleObject progId="Equation.3" shapeId="3167" r:id="rId29"/>
    <oleObject progId="Equation.3" shapeId="3168" r:id="rId30"/>
    <oleObject progId="Equation.3" shapeId="3169" r:id="rId31"/>
    <oleObject progId="Equation.3" shapeId="3173" r:id="rId32"/>
    <oleObject progId="Equation.3" shapeId="3174" r:id="rId33"/>
    <oleObject progId="Equation.3" shapeId="3178" r:id="rId34"/>
    <oleObject progId="Equation.3" shapeId="3188" r:id="rId35"/>
    <oleObject progId="Equation.3" shapeId="3192" r:id="rId36"/>
    <oleObject progId="Equation.3" shapeId="3220" r:id="rId37"/>
    <oleObject progId="Equation.3" shapeId="3222" r:id="rId38"/>
    <oleObject progId="Equation.3" shapeId="3223" r:id="rId39"/>
    <oleObject progId="Equation.3" shapeId="3225" r:id="rId40"/>
    <oleObject progId="Equation.3" shapeId="3281" r:id="rId41"/>
  </oleObjects>
</worksheet>
</file>

<file path=xl/worksheets/sheet6.xml><?xml version="1.0" encoding="utf-8"?>
<worksheet xmlns="http://schemas.openxmlformats.org/spreadsheetml/2006/main" xmlns:r="http://schemas.openxmlformats.org/officeDocument/2006/relationships">
  <sheetPr codeName="Feuil8">
    <pageSetUpPr fitToPage="1"/>
  </sheetPr>
  <dimension ref="A1:M79"/>
  <sheetViews>
    <sheetView showGridLines="0" workbookViewId="0">
      <selection activeCell="B80" sqref="B80"/>
    </sheetView>
  </sheetViews>
  <sheetFormatPr baseColWidth="10" defaultRowHeight="12.5"/>
  <cols>
    <col min="1" max="1" width="2.1796875" customWidth="1"/>
    <col min="2" max="2" width="16.26953125" customWidth="1"/>
    <col min="3" max="4" width="11.36328125" customWidth="1"/>
  </cols>
  <sheetData>
    <row r="1" spans="1:13" ht="13">
      <c r="A1" s="72"/>
      <c r="B1" s="73"/>
      <c r="C1" s="74"/>
      <c r="D1" s="73"/>
      <c r="E1" s="94"/>
      <c r="F1" s="94"/>
      <c r="G1" s="94"/>
      <c r="H1" s="94"/>
      <c r="I1" s="94"/>
      <c r="J1" s="94"/>
      <c r="K1" s="94"/>
      <c r="L1" s="94"/>
      <c r="M1" s="95"/>
    </row>
    <row r="2" spans="1:13" ht="12.75" customHeight="1">
      <c r="A2" s="77"/>
      <c r="B2" s="2"/>
      <c r="C2" s="735" t="s">
        <v>284</v>
      </c>
      <c r="D2" s="735"/>
      <c r="E2" s="81"/>
      <c r="F2" s="81"/>
      <c r="G2" s="81"/>
      <c r="H2" s="81"/>
      <c r="I2" s="81"/>
      <c r="J2" s="81"/>
      <c r="K2" s="81"/>
      <c r="L2" s="81"/>
      <c r="M2" s="97"/>
    </row>
    <row r="3" spans="1:13" ht="12.75" customHeight="1">
      <c r="A3" s="77"/>
      <c r="B3" s="2"/>
      <c r="C3" s="735"/>
      <c r="D3" s="735"/>
      <c r="E3" s="81"/>
      <c r="F3" s="81"/>
      <c r="G3" s="81"/>
      <c r="H3" s="81"/>
      <c r="I3" s="81"/>
      <c r="J3" s="81"/>
      <c r="K3" s="81"/>
      <c r="L3" s="81"/>
      <c r="M3" s="97"/>
    </row>
    <row r="4" spans="1:13" ht="13">
      <c r="A4" s="77"/>
      <c r="B4" s="2"/>
      <c r="C4" s="738" t="str">
        <f>IF(Lang="Français","Abaques de performance",IF(Lang="English","Performance charts",""))</f>
        <v>Abaques de performance</v>
      </c>
      <c r="D4" s="738"/>
      <c r="E4" s="81"/>
      <c r="F4" s="81"/>
      <c r="G4" s="81"/>
      <c r="H4" s="81"/>
      <c r="I4" s="81"/>
      <c r="J4" s="81"/>
      <c r="K4" s="81"/>
      <c r="L4" s="81"/>
      <c r="M4" s="97"/>
    </row>
    <row r="5" spans="1:13" ht="13">
      <c r="A5" s="77"/>
      <c r="B5" s="2"/>
      <c r="C5" s="738" t="str">
        <f>IF(Lang="Français","Calcul analytique simple",IF(Lang="English","Analytical computation",""))</f>
        <v>Calcul analytique simple</v>
      </c>
      <c r="D5" s="738"/>
      <c r="E5" s="81"/>
      <c r="F5" s="81"/>
      <c r="G5" s="81"/>
      <c r="H5" s="81"/>
      <c r="I5" s="81"/>
      <c r="J5" s="81"/>
      <c r="K5" s="81"/>
      <c r="L5" s="81"/>
      <c r="M5" s="97"/>
    </row>
    <row r="6" spans="1:13" ht="13">
      <c r="A6" s="77"/>
      <c r="B6" s="111"/>
      <c r="C6" s="3"/>
      <c r="D6" s="3"/>
      <c r="E6" s="81"/>
      <c r="F6" s="81"/>
      <c r="G6" s="81"/>
      <c r="H6" s="81"/>
      <c r="I6" s="81"/>
      <c r="J6" s="81"/>
      <c r="K6" s="81"/>
      <c r="L6" s="81"/>
      <c r="M6" s="97"/>
    </row>
    <row r="7" spans="1:13" ht="13">
      <c r="A7" s="80"/>
      <c r="B7" s="8"/>
      <c r="C7" s="717" t="str">
        <f>IF(Lang="Français","Fusée",IF(Lang="English","Rocket",""))</f>
        <v>Fusée</v>
      </c>
      <c r="D7" s="717"/>
      <c r="E7" s="81"/>
      <c r="F7" s="81"/>
      <c r="G7" s="81"/>
      <c r="H7" s="81"/>
      <c r="I7" s="81"/>
      <c r="J7" s="81"/>
      <c r="K7" s="81"/>
      <c r="L7" s="81"/>
      <c r="M7" s="97"/>
    </row>
    <row r="8" spans="1:13" ht="15.5">
      <c r="A8" s="80"/>
      <c r="B8" s="173" t="str">
        <f>IF(Lang="Français","Nom",IF(Lang="English","Name",""))</f>
        <v>Nom</v>
      </c>
      <c r="C8" s="736" t="str">
        <f>Nom</f>
        <v>Ma fusée</v>
      </c>
      <c r="D8" s="736"/>
      <c r="E8" s="81"/>
      <c r="F8" s="81"/>
      <c r="G8" s="81"/>
      <c r="H8" s="81"/>
      <c r="I8" s="81"/>
      <c r="J8" s="81"/>
      <c r="K8" s="81"/>
      <c r="L8" s="81"/>
      <c r="M8" s="97"/>
    </row>
    <row r="9" spans="1:13" ht="15.5">
      <c r="A9" s="80"/>
      <c r="B9" s="173" t="s">
        <v>4</v>
      </c>
      <c r="C9" s="736" t="str">
        <f>Club</f>
        <v>Mon club</v>
      </c>
      <c r="D9" s="736"/>
      <c r="E9" s="81"/>
      <c r="F9" s="81"/>
      <c r="G9" s="81"/>
      <c r="H9" s="81"/>
      <c r="I9" s="81"/>
      <c r="J9" s="81"/>
      <c r="K9" s="81"/>
      <c r="L9" s="81"/>
      <c r="M9" s="97"/>
    </row>
    <row r="10" spans="1:13" ht="13">
      <c r="A10" s="80"/>
      <c r="B10" s="173" t="str">
        <f>IF(Lang="Français","Masse sans propu",IF(Lang="English","Mass without M",""))</f>
        <v>Masse sans propu</v>
      </c>
      <c r="C10" s="769">
        <f>MasseSans</f>
        <v>0.35899999999999999</v>
      </c>
      <c r="D10" s="769"/>
      <c r="E10" s="81"/>
      <c r="F10" s="81"/>
      <c r="G10" s="81"/>
      <c r="H10" s="81"/>
      <c r="I10" s="81"/>
      <c r="J10" s="81"/>
      <c r="K10" s="81"/>
      <c r="L10" s="81"/>
      <c r="M10" s="97"/>
    </row>
    <row r="11" spans="1:13" ht="13">
      <c r="A11" s="80"/>
      <c r="B11" s="173" t="str">
        <f>IF(Lang="Français","Masse totale",IF(Lang="English","Total mass",""))</f>
        <v>Masse totale</v>
      </c>
      <c r="C11" s="772" t="str">
        <f ca="1">MassePlein &amp; " kg ±" &amp; MasseSans &amp; " kg"</f>
        <v>0,461 kg ±0,359 kg</v>
      </c>
      <c r="D11" s="772"/>
      <c r="E11" s="81"/>
      <c r="F11" s="81"/>
      <c r="G11" s="81"/>
      <c r="H11" s="81"/>
      <c r="I11" s="81"/>
      <c r="J11" s="81"/>
      <c r="K11" s="81"/>
      <c r="L11" s="81"/>
      <c r="M11" s="97"/>
    </row>
    <row r="12" spans="1:13" ht="13">
      <c r="A12" s="80"/>
      <c r="B12" s="266" t="str">
        <f>IF(Lang="Français","Propulseur",IF(Lang="English","Motor",""))</f>
        <v>Propulseur</v>
      </c>
      <c r="C12" s="715" t="str">
        <f>Propu</f>
        <v>p29-1G 56F31</v>
      </c>
      <c r="D12" s="716"/>
      <c r="E12" s="81"/>
      <c r="F12" s="81"/>
      <c r="G12" s="81"/>
      <c r="H12" s="81"/>
      <c r="I12" s="81"/>
      <c r="J12" s="81"/>
      <c r="K12" s="81"/>
      <c r="L12" s="81"/>
      <c r="M12" s="97"/>
    </row>
    <row r="13" spans="1:13">
      <c r="A13" s="80"/>
      <c r="B13" s="3"/>
      <c r="C13" s="3"/>
      <c r="D13" s="3"/>
      <c r="E13" s="81"/>
      <c r="F13" s="81"/>
      <c r="G13" s="81"/>
      <c r="H13" s="81"/>
      <c r="I13" s="81"/>
      <c r="J13" s="81"/>
      <c r="K13" s="81"/>
      <c r="L13" s="81"/>
      <c r="M13" s="97"/>
    </row>
    <row r="14" spans="1:13" ht="13">
      <c r="A14" s="96"/>
      <c r="B14" s="81"/>
      <c r="C14" s="717" t="str">
        <f>IF(Lang="Français","Traînée Aérdynamique",IF(Lang="English","Drag",""))</f>
        <v>Traînée Aérdynamique</v>
      </c>
      <c r="D14" s="717"/>
      <c r="E14" s="81"/>
      <c r="F14" s="81"/>
      <c r="G14" s="81"/>
      <c r="H14" s="81"/>
      <c r="I14" s="81"/>
      <c r="J14" s="81"/>
      <c r="K14" s="81"/>
      <c r="L14" s="81"/>
      <c r="M14" s="97"/>
    </row>
    <row r="15" spans="1:13" ht="13">
      <c r="A15" s="96"/>
      <c r="B15" s="172" t="str">
        <f>IF(Lang="Français","Diamètre Ø",IF(Lang="English","Diameter Ø",""))</f>
        <v>Diamètre Ø</v>
      </c>
      <c r="C15" s="770">
        <f>D_ref</f>
        <v>59</v>
      </c>
      <c r="D15" s="770"/>
      <c r="E15" s="81"/>
      <c r="F15" s="81"/>
      <c r="G15" s="81"/>
      <c r="H15" s="81"/>
      <c r="I15" s="81"/>
      <c r="J15" s="81"/>
      <c r="K15" s="81"/>
      <c r="L15" s="81"/>
      <c r="M15" s="97"/>
    </row>
    <row r="16" spans="1:13" ht="13">
      <c r="A16" s="96"/>
      <c r="B16" s="173" t="s">
        <v>5</v>
      </c>
      <c r="C16" s="771">
        <f>Cx</f>
        <v>0.5</v>
      </c>
      <c r="D16" s="771"/>
      <c r="E16" s="81"/>
      <c r="F16" s="81"/>
      <c r="G16" s="81"/>
      <c r="H16" s="81"/>
      <c r="I16" s="81"/>
      <c r="J16" s="81"/>
      <c r="K16" s="81"/>
      <c r="L16" s="81"/>
      <c r="M16" s="97"/>
    </row>
    <row r="17" spans="1:13">
      <c r="A17" s="96"/>
      <c r="B17" s="81"/>
      <c r="C17" s="81"/>
      <c r="D17" s="81"/>
      <c r="E17" s="81"/>
      <c r="F17" s="81"/>
      <c r="G17" s="81"/>
      <c r="H17" s="81"/>
      <c r="I17" s="81"/>
      <c r="J17" s="81"/>
      <c r="K17" s="81"/>
      <c r="L17" s="81"/>
      <c r="M17" s="97"/>
    </row>
    <row r="18" spans="1:13">
      <c r="A18" s="96"/>
      <c r="B18" s="81"/>
      <c r="C18" s="81"/>
      <c r="D18" s="81"/>
      <c r="E18" s="81"/>
      <c r="F18" s="81"/>
      <c r="G18" s="81"/>
      <c r="H18" s="81"/>
      <c r="I18" s="81"/>
      <c r="J18" s="81"/>
      <c r="K18" s="81"/>
      <c r="L18" s="81"/>
      <c r="M18" s="97"/>
    </row>
    <row r="19" spans="1:13">
      <c r="A19" s="96"/>
      <c r="B19" s="81"/>
      <c r="C19" s="81"/>
      <c r="D19" s="81"/>
      <c r="E19" s="81"/>
      <c r="F19" s="81"/>
      <c r="G19" s="81"/>
      <c r="H19" s="81"/>
      <c r="I19" s="81"/>
      <c r="J19" s="81"/>
      <c r="K19" s="81"/>
      <c r="L19" s="81"/>
      <c r="M19" s="97"/>
    </row>
    <row r="20" spans="1:13">
      <c r="A20" s="96"/>
      <c r="B20" s="81"/>
      <c r="C20" s="81"/>
      <c r="D20" s="81"/>
      <c r="E20" s="81"/>
      <c r="F20" s="81"/>
      <c r="G20" s="81"/>
      <c r="H20" s="81"/>
      <c r="I20" s="81"/>
      <c r="J20" s="81"/>
      <c r="K20" s="81"/>
      <c r="L20" s="81"/>
      <c r="M20" s="97"/>
    </row>
    <row r="21" spans="1:13">
      <c r="A21" s="96"/>
      <c r="B21" s="81"/>
      <c r="C21" s="81"/>
      <c r="D21" s="81"/>
      <c r="E21" s="81"/>
      <c r="F21" s="81"/>
      <c r="G21" s="81"/>
      <c r="H21" s="81"/>
      <c r="I21" s="81"/>
      <c r="J21" s="81"/>
      <c r="K21" s="81"/>
      <c r="L21" s="81"/>
      <c r="M21" s="97"/>
    </row>
    <row r="22" spans="1:13">
      <c r="A22" s="96"/>
      <c r="B22" s="81"/>
      <c r="C22" s="81"/>
      <c r="D22" s="81"/>
      <c r="E22" s="81"/>
      <c r="F22" s="81"/>
      <c r="G22" s="81"/>
      <c r="H22" s="81"/>
      <c r="I22" s="81"/>
      <c r="J22" s="81"/>
      <c r="K22" s="81"/>
      <c r="L22" s="81"/>
      <c r="M22" s="97"/>
    </row>
    <row r="23" spans="1:13">
      <c r="A23" s="96"/>
      <c r="B23" s="81"/>
      <c r="C23" s="81"/>
      <c r="D23" s="81"/>
      <c r="E23" s="81"/>
      <c r="F23" s="81"/>
      <c r="G23" s="81"/>
      <c r="H23" s="81"/>
      <c r="I23" s="81"/>
      <c r="J23" s="81"/>
      <c r="K23" s="81"/>
      <c r="L23" s="81"/>
      <c r="M23" s="97"/>
    </row>
    <row r="24" spans="1:13">
      <c r="A24" s="96"/>
      <c r="B24" s="81"/>
      <c r="C24" s="81"/>
      <c r="D24" s="81"/>
      <c r="E24" s="81"/>
      <c r="F24" s="81"/>
      <c r="G24" s="81"/>
      <c r="H24" s="81"/>
      <c r="I24" s="81"/>
      <c r="J24" s="81"/>
      <c r="K24" s="81"/>
      <c r="L24" s="81"/>
      <c r="M24" s="97"/>
    </row>
    <row r="25" spans="1:13">
      <c r="A25" s="96"/>
      <c r="B25" s="81"/>
      <c r="C25" s="81"/>
      <c r="D25" s="81"/>
      <c r="E25" s="81"/>
      <c r="F25" s="81"/>
      <c r="G25" s="81"/>
      <c r="H25" s="81"/>
      <c r="I25" s="81"/>
      <c r="J25" s="81"/>
      <c r="K25" s="81"/>
      <c r="L25" s="81"/>
      <c r="M25" s="97"/>
    </row>
    <row r="26" spans="1:13">
      <c r="A26" s="96"/>
      <c r="B26" s="81"/>
      <c r="C26" s="81"/>
      <c r="D26" s="81"/>
      <c r="E26" s="81"/>
      <c r="F26" s="81"/>
      <c r="G26" s="81"/>
      <c r="H26" s="81"/>
      <c r="I26" s="81"/>
      <c r="J26" s="81"/>
      <c r="K26" s="81"/>
      <c r="L26" s="81"/>
      <c r="M26" s="97"/>
    </row>
    <row r="27" spans="1:13">
      <c r="A27" s="96"/>
      <c r="B27" s="81"/>
      <c r="C27" s="81"/>
      <c r="D27" s="81"/>
      <c r="E27" s="81"/>
      <c r="F27" s="81"/>
      <c r="G27" s="81"/>
      <c r="H27" s="81"/>
      <c r="I27" s="81"/>
      <c r="J27" s="81"/>
      <c r="K27" s="81"/>
      <c r="L27" s="81"/>
      <c r="M27" s="97"/>
    </row>
    <row r="28" spans="1:13">
      <c r="A28" s="96"/>
      <c r="B28" s="81"/>
      <c r="C28" s="81"/>
      <c r="D28" s="81"/>
      <c r="E28" s="81"/>
      <c r="F28" s="81"/>
      <c r="G28" s="81"/>
      <c r="H28" s="81"/>
      <c r="I28" s="81"/>
      <c r="J28" s="81"/>
      <c r="K28" s="81"/>
      <c r="L28" s="81"/>
      <c r="M28" s="97"/>
    </row>
    <row r="29" spans="1:13">
      <c r="A29" s="96"/>
      <c r="B29" s="81"/>
      <c r="C29" s="81"/>
      <c r="D29" s="81"/>
      <c r="E29" s="81"/>
      <c r="F29" s="81"/>
      <c r="G29" s="81"/>
      <c r="H29" s="81"/>
      <c r="I29" s="81"/>
      <c r="J29" s="81"/>
      <c r="K29" s="81"/>
      <c r="L29" s="81"/>
      <c r="M29" s="97"/>
    </row>
    <row r="30" spans="1:13">
      <c r="A30" s="96"/>
      <c r="B30" s="81"/>
      <c r="C30" s="81"/>
      <c r="D30" s="81"/>
      <c r="E30" s="81"/>
      <c r="F30" s="81"/>
      <c r="G30" s="81"/>
      <c r="H30" s="81"/>
      <c r="I30" s="81"/>
      <c r="J30" s="81"/>
      <c r="K30" s="81"/>
      <c r="L30" s="81"/>
      <c r="M30" s="97"/>
    </row>
    <row r="31" spans="1:13">
      <c r="A31" s="96"/>
      <c r="B31" s="81"/>
      <c r="C31" s="81"/>
      <c r="D31" s="81"/>
      <c r="E31" s="81"/>
      <c r="F31" s="81"/>
      <c r="G31" s="81"/>
      <c r="H31" s="81"/>
      <c r="I31" s="81"/>
      <c r="J31" s="81"/>
      <c r="K31" s="81"/>
      <c r="L31" s="81"/>
      <c r="M31" s="97"/>
    </row>
    <row r="32" spans="1:13">
      <c r="A32" s="96"/>
      <c r="B32" s="81"/>
      <c r="C32" s="81"/>
      <c r="D32" s="81"/>
      <c r="E32" s="81"/>
      <c r="F32" s="81"/>
      <c r="G32" s="81"/>
      <c r="H32" s="81"/>
      <c r="I32" s="81"/>
      <c r="J32" s="81"/>
      <c r="K32" s="81"/>
      <c r="L32" s="81"/>
      <c r="M32" s="97"/>
    </row>
    <row r="33" spans="1:13">
      <c r="A33" s="96"/>
      <c r="B33" s="81"/>
      <c r="C33" s="81"/>
      <c r="D33" s="81"/>
      <c r="E33" s="81"/>
      <c r="F33" s="81"/>
      <c r="G33" s="81"/>
      <c r="H33" s="81"/>
      <c r="I33" s="81"/>
      <c r="J33" s="81"/>
      <c r="K33" s="81"/>
      <c r="L33" s="81"/>
      <c r="M33" s="97"/>
    </row>
    <row r="34" spans="1:13">
      <c r="A34" s="96"/>
      <c r="B34" s="81"/>
      <c r="C34" s="81"/>
      <c r="D34" s="81"/>
      <c r="E34" s="81"/>
      <c r="F34" s="81"/>
      <c r="G34" s="81"/>
      <c r="H34" s="81"/>
      <c r="I34" s="81"/>
      <c r="J34" s="81"/>
      <c r="K34" s="81"/>
      <c r="L34" s="81"/>
      <c r="M34" s="97"/>
    </row>
    <row r="35" spans="1:13" ht="13" thickBot="1">
      <c r="A35" s="99"/>
      <c r="B35" s="102"/>
      <c r="C35" s="102"/>
      <c r="D35" s="102"/>
      <c r="E35" s="102"/>
      <c r="F35" s="102"/>
      <c r="G35" s="102"/>
      <c r="H35" s="102"/>
      <c r="I35" s="102"/>
      <c r="J35" s="102"/>
      <c r="K35" s="102"/>
      <c r="L35" s="102"/>
      <c r="M35" s="101"/>
    </row>
    <row r="39" spans="1:13" ht="13">
      <c r="B39" s="480" t="s">
        <v>62</v>
      </c>
      <c r="C39" s="203" t="s">
        <v>288</v>
      </c>
      <c r="D39" s="167" t="s">
        <v>285</v>
      </c>
      <c r="E39" s="167" t="s">
        <v>289</v>
      </c>
      <c r="F39" s="167" t="s">
        <v>290</v>
      </c>
      <c r="G39" s="167" t="s">
        <v>13</v>
      </c>
      <c r="H39" s="167" t="s">
        <v>286</v>
      </c>
      <c r="I39" s="167" t="s">
        <v>287</v>
      </c>
      <c r="J39" s="167" t="s">
        <v>302</v>
      </c>
      <c r="K39" s="167" t="s">
        <v>303</v>
      </c>
      <c r="L39" s="167" t="s">
        <v>305</v>
      </c>
      <c r="M39" s="167" t="s">
        <v>293</v>
      </c>
    </row>
    <row r="40" spans="1:13" ht="13">
      <c r="B40" s="481" t="s">
        <v>294</v>
      </c>
      <c r="C40" s="203" t="s">
        <v>295</v>
      </c>
      <c r="D40" s="167" t="s">
        <v>296</v>
      </c>
      <c r="E40" s="167" t="s">
        <v>297</v>
      </c>
      <c r="F40" s="167" t="s">
        <v>298</v>
      </c>
      <c r="G40" s="167" t="s">
        <v>299</v>
      </c>
      <c r="H40" s="167" t="s">
        <v>300</v>
      </c>
      <c r="I40" s="167" t="s">
        <v>301</v>
      </c>
      <c r="J40" s="167" t="s">
        <v>291</v>
      </c>
      <c r="K40" s="167" t="s">
        <v>292</v>
      </c>
      <c r="L40" s="167"/>
      <c r="M40" s="167"/>
    </row>
    <row r="41" spans="1:13">
      <c r="B41" s="489">
        <f t="shared" ref="B41:B49" ca="1" si="0">MAX(D_ref*0.5, Diam_propu)</f>
        <v>29.5</v>
      </c>
      <c r="C41" s="464">
        <f t="shared" ref="C41:C67" ca="1" si="1">1/2*Rho_moyen*PI()*D_var^2/4*Cx/10^6</f>
        <v>2.0931965520709278E-4</v>
      </c>
      <c r="D41" s="461">
        <f ca="1">MpropuPlein+0*MasseSans</f>
        <v>0.10199999999999999</v>
      </c>
      <c r="E41" s="461">
        <f t="shared" ref="E41:E67" ca="1" si="2">m_var - 0.5*m_poudre</f>
        <v>8.5999999999999993E-2</v>
      </c>
      <c r="F41" s="461">
        <f t="shared" ref="F41:F67" ca="1" si="3">m_var - m_poudre</f>
        <v>7.0000000000000007E-2</v>
      </c>
      <c r="G41" s="468">
        <f t="shared" ref="G41:G67" ca="1" si="4">MAX(0, (I_total/Temps_fin_propu)/m_prop-g)</f>
        <v>313.38472093023256</v>
      </c>
      <c r="H41" s="467">
        <f t="shared" ref="H41:H67" ca="1" si="5">Q_var/m_prop</f>
        <v>2.4339494791522417E-3</v>
      </c>
      <c r="I41" s="464">
        <f t="shared" ref="I41:I67" ca="1" si="6">Q_var/m_bal</f>
        <v>2.9902807886727539E-3</v>
      </c>
      <c r="J41" s="464">
        <f t="shared" ref="J41:J67" ca="1" si="7">1/(2*b_prop)*LN(  ((EXP(2*SQRT(a_prop*b_prop)*Temps_fin_propu)+1)^2)  /  (((1+1)^2)*EXP(2*SQRT(a_prop*b_prop)*Temps_fin_propu)))</f>
        <v>445.17004810816763</v>
      </c>
      <c r="K41" s="471">
        <f t="shared" ref="K41:K67" ca="1" si="8">SQRT(a_prop/b_prop)  *  (EXP(2*SQRT(a_prop*b_prop)*Temps_fin_propu)-1)/(EXP(2*SQRT(a_prop*b_prop)*Temps_fin_propu)+1)</f>
        <v>337.65528155209739</v>
      </c>
      <c r="L41" s="474">
        <f t="shared" ref="L41:L67" ca="1" si="9">alt_prop + 1/(2*b_bal) * LN(1+b_bal/g*V_prop^2)</f>
        <v>1043.212408565345</v>
      </c>
      <c r="M41" s="477">
        <f t="shared" ref="M41:M67" ca="1" si="10">Temps_fin_propu + ATAN(SQRT(b_bal/g)*V_prop)/SQRT(b_bal*g)</f>
        <v>10.190198136626632</v>
      </c>
    </row>
    <row r="42" spans="1:13">
      <c r="B42" s="490">
        <f t="shared" ca="1" si="0"/>
        <v>29.5</v>
      </c>
      <c r="C42" s="465">
        <f t="shared" ca="1" si="1"/>
        <v>2.0931965520709278E-4</v>
      </c>
      <c r="D42" s="462">
        <f ca="1">MpropuPlein+0.25*MasseSans</f>
        <v>0.19174999999999998</v>
      </c>
      <c r="E42" s="462">
        <f t="shared" ca="1" si="2"/>
        <v>0.17574999999999999</v>
      </c>
      <c r="F42" s="462">
        <f t="shared" ca="1" si="3"/>
        <v>0.15975</v>
      </c>
      <c r="G42" s="469">
        <f t="shared" ca="1" si="4"/>
        <v>148.3393371266003</v>
      </c>
      <c r="H42" s="465">
        <f t="shared" ca="1" si="5"/>
        <v>1.1910079954884369E-3</v>
      </c>
      <c r="I42" s="465">
        <f t="shared" ca="1" si="6"/>
        <v>1.3102951812650565E-3</v>
      </c>
      <c r="J42" s="465">
        <f t="shared" ca="1" si="7"/>
        <v>267.16920604562824</v>
      </c>
      <c r="K42" s="472">
        <f t="shared" ca="1" si="8"/>
        <v>242.15425259232137</v>
      </c>
      <c r="L42" s="475">
        <f t="shared" ca="1" si="9"/>
        <v>1098.4343001821589</v>
      </c>
      <c r="M42" s="478">
        <f t="shared" ca="1" si="10"/>
        <v>12.827871249539157</v>
      </c>
    </row>
    <row r="43" spans="1:13">
      <c r="B43" s="490">
        <f t="shared" ca="1" si="0"/>
        <v>29.5</v>
      </c>
      <c r="C43" s="465">
        <f t="shared" ca="1" si="1"/>
        <v>2.0931965520709278E-4</v>
      </c>
      <c r="D43" s="462">
        <f ca="1">MpropuPlein+0.5*MasseSans</f>
        <v>0.28149999999999997</v>
      </c>
      <c r="E43" s="462">
        <f t="shared" ca="1" si="2"/>
        <v>0.26549999999999996</v>
      </c>
      <c r="F43" s="462">
        <f t="shared" ca="1" si="3"/>
        <v>0.2495</v>
      </c>
      <c r="G43" s="469">
        <f t="shared" ca="1" si="4"/>
        <v>94.878308851224119</v>
      </c>
      <c r="H43" s="465">
        <f t="shared" ca="1" si="5"/>
        <v>7.8839794804931378E-4</v>
      </c>
      <c r="I43" s="465">
        <f t="shared" ca="1" si="6"/>
        <v>8.3895653389616347E-4</v>
      </c>
      <c r="J43" s="465">
        <f t="shared" ca="1" si="7"/>
        <v>180.98633704876843</v>
      </c>
      <c r="K43" s="472">
        <f t="shared" ca="1" si="8"/>
        <v>172.85149647468984</v>
      </c>
      <c r="L43" s="475">
        <f t="shared" ca="1" si="9"/>
        <v>936.92408161598678</v>
      </c>
      <c r="M43" s="478">
        <f t="shared" ca="1" si="10"/>
        <v>13.152647485936452</v>
      </c>
    </row>
    <row r="44" spans="1:13">
      <c r="B44" s="490">
        <f t="shared" ca="1" si="0"/>
        <v>29.5</v>
      </c>
      <c r="C44" s="465">
        <f t="shared" ca="1" si="1"/>
        <v>2.0931965520709278E-4</v>
      </c>
      <c r="D44" s="462">
        <f ca="1">MpropuPlein+0.75*MasseSans</f>
        <v>0.37124999999999997</v>
      </c>
      <c r="E44" s="462">
        <f t="shared" ca="1" si="2"/>
        <v>0.35524999999999995</v>
      </c>
      <c r="F44" s="462">
        <f t="shared" ca="1" si="3"/>
        <v>0.33925</v>
      </c>
      <c r="G44" s="469">
        <f t="shared" ca="1" si="4"/>
        <v>68.42996059113301</v>
      </c>
      <c r="H44" s="465">
        <f t="shared" ca="1" si="5"/>
        <v>5.8921788939364625E-4</v>
      </c>
      <c r="I44" s="465">
        <f t="shared" ca="1" si="6"/>
        <v>6.1700708977772381E-4</v>
      </c>
      <c r="J44" s="465">
        <f t="shared" ca="1" si="7"/>
        <v>133.33196871537413</v>
      </c>
      <c r="K44" s="472">
        <f t="shared" ca="1" si="8"/>
        <v>129.94787482397325</v>
      </c>
      <c r="L44" s="475">
        <f t="shared" ca="1" si="9"/>
        <v>719.80649794416115</v>
      </c>
      <c r="M44" s="478">
        <f t="shared" ca="1" si="10"/>
        <v>12.288618784969398</v>
      </c>
    </row>
    <row r="45" spans="1:13">
      <c r="B45" s="490">
        <f t="shared" ca="1" si="0"/>
        <v>29.5</v>
      </c>
      <c r="C45" s="465">
        <f t="shared" ca="1" si="1"/>
        <v>2.0931965520709278E-4</v>
      </c>
      <c r="D45" s="462">
        <f ca="1">MpropuPlein+1*MasseSans</f>
        <v>0.46099999999999997</v>
      </c>
      <c r="E45" s="462">
        <f t="shared" ca="1" si="2"/>
        <v>0.44499999999999995</v>
      </c>
      <c r="F45" s="462">
        <f t="shared" ca="1" si="3"/>
        <v>0.42899999999999999</v>
      </c>
      <c r="G45" s="469">
        <f t="shared" ca="1" si="4"/>
        <v>52.650103370786525</v>
      </c>
      <c r="H45" s="465">
        <f t="shared" ca="1" si="5"/>
        <v>4.7038124765638831E-4</v>
      </c>
      <c r="I45" s="465">
        <f t="shared" ca="1" si="6"/>
        <v>4.8792460421233748E-4</v>
      </c>
      <c r="J45" s="465">
        <f t="shared" ca="1" si="7"/>
        <v>103.60624518917093</v>
      </c>
      <c r="K45" s="472">
        <f t="shared" ca="1" si="8"/>
        <v>101.95557543393099</v>
      </c>
      <c r="L45" s="475">
        <f t="shared" ca="1" si="9"/>
        <v>530.6666645057071</v>
      </c>
      <c r="M45" s="478">
        <f t="shared" ca="1" si="10"/>
        <v>11.010505738898038</v>
      </c>
    </row>
    <row r="46" spans="1:13">
      <c r="B46" s="490">
        <f t="shared" ca="1" si="0"/>
        <v>29.5</v>
      </c>
      <c r="C46" s="465">
        <f t="shared" ca="1" si="1"/>
        <v>2.0931965520709278E-4</v>
      </c>
      <c r="D46" s="462">
        <f ca="1">MpropuPlein+1.25*MasseSans</f>
        <v>0.55074999999999996</v>
      </c>
      <c r="E46" s="462">
        <f t="shared" ca="1" si="2"/>
        <v>0.53474999999999995</v>
      </c>
      <c r="F46" s="462">
        <f t="shared" ca="1" si="3"/>
        <v>0.51874999999999993</v>
      </c>
      <c r="G46" s="469">
        <f t="shared" ca="1" si="4"/>
        <v>42.167084618980837</v>
      </c>
      <c r="H46" s="465">
        <f t="shared" ca="1" si="5"/>
        <v>3.9143460534285702E-4</v>
      </c>
      <c r="I46" s="465">
        <f t="shared" ca="1" si="6"/>
        <v>4.0350776907391387E-4</v>
      </c>
      <c r="J46" s="465">
        <f t="shared" ca="1" si="7"/>
        <v>83.422193058471279</v>
      </c>
      <c r="K46" s="472">
        <f t="shared" ca="1" si="8"/>
        <v>82.525920665382955</v>
      </c>
      <c r="L46" s="475">
        <f t="shared" ca="1" si="9"/>
        <v>389.44314733177288</v>
      </c>
      <c r="M46" s="478">
        <f t="shared" ca="1" si="10"/>
        <v>9.7371980460971539</v>
      </c>
    </row>
    <row r="47" spans="1:13">
      <c r="B47" s="490">
        <f t="shared" ca="1" si="0"/>
        <v>29.5</v>
      </c>
      <c r="C47" s="465">
        <f t="shared" ca="1" si="1"/>
        <v>2.0931965520709278E-4</v>
      </c>
      <c r="D47" s="462">
        <f ca="1">MpropuPlein+1.5*MasseSans</f>
        <v>0.64049999999999996</v>
      </c>
      <c r="E47" s="462">
        <f t="shared" ca="1" si="2"/>
        <v>0.62449999999999994</v>
      </c>
      <c r="F47" s="462">
        <f t="shared" ca="1" si="3"/>
        <v>0.60849999999999993</v>
      </c>
      <c r="G47" s="469">
        <f t="shared" ca="1" si="4"/>
        <v>34.697199359487591</v>
      </c>
      <c r="H47" s="465">
        <f t="shared" ca="1" si="5"/>
        <v>3.3517959200495245E-4</v>
      </c>
      <c r="I47" s="465">
        <f t="shared" ca="1" si="6"/>
        <v>3.4399285983088384E-4</v>
      </c>
      <c r="J47" s="465">
        <f t="shared" ca="1" si="7"/>
        <v>68.862951832652683</v>
      </c>
      <c r="K47" s="472">
        <f t="shared" ca="1" si="8"/>
        <v>68.337994917578584</v>
      </c>
      <c r="L47" s="475">
        <f t="shared" ca="1" si="9"/>
        <v>289.29658013711582</v>
      </c>
      <c r="M47" s="478">
        <f t="shared" ca="1" si="10"/>
        <v>8.6193828500745973</v>
      </c>
    </row>
    <row r="48" spans="1:13">
      <c r="B48" s="490">
        <f t="shared" ca="1" si="0"/>
        <v>29.5</v>
      </c>
      <c r="C48" s="465">
        <f t="shared" ca="1" si="1"/>
        <v>2.0931965520709278E-4</v>
      </c>
      <c r="D48" s="462">
        <f ca="1">MpropuPlein+1.75*MasseSans</f>
        <v>0.73024999999999995</v>
      </c>
      <c r="E48" s="462">
        <f t="shared" ca="1" si="2"/>
        <v>0.71424999999999994</v>
      </c>
      <c r="F48" s="462">
        <f t="shared" ca="1" si="3"/>
        <v>0.69824999999999993</v>
      </c>
      <c r="G48" s="469">
        <f t="shared" ca="1" si="4"/>
        <v>29.104590129506477</v>
      </c>
      <c r="H48" s="465">
        <f t="shared" ca="1" si="5"/>
        <v>2.9306217039844982E-4</v>
      </c>
      <c r="I48" s="465">
        <f t="shared" ca="1" si="6"/>
        <v>2.9977752267396036E-4</v>
      </c>
      <c r="J48" s="465">
        <f t="shared" ca="1" si="7"/>
        <v>57.881165800403387</v>
      </c>
      <c r="K48" s="472">
        <f t="shared" ca="1" si="8"/>
        <v>57.556101402106165</v>
      </c>
      <c r="L48" s="475">
        <f t="shared" ca="1" si="9"/>
        <v>218.7145892559534</v>
      </c>
      <c r="M48" s="478">
        <f t="shared" ca="1" si="10"/>
        <v>7.6803266828449939</v>
      </c>
    </row>
    <row r="49" spans="2:13">
      <c r="B49" s="491">
        <f t="shared" ca="1" si="0"/>
        <v>29.5</v>
      </c>
      <c r="C49" s="466">
        <f t="shared" ca="1" si="1"/>
        <v>2.0931965520709278E-4</v>
      </c>
      <c r="D49" s="463">
        <f ca="1">MpropuPlein+2*MasseSans</f>
        <v>0.82</v>
      </c>
      <c r="E49" s="463">
        <f t="shared" ca="1" si="2"/>
        <v>0.80399999999999994</v>
      </c>
      <c r="F49" s="463">
        <f t="shared" ca="1" si="3"/>
        <v>0.78799999999999992</v>
      </c>
      <c r="G49" s="470">
        <f t="shared" ca="1" si="4"/>
        <v>24.760579601990052</v>
      </c>
      <c r="H49" s="466">
        <f t="shared" ca="1" si="5"/>
        <v>2.6034782985956818E-4</v>
      </c>
      <c r="I49" s="466">
        <f t="shared" ca="1" si="6"/>
        <v>2.6563408021204669E-4</v>
      </c>
      <c r="J49" s="466">
        <f t="shared" ca="1" si="7"/>
        <v>49.309790308535987</v>
      </c>
      <c r="K49" s="473">
        <f t="shared" ca="1" si="8"/>
        <v>49.099862169462455</v>
      </c>
      <c r="L49" s="476">
        <f t="shared" ca="1" si="9"/>
        <v>168.34006704196247</v>
      </c>
      <c r="M49" s="479">
        <f t="shared" ca="1" si="10"/>
        <v>6.9002497971227061</v>
      </c>
    </row>
    <row r="50" spans="2:13">
      <c r="B50" s="489">
        <f t="shared" ref="B50:B58" si="11">D_ref</f>
        <v>59</v>
      </c>
      <c r="C50" s="464">
        <f t="shared" si="1"/>
        <v>8.3727862082837114E-4</v>
      </c>
      <c r="D50" s="461">
        <f ca="1">MpropuPlein+0*MasseSans</f>
        <v>0.10199999999999999</v>
      </c>
      <c r="E50" s="461">
        <f t="shared" ca="1" si="2"/>
        <v>8.5999999999999993E-2</v>
      </c>
      <c r="F50" s="461">
        <f t="shared" ca="1" si="3"/>
        <v>7.0000000000000007E-2</v>
      </c>
      <c r="G50" s="468">
        <f t="shared" ca="1" si="4"/>
        <v>313.38472093023256</v>
      </c>
      <c r="H50" s="464">
        <f t="shared" ca="1" si="5"/>
        <v>9.7357979166089667E-3</v>
      </c>
      <c r="I50" s="464">
        <f t="shared" ca="1" si="6"/>
        <v>1.1961123154691016E-2</v>
      </c>
      <c r="J50" s="464">
        <f t="shared" ca="1" si="7"/>
        <v>287.72449017440965</v>
      </c>
      <c r="K50" s="471">
        <f t="shared" ca="1" si="8"/>
        <v>179.0814659680735</v>
      </c>
      <c r="L50" s="474">
        <f t="shared" ca="1" si="9"/>
        <v>442.03433137652576</v>
      </c>
      <c r="M50" s="477">
        <f t="shared" ca="1" si="10"/>
        <v>6.1227037431729601</v>
      </c>
    </row>
    <row r="51" spans="2:13">
      <c r="B51" s="490">
        <f t="shared" si="11"/>
        <v>59</v>
      </c>
      <c r="C51" s="465">
        <f t="shared" si="1"/>
        <v>8.3727862082837114E-4</v>
      </c>
      <c r="D51" s="462">
        <f ca="1">MpropuPlein+0.25*MasseSans</f>
        <v>0.19174999999999998</v>
      </c>
      <c r="E51" s="462">
        <f t="shared" ca="1" si="2"/>
        <v>0.17574999999999999</v>
      </c>
      <c r="F51" s="462">
        <f t="shared" ca="1" si="3"/>
        <v>0.15975</v>
      </c>
      <c r="G51" s="469">
        <f t="shared" ca="1" si="4"/>
        <v>148.3393371266003</v>
      </c>
      <c r="H51" s="465">
        <f t="shared" ca="1" si="5"/>
        <v>4.7640319819537476E-3</v>
      </c>
      <c r="I51" s="465">
        <f t="shared" ca="1" si="6"/>
        <v>5.2411807250602261E-3</v>
      </c>
      <c r="J51" s="465">
        <f t="shared" ca="1" si="7"/>
        <v>214.56872743547285</v>
      </c>
      <c r="K51" s="472">
        <f t="shared" ca="1" si="8"/>
        <v>164.64044447706567</v>
      </c>
      <c r="L51" s="475">
        <f t="shared" ca="1" si="9"/>
        <v>475.93045162833494</v>
      </c>
      <c r="M51" s="478">
        <f t="shared" ca="1" si="10"/>
        <v>7.7941597856907148</v>
      </c>
    </row>
    <row r="52" spans="2:13">
      <c r="B52" s="490">
        <f t="shared" si="11"/>
        <v>59</v>
      </c>
      <c r="C52" s="465">
        <f t="shared" si="1"/>
        <v>8.3727862082837114E-4</v>
      </c>
      <c r="D52" s="462">
        <f ca="1">MpropuPlein+0.5*MasseSans</f>
        <v>0.28149999999999997</v>
      </c>
      <c r="E52" s="462">
        <f t="shared" ca="1" si="2"/>
        <v>0.26549999999999996</v>
      </c>
      <c r="F52" s="462">
        <f t="shared" ca="1" si="3"/>
        <v>0.2495</v>
      </c>
      <c r="G52" s="469">
        <f t="shared" ca="1" si="4"/>
        <v>94.878308851224119</v>
      </c>
      <c r="H52" s="465">
        <f t="shared" ca="1" si="5"/>
        <v>3.1535917921972551E-3</v>
      </c>
      <c r="I52" s="465">
        <f t="shared" ca="1" si="6"/>
        <v>3.3558261355846539E-3</v>
      </c>
      <c r="J52" s="465">
        <f t="shared" ca="1" si="7"/>
        <v>160.81262620509219</v>
      </c>
      <c r="K52" s="472">
        <f t="shared" ca="1" si="8"/>
        <v>138.4728059484018</v>
      </c>
      <c r="L52" s="475">
        <f t="shared" ca="1" si="9"/>
        <v>462.19630619581812</v>
      </c>
      <c r="M52" s="478">
        <f t="shared" ca="1" si="10"/>
        <v>8.6057244302838498</v>
      </c>
    </row>
    <row r="53" spans="2:13">
      <c r="B53" s="490">
        <f t="shared" si="11"/>
        <v>59</v>
      </c>
      <c r="C53" s="465">
        <f t="shared" si="1"/>
        <v>8.3727862082837114E-4</v>
      </c>
      <c r="D53" s="462">
        <f ca="1">MpropuPlein+0.75*MasseSans</f>
        <v>0.37124999999999997</v>
      </c>
      <c r="E53" s="462">
        <f t="shared" ca="1" si="2"/>
        <v>0.35524999999999995</v>
      </c>
      <c r="F53" s="462">
        <f t="shared" ca="1" si="3"/>
        <v>0.33925</v>
      </c>
      <c r="G53" s="469">
        <f t="shared" ca="1" si="4"/>
        <v>68.42996059113301</v>
      </c>
      <c r="H53" s="465">
        <f t="shared" ca="1" si="5"/>
        <v>2.356871557574585E-3</v>
      </c>
      <c r="I53" s="465">
        <f t="shared" ca="1" si="6"/>
        <v>2.4680283591108952E-3</v>
      </c>
      <c r="J53" s="465">
        <f t="shared" ca="1" si="7"/>
        <v>124.26563166930096</v>
      </c>
      <c r="K53" s="472">
        <f t="shared" ca="1" si="8"/>
        <v>113.45184079280732</v>
      </c>
      <c r="L53" s="475">
        <f t="shared" ca="1" si="9"/>
        <v>416.83513090784777</v>
      </c>
      <c r="M53" s="478">
        <f t="shared" ca="1" si="10"/>
        <v>8.8353481452633691</v>
      </c>
    </row>
    <row r="54" spans="2:13">
      <c r="B54" s="490">
        <f t="shared" si="11"/>
        <v>59</v>
      </c>
      <c r="C54" s="465">
        <f t="shared" si="1"/>
        <v>8.3727862082837114E-4</v>
      </c>
      <c r="D54" s="462">
        <f ca="1">MpropuPlein+1*MasseSans</f>
        <v>0.46099999999999997</v>
      </c>
      <c r="E54" s="462">
        <f t="shared" ca="1" si="2"/>
        <v>0.44499999999999995</v>
      </c>
      <c r="F54" s="462">
        <f t="shared" ca="1" si="3"/>
        <v>0.42899999999999999</v>
      </c>
      <c r="G54" s="469">
        <f t="shared" ca="1" si="4"/>
        <v>52.650103370786525</v>
      </c>
      <c r="H54" s="465">
        <f t="shared" ca="1" si="5"/>
        <v>1.8815249906255532E-3</v>
      </c>
      <c r="I54" s="465">
        <f t="shared" ca="1" si="6"/>
        <v>1.9516984168493499E-3</v>
      </c>
      <c r="J54" s="465">
        <f t="shared" ca="1" si="7"/>
        <v>99.002459760920587</v>
      </c>
      <c r="K54" s="472">
        <f t="shared" ca="1" si="8"/>
        <v>93.291635393409635</v>
      </c>
      <c r="L54" s="475">
        <f t="shared" ca="1" si="9"/>
        <v>356.4347970447879</v>
      </c>
      <c r="M54" s="478">
        <f t="shared" ca="1" si="10"/>
        <v>8.6557736334035251</v>
      </c>
    </row>
    <row r="55" spans="2:13">
      <c r="B55" s="490">
        <f t="shared" si="11"/>
        <v>59</v>
      </c>
      <c r="C55" s="465">
        <f t="shared" si="1"/>
        <v>8.3727862082837114E-4</v>
      </c>
      <c r="D55" s="462">
        <f ca="1">MpropuPlein+1.25*MasseSans</f>
        <v>0.55074999999999996</v>
      </c>
      <c r="E55" s="462">
        <f t="shared" ca="1" si="2"/>
        <v>0.53474999999999995</v>
      </c>
      <c r="F55" s="462">
        <f t="shared" ca="1" si="3"/>
        <v>0.51874999999999993</v>
      </c>
      <c r="G55" s="469">
        <f t="shared" ca="1" si="4"/>
        <v>42.167084618980837</v>
      </c>
      <c r="H55" s="465">
        <f t="shared" ca="1" si="5"/>
        <v>1.5657384213714281E-3</v>
      </c>
      <c r="I55" s="465">
        <f t="shared" ca="1" si="6"/>
        <v>1.6140310762956555E-3</v>
      </c>
      <c r="J55" s="465">
        <f t="shared" ca="1" si="7"/>
        <v>80.864296537826206</v>
      </c>
      <c r="K55" s="472">
        <f t="shared" ca="1" si="8"/>
        <v>77.61873002011852</v>
      </c>
      <c r="L55" s="475">
        <f t="shared" ca="1" si="9"/>
        <v>294.22892193070561</v>
      </c>
      <c r="M55" s="478">
        <f t="shared" ca="1" si="10"/>
        <v>8.2241563508066324</v>
      </c>
    </row>
    <row r="56" spans="2:13">
      <c r="B56" s="490">
        <f t="shared" si="11"/>
        <v>59</v>
      </c>
      <c r="C56" s="465">
        <f t="shared" si="1"/>
        <v>8.3727862082837114E-4</v>
      </c>
      <c r="D56" s="462">
        <f ca="1">MpropuPlein+1.5*MasseSans</f>
        <v>0.64049999999999996</v>
      </c>
      <c r="E56" s="462">
        <f t="shared" ca="1" si="2"/>
        <v>0.62449999999999994</v>
      </c>
      <c r="F56" s="462">
        <f t="shared" ca="1" si="3"/>
        <v>0.60849999999999993</v>
      </c>
      <c r="G56" s="469">
        <f t="shared" ca="1" si="4"/>
        <v>34.697199359487591</v>
      </c>
      <c r="H56" s="465">
        <f t="shared" ca="1" si="5"/>
        <v>1.3407183680198098E-3</v>
      </c>
      <c r="I56" s="465">
        <f t="shared" ca="1" si="6"/>
        <v>1.3759714393235354E-3</v>
      </c>
      <c r="J56" s="465">
        <f t="shared" ca="1" si="7"/>
        <v>67.343384376111061</v>
      </c>
      <c r="K56" s="472">
        <f t="shared" ca="1" si="8"/>
        <v>65.388101407841958</v>
      </c>
      <c r="L56" s="475">
        <f t="shared" ca="1" si="9"/>
        <v>238.06618941397949</v>
      </c>
      <c r="M56" s="478">
        <f t="shared" ca="1" si="10"/>
        <v>7.671606209735117</v>
      </c>
    </row>
    <row r="57" spans="2:13">
      <c r="B57" s="490">
        <f t="shared" si="11"/>
        <v>59</v>
      </c>
      <c r="C57" s="465">
        <f t="shared" si="1"/>
        <v>8.3727862082837114E-4</v>
      </c>
      <c r="D57" s="462">
        <f ca="1">MpropuPlein+1.75*MasseSans</f>
        <v>0.73024999999999995</v>
      </c>
      <c r="E57" s="462">
        <f t="shared" ca="1" si="2"/>
        <v>0.71424999999999994</v>
      </c>
      <c r="F57" s="462">
        <f t="shared" ca="1" si="3"/>
        <v>0.69824999999999993</v>
      </c>
      <c r="G57" s="469">
        <f t="shared" ca="1" si="4"/>
        <v>29.104590129506477</v>
      </c>
      <c r="H57" s="465">
        <f t="shared" ca="1" si="5"/>
        <v>1.1722486815937993E-3</v>
      </c>
      <c r="I57" s="465">
        <f t="shared" ca="1" si="6"/>
        <v>1.1991100906958414E-3</v>
      </c>
      <c r="J57" s="465">
        <f t="shared" ca="1" si="7"/>
        <v>56.931471144510667</v>
      </c>
      <c r="K57" s="472">
        <f t="shared" ca="1" si="8"/>
        <v>55.698202028808609</v>
      </c>
      <c r="L57" s="475">
        <f t="shared" ca="1" si="9"/>
        <v>190.99180575545927</v>
      </c>
      <c r="M57" s="478">
        <f t="shared" ca="1" si="10"/>
        <v>7.089062411057899</v>
      </c>
    </row>
    <row r="58" spans="2:13">
      <c r="B58" s="491">
        <f t="shared" si="11"/>
        <v>59</v>
      </c>
      <c r="C58" s="466">
        <f t="shared" si="1"/>
        <v>8.3727862082837114E-4</v>
      </c>
      <c r="D58" s="463">
        <f ca="1">MpropuPlein+2*MasseSans</f>
        <v>0.82</v>
      </c>
      <c r="E58" s="463">
        <f t="shared" ca="1" si="2"/>
        <v>0.80399999999999994</v>
      </c>
      <c r="F58" s="463">
        <f t="shared" ca="1" si="3"/>
        <v>0.78799999999999992</v>
      </c>
      <c r="G58" s="470">
        <f t="shared" ca="1" si="4"/>
        <v>24.760579601990052</v>
      </c>
      <c r="H58" s="466">
        <f t="shared" ca="1" si="5"/>
        <v>1.0413913194382727E-3</v>
      </c>
      <c r="I58" s="466">
        <f t="shared" ca="1" si="6"/>
        <v>1.0625363208481868E-3</v>
      </c>
      <c r="J58" s="466">
        <f t="shared" ca="1" si="7"/>
        <v>48.692580221649358</v>
      </c>
      <c r="K58" s="473">
        <f t="shared" ca="1" si="8"/>
        <v>47.886019392243561</v>
      </c>
      <c r="L58" s="476">
        <f t="shared" ca="1" si="9"/>
        <v>153.08220976381062</v>
      </c>
      <c r="M58" s="479">
        <f t="shared" ca="1" si="10"/>
        <v>6.5284824154459686</v>
      </c>
    </row>
    <row r="59" spans="2:13">
      <c r="B59" s="489">
        <f t="shared" ref="B59:B67" si="12">D_ref*1.5</f>
        <v>88.5</v>
      </c>
      <c r="C59" s="464">
        <f t="shared" si="1"/>
        <v>1.883876896863835E-3</v>
      </c>
      <c r="D59" s="461">
        <f ca="1">MpropuPlein+0*MasseSans</f>
        <v>0.10199999999999999</v>
      </c>
      <c r="E59" s="461">
        <f t="shared" ca="1" si="2"/>
        <v>8.5999999999999993E-2</v>
      </c>
      <c r="F59" s="461">
        <f t="shared" ca="1" si="3"/>
        <v>7.0000000000000007E-2</v>
      </c>
      <c r="G59" s="468">
        <f t="shared" ca="1" si="4"/>
        <v>313.38472093023256</v>
      </c>
      <c r="H59" s="464">
        <f t="shared" ca="1" si="5"/>
        <v>2.1905545312370177E-2</v>
      </c>
      <c r="I59" s="464">
        <f t="shared" ca="1" si="6"/>
        <v>2.6912527098054782E-2</v>
      </c>
      <c r="J59" s="464">
        <f t="shared" ca="1" si="7"/>
        <v>207.57564487167977</v>
      </c>
      <c r="K59" s="471">
        <f t="shared" ca="1" si="8"/>
        <v>119.60173573879825</v>
      </c>
      <c r="L59" s="474">
        <f t="shared" ca="1" si="9"/>
        <v>276.22271217044045</v>
      </c>
      <c r="M59" s="477">
        <f t="shared" ca="1" si="10"/>
        <v>4.7490124137637082</v>
      </c>
    </row>
    <row r="60" spans="2:13">
      <c r="B60" s="490">
        <f t="shared" si="12"/>
        <v>88.5</v>
      </c>
      <c r="C60" s="465">
        <f t="shared" si="1"/>
        <v>1.883876896863835E-3</v>
      </c>
      <c r="D60" s="462">
        <f ca="1">MpropuPlein+0.25*MasseSans</f>
        <v>0.19174999999999998</v>
      </c>
      <c r="E60" s="462">
        <f t="shared" ca="1" si="2"/>
        <v>0.17574999999999999</v>
      </c>
      <c r="F60" s="462">
        <f t="shared" ca="1" si="3"/>
        <v>0.15975</v>
      </c>
      <c r="G60" s="469">
        <f t="shared" ca="1" si="4"/>
        <v>148.3393371266003</v>
      </c>
      <c r="H60" s="465">
        <f t="shared" ca="1" si="5"/>
        <v>1.0719071959395933E-2</v>
      </c>
      <c r="I60" s="465">
        <f t="shared" ca="1" si="6"/>
        <v>1.1792656631385508E-2</v>
      </c>
      <c r="J60" s="465">
        <f t="shared" ca="1" si="7"/>
        <v>171.21186428069416</v>
      </c>
      <c r="K60" s="472">
        <f t="shared" ca="1" si="8"/>
        <v>116.13105604600871</v>
      </c>
      <c r="L60" s="475">
        <f t="shared" ca="1" si="9"/>
        <v>291.86376571105603</v>
      </c>
      <c r="M60" s="478">
        <f t="shared" ca="1" si="10"/>
        <v>5.9025566714069821</v>
      </c>
    </row>
    <row r="61" spans="2:13">
      <c r="B61" s="490">
        <f t="shared" si="12"/>
        <v>88.5</v>
      </c>
      <c r="C61" s="465">
        <f t="shared" si="1"/>
        <v>1.883876896863835E-3</v>
      </c>
      <c r="D61" s="462">
        <f ca="1">MpropuPlein+0.5*MasseSans</f>
        <v>0.28149999999999997</v>
      </c>
      <c r="E61" s="462">
        <f t="shared" ca="1" si="2"/>
        <v>0.26549999999999996</v>
      </c>
      <c r="F61" s="462">
        <f t="shared" ca="1" si="3"/>
        <v>0.2495</v>
      </c>
      <c r="G61" s="469">
        <f t="shared" ca="1" si="4"/>
        <v>94.878308851224119</v>
      </c>
      <c r="H61" s="465">
        <f t="shared" ca="1" si="5"/>
        <v>7.0955815324438244E-3</v>
      </c>
      <c r="I61" s="465">
        <f t="shared" ca="1" si="6"/>
        <v>7.5506088050654712E-3</v>
      </c>
      <c r="J61" s="465">
        <f t="shared" ca="1" si="7"/>
        <v>138.77848016711735</v>
      </c>
      <c r="K61" s="472">
        <f t="shared" ca="1" si="8"/>
        <v>107.26441302945213</v>
      </c>
      <c r="L61" s="475">
        <f t="shared" ca="1" si="9"/>
        <v>290.29294073300548</v>
      </c>
      <c r="M61" s="478">
        <f t="shared" ca="1" si="10"/>
        <v>6.5804324603275255</v>
      </c>
    </row>
    <row r="62" spans="2:13">
      <c r="B62" s="490">
        <f t="shared" si="12"/>
        <v>88.5</v>
      </c>
      <c r="C62" s="465">
        <f t="shared" si="1"/>
        <v>1.883876896863835E-3</v>
      </c>
      <c r="D62" s="462">
        <f ca="1">MpropuPlein+0.75*MasseSans</f>
        <v>0.37124999999999997</v>
      </c>
      <c r="E62" s="462">
        <f t="shared" ca="1" si="2"/>
        <v>0.35524999999999995</v>
      </c>
      <c r="F62" s="462">
        <f t="shared" ca="1" si="3"/>
        <v>0.33925</v>
      </c>
      <c r="G62" s="469">
        <f t="shared" ca="1" si="4"/>
        <v>68.42996059113301</v>
      </c>
      <c r="H62" s="465">
        <f t="shared" ca="1" si="5"/>
        <v>5.3029610045428159E-3</v>
      </c>
      <c r="I62" s="465">
        <f t="shared" ca="1" si="6"/>
        <v>5.5530638079995132E-3</v>
      </c>
      <c r="J62" s="465">
        <f t="shared" ca="1" si="7"/>
        <v>112.70835119384475</v>
      </c>
      <c r="K62" s="472">
        <f t="shared" ca="1" si="8"/>
        <v>94.865426204734206</v>
      </c>
      <c r="L62" s="475">
        <f t="shared" ca="1" si="9"/>
        <v>275.44233646022178</v>
      </c>
      <c r="M62" s="478">
        <f t="shared" ca="1" si="10"/>
        <v>6.9431478421324044</v>
      </c>
    </row>
    <row r="63" spans="2:13">
      <c r="B63" s="490">
        <f t="shared" si="12"/>
        <v>88.5</v>
      </c>
      <c r="C63" s="465">
        <f t="shared" si="1"/>
        <v>1.883876896863835E-3</v>
      </c>
      <c r="D63" s="462">
        <f ca="1">MpropuPlein+1*MasseSans</f>
        <v>0.46099999999999997</v>
      </c>
      <c r="E63" s="462">
        <f t="shared" ca="1" si="2"/>
        <v>0.44499999999999995</v>
      </c>
      <c r="F63" s="462">
        <f t="shared" ca="1" si="3"/>
        <v>0.42899999999999999</v>
      </c>
      <c r="G63" s="469">
        <f t="shared" ca="1" si="4"/>
        <v>52.650103370786525</v>
      </c>
      <c r="H63" s="465">
        <f t="shared" ca="1" si="5"/>
        <v>4.2334312289074947E-3</v>
      </c>
      <c r="I63" s="465">
        <f t="shared" ca="1" si="6"/>
        <v>4.3913214379110374E-3</v>
      </c>
      <c r="J63" s="465">
        <f t="shared" ca="1" si="7"/>
        <v>92.59049509008689</v>
      </c>
      <c r="K63" s="472">
        <f t="shared" ca="1" si="8"/>
        <v>82.207947376201005</v>
      </c>
      <c r="L63" s="475">
        <f t="shared" ca="1" si="9"/>
        <v>251.15030053575441</v>
      </c>
      <c r="M63" s="478">
        <f t="shared" ca="1" si="10"/>
        <v>7.0541263586304694</v>
      </c>
    </row>
    <row r="64" spans="2:13">
      <c r="B64" s="490">
        <f t="shared" si="12"/>
        <v>88.5</v>
      </c>
      <c r="C64" s="465">
        <f t="shared" si="1"/>
        <v>1.883876896863835E-3</v>
      </c>
      <c r="D64" s="462">
        <f ca="1">MpropuPlein+1.25*MasseSans</f>
        <v>0.55074999999999996</v>
      </c>
      <c r="E64" s="462">
        <f t="shared" ca="1" si="2"/>
        <v>0.53474999999999995</v>
      </c>
      <c r="F64" s="462">
        <f t="shared" ca="1" si="3"/>
        <v>0.51874999999999993</v>
      </c>
      <c r="G64" s="469">
        <f t="shared" ca="1" si="4"/>
        <v>42.167084618980837</v>
      </c>
      <c r="H64" s="465">
        <f t="shared" ca="1" si="5"/>
        <v>3.5229114480857132E-3</v>
      </c>
      <c r="I64" s="465">
        <f t="shared" ca="1" si="6"/>
        <v>3.6315699216652245E-3</v>
      </c>
      <c r="J64" s="465">
        <f t="shared" ca="1" si="7"/>
        <v>77.105237093595676</v>
      </c>
      <c r="K64" s="472">
        <f t="shared" ca="1" si="8"/>
        <v>70.830906540366499</v>
      </c>
      <c r="L64" s="475">
        <f t="shared" ca="1" si="9"/>
        <v>221.65161772604597</v>
      </c>
      <c r="M64" s="478">
        <f t="shared" ca="1" si="10"/>
        <v>6.9683175493655476</v>
      </c>
    </row>
    <row r="65" spans="2:13">
      <c r="B65" s="490">
        <f t="shared" si="12"/>
        <v>88.5</v>
      </c>
      <c r="C65" s="465">
        <f t="shared" si="1"/>
        <v>1.883876896863835E-3</v>
      </c>
      <c r="D65" s="462">
        <f ca="1">MpropuPlein+1.5*MasseSans</f>
        <v>0.64049999999999996</v>
      </c>
      <c r="E65" s="462">
        <f t="shared" ca="1" si="2"/>
        <v>0.62449999999999994</v>
      </c>
      <c r="F65" s="462">
        <f t="shared" ca="1" si="3"/>
        <v>0.60849999999999993</v>
      </c>
      <c r="G65" s="469">
        <f t="shared" ca="1" si="4"/>
        <v>34.697199359487591</v>
      </c>
      <c r="H65" s="465">
        <f t="shared" ca="1" si="5"/>
        <v>3.0166163280445717E-3</v>
      </c>
      <c r="I65" s="465">
        <f t="shared" ca="1" si="6"/>
        <v>3.0959357384779543E-3</v>
      </c>
      <c r="J65" s="465">
        <f t="shared" ca="1" si="7"/>
        <v>65.032225454050931</v>
      </c>
      <c r="K65" s="472">
        <f t="shared" ca="1" si="8"/>
        <v>61.096765365157836</v>
      </c>
      <c r="L65" s="475">
        <f t="shared" ca="1" si="9"/>
        <v>190.74939471758697</v>
      </c>
      <c r="M65" s="478">
        <f t="shared" ca="1" si="10"/>
        <v>6.7414937925618181</v>
      </c>
    </row>
    <row r="66" spans="2:13">
      <c r="B66" s="490">
        <f t="shared" si="12"/>
        <v>88.5</v>
      </c>
      <c r="C66" s="465">
        <f t="shared" si="1"/>
        <v>1.883876896863835E-3</v>
      </c>
      <c r="D66" s="462">
        <f ca="1">MpropuPlein+1.75*MasseSans</f>
        <v>0.73024999999999995</v>
      </c>
      <c r="E66" s="462">
        <f t="shared" ca="1" si="2"/>
        <v>0.71424999999999994</v>
      </c>
      <c r="F66" s="462">
        <f t="shared" ca="1" si="3"/>
        <v>0.69824999999999993</v>
      </c>
      <c r="G66" s="469">
        <f t="shared" ca="1" si="4"/>
        <v>29.104590129506477</v>
      </c>
      <c r="H66" s="465">
        <f t="shared" ca="1" si="5"/>
        <v>2.6375595335860484E-3</v>
      </c>
      <c r="I66" s="465">
        <f t="shared" ca="1" si="6"/>
        <v>2.6979977040656427E-3</v>
      </c>
      <c r="J66" s="465">
        <f t="shared" ca="1" si="7"/>
        <v>55.453463882006567</v>
      </c>
      <c r="K66" s="472">
        <f t="shared" ca="1" si="8"/>
        <v>52.902159678307548</v>
      </c>
      <c r="L66" s="475">
        <f t="shared" ca="1" si="9"/>
        <v>161.23708308838005</v>
      </c>
      <c r="M66" s="478">
        <f t="shared" ca="1" si="10"/>
        <v>6.426538785480159</v>
      </c>
    </row>
    <row r="67" spans="2:13">
      <c r="B67" s="491">
        <f t="shared" si="12"/>
        <v>88.5</v>
      </c>
      <c r="C67" s="466">
        <f t="shared" si="1"/>
        <v>1.883876896863835E-3</v>
      </c>
      <c r="D67" s="463">
        <f ca="1">MpropuPlein+2*MasseSans</f>
        <v>0.82</v>
      </c>
      <c r="E67" s="463">
        <f t="shared" ca="1" si="2"/>
        <v>0.80399999999999994</v>
      </c>
      <c r="F67" s="463">
        <f t="shared" ca="1" si="3"/>
        <v>0.78799999999999992</v>
      </c>
      <c r="G67" s="470">
        <f t="shared" ca="1" si="4"/>
        <v>24.760579601990052</v>
      </c>
      <c r="H67" s="466">
        <f t="shared" ca="1" si="5"/>
        <v>2.3431304687361134E-3</v>
      </c>
      <c r="I67" s="466">
        <f t="shared" ca="1" si="6"/>
        <v>2.3907067219084204E-3</v>
      </c>
      <c r="J67" s="466">
        <f t="shared" ca="1" si="7"/>
        <v>47.716536921037637</v>
      </c>
      <c r="K67" s="473">
        <f t="shared" ca="1" si="8"/>
        <v>46.015453113749984</v>
      </c>
      <c r="L67" s="476">
        <f t="shared" ca="1" si="9"/>
        <v>134.73830312251422</v>
      </c>
      <c r="M67" s="479">
        <f t="shared" ca="1" si="10"/>
        <v>6.0676408456895965</v>
      </c>
    </row>
    <row r="71" spans="2:13" ht="13">
      <c r="B71" s="35" t="str">
        <f>IF(Lang="Français","Textes pour les graphiques :","Texts for graphics :")</f>
        <v>Textes pour les graphiques :</v>
      </c>
    </row>
    <row r="73" spans="2:13">
      <c r="B73" t="str">
        <f>IF(Lang="Français","Masse totale",IF(Lang="English","Total Mass",""))</f>
        <v>Masse totale</v>
      </c>
    </row>
    <row r="74" spans="2:13">
      <c r="B74" t="str">
        <f>IF(Lang="Français","Vitesse max",IF(Lang="English","Max Velocity",""))</f>
        <v>Vitesse max</v>
      </c>
    </row>
    <row r="75" spans="2:13">
      <c r="B75" t="str">
        <f>Abaco!$B$74 &amp; " / " &amp; Abaco!$B$73</f>
        <v>Vitesse max / Masse totale</v>
      </c>
    </row>
    <row r="76" spans="2:13">
      <c r="B76" t="str">
        <f>IF(Lang="Français","Altitude max",IF(Lang="English","Max Altitude",""))</f>
        <v>Altitude max</v>
      </c>
    </row>
    <row r="77" spans="2:13">
      <c r="B77" t="str">
        <f>Abaco!$B$76 &amp; " / " &amp; Abaco!$B$73</f>
        <v>Altitude max / Masse totale</v>
      </c>
    </row>
    <row r="78" spans="2:13">
      <c r="B78" t="str">
        <f>IF(Lang="Français","Temps de culmination",IF(Lang="English","Apogee time",""))</f>
        <v>Temps de culmination</v>
      </c>
    </row>
    <row r="79" spans="2:13">
      <c r="B79" t="str">
        <f>Abaco!$B$78 &amp; " / " &amp; Abaco!$B$73</f>
        <v>Temps de culmination / Masse totale</v>
      </c>
    </row>
  </sheetData>
  <sheetProtection password="C6AC" sheet="1"/>
  <mergeCells count="12">
    <mergeCell ref="C10:D10"/>
    <mergeCell ref="C12:D12"/>
    <mergeCell ref="C14:D14"/>
    <mergeCell ref="C15:D15"/>
    <mergeCell ref="C16:D16"/>
    <mergeCell ref="C11:D11"/>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6:D16">
      <formula1>0</formula1>
      <formula2>1</formula2>
    </dataValidation>
    <dataValidation operator="greaterThanOrEqual" sqref="C10:D11"/>
    <dataValidation sqref="C12:D12"/>
  </dataValidations>
  <hyperlinks>
    <hyperlink ref="B12" location="Stabilito!C17" display="Stabilito!C17"/>
  </hyperlinks>
  <pageMargins left="0.70866141732283472" right="0.70866141732283472" top="0.74803149606299213" bottom="0.74803149606299213" header="0.31496062992125984" footer="0.31496062992125984"/>
  <pageSetup paperSize="9" scale="92" orientation="landscape" r:id="rId1"/>
  <drawing r:id="rId2"/>
  <legacyDrawing r:id="rId3"/>
  <oleObjects>
    <oleObject progId="Equation.3" shapeId="2604101" r:id="rId4"/>
  </oleObjects>
</worksheet>
</file>

<file path=xl/worksheets/sheet7.xml><?xml version="1.0" encoding="utf-8"?>
<worksheet xmlns="http://schemas.openxmlformats.org/spreadsheetml/2006/main" xmlns:r="http://schemas.openxmlformats.org/officeDocument/2006/relationships">
  <sheetPr codeName="Feuil6">
    <pageSetUpPr fitToPage="1"/>
  </sheetPr>
  <dimension ref="C2:H59"/>
  <sheetViews>
    <sheetView showGridLines="0" workbookViewId="0">
      <selection activeCell="E49" sqref="E49"/>
    </sheetView>
  </sheetViews>
  <sheetFormatPr baseColWidth="10" defaultRowHeight="12.5"/>
  <cols>
    <col min="1" max="1" width="2.1796875" customWidth="1"/>
    <col min="2" max="2" width="16.26953125" customWidth="1"/>
    <col min="3" max="4" width="13.6328125" customWidth="1"/>
  </cols>
  <sheetData>
    <row r="2" spans="3:8">
      <c r="C2" s="735" t="s">
        <v>181</v>
      </c>
      <c r="D2" s="735"/>
    </row>
    <row r="3" spans="3:8">
      <c r="C3" s="735"/>
      <c r="D3" s="735"/>
    </row>
    <row r="5" spans="3:8" ht="13">
      <c r="C5" s="18" t="str">
        <f>IF(Lang="Français","Stabilité de fusée à ailerons","Stability of finned rocket")</f>
        <v>Stabilité de fusée à ailerons</v>
      </c>
    </row>
    <row r="6" spans="3:8" ht="13">
      <c r="C6" s="19" t="str">
        <f>IF(Lang="Français","Calculs de Stabilité basés sur les équations de Barrowman","Stability calculs are based on Barrowman equations")</f>
        <v>Calculs de Stabilité basés sur les équations de Barrowman</v>
      </c>
    </row>
    <row r="7" spans="3:8" ht="13">
      <c r="C7" s="18" t="str">
        <f>IF(Lang="Français","Trajectographie de fusée","Rocket Trajectography")</f>
        <v>Trajectographie de fusée</v>
      </c>
    </row>
    <row r="8" spans="3:8" ht="13">
      <c r="C8" s="19" t="str">
        <f>IF(Lang="Français","Trajectoire dans un plan par calcul pas à pas","Trajectory in a plane, step by step computation")</f>
        <v>Trajectoire dans un plan par calcul pas à pas</v>
      </c>
    </row>
    <row r="9" spans="3:8" ht="13">
      <c r="C9" s="19"/>
    </row>
    <row r="10" spans="3:8">
      <c r="C10" s="20" t="str">
        <f>IF(Lang="Français","Documentation et équations :","Documentation and equations are aviable in french:")</f>
        <v>Documentation et équations :</v>
      </c>
    </row>
    <row r="11" spans="3:8">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c r="C12" t="str">
        <f>IF(Lang="Français","Néanmoins, les équations d'intégration du mouvement utilisées sont légèrement différentes !","")</f>
        <v>Néanmoins, les équations d'intégration du mouvement utilisées sont légèrement différentes !</v>
      </c>
    </row>
    <row r="13" spans="3:8">
      <c r="C13" t="str">
        <f>IF(Lang="Français","Logiciels et dossier technique téléchargeables sur :","Softwares and french documentation can be downloaded at:")</f>
        <v>Logiciels et dossier technique téléchargeables sur :</v>
      </c>
      <c r="H13" s="25" t="s">
        <v>40</v>
      </c>
    </row>
    <row r="15" spans="3:8">
      <c r="C15" s="20" t="str">
        <f>IF(Lang="Français","Pour les experts :","For experts:")</f>
        <v>Pour les experts :</v>
      </c>
    </row>
    <row r="16" spans="3:8">
      <c r="C16" s="24"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c r="C17" s="23" t="str">
        <f>IF(Lang="Français","et faire vos modifications personnelles (ajout de moteur...).","and do your personal modification (adding a motor...)")</f>
        <v>et faire vos modifications personnelles (ajout de moteur...).</v>
      </c>
    </row>
    <row r="18" spans="3:8">
      <c r="C18" s="24" t="s">
        <v>423</v>
      </c>
    </row>
    <row r="19" spans="3:8">
      <c r="C19" s="23" t="str">
        <f>IF(Lang="Français","Merci néanmoins de diffuser uniquement la version officielle protégée (fichier initial).","Please avoid distributing unlocked version.")</f>
        <v>Merci néanmoins de diffuser uniquement la version officielle protégée (fichier initial).</v>
      </c>
    </row>
    <row r="20" spans="3:8">
      <c r="C20" s="23" t="str">
        <f>IF(Lang="Français","Aucune Macro. Mise en forme conditionnelle, Noms de zone.","No macro. Conditionnal formating, named zones.")</f>
        <v>Aucune Macro. Mise en forme conditionnelle, Noms de zone.</v>
      </c>
    </row>
    <row r="21" spans="3:8">
      <c r="C21" s="69"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c r="C22" s="69" t="str">
        <f>IF(Lang="Français","Les unités sont réglés dans le Format de la cellule.","Units are set in cell number Format")</f>
        <v>Les unités sont réglés dans le Format de la cellule.</v>
      </c>
      <c r="H22" s="21" t="s">
        <v>38</v>
      </c>
    </row>
    <row r="23" spans="3:8">
      <c r="C23" s="23" t="str">
        <f>IF(Lang="Français","Vous pouvez proposer vos améliorations en envoyant votre fichier à : ","Send all remarks and improvements proposals to:")</f>
        <v xml:space="preserve">Vous pouvez proposer vos améliorations en envoyant votre fichier à : </v>
      </c>
      <c r="H23" s="21"/>
    </row>
    <row r="25" spans="3:8">
      <c r="C25" s="20" t="str">
        <f>IF(Lang="Français","Licence :","License:")</f>
        <v>Licence :</v>
      </c>
      <c r="D25" s="22"/>
    </row>
    <row r="26" spans="3:8">
      <c r="C26" t="str">
        <f>IF(Lang="Français","Ce logiciel est placé sous la licence Creative Commons BY-SA","This software is placed under Creative Commons licence BY-SA")</f>
        <v>Ce logiciel est placé sous la licence Creative Commons BY-SA</v>
      </c>
      <c r="H26" s="90" t="s">
        <v>123</v>
      </c>
    </row>
    <row r="28" spans="3:8">
      <c r="C28" s="20" t="str">
        <f>IF(Lang="Français","Compatibilité :","Compatibility:")</f>
        <v>Compatibilité :</v>
      </c>
    </row>
    <row r="29" spans="3:8">
      <c r="C29" t="s">
        <v>153</v>
      </c>
    </row>
    <row r="30" spans="3:8">
      <c r="C30" t="s">
        <v>304</v>
      </c>
    </row>
    <row r="31" spans="3:8">
      <c r="C31" s="70" t="s">
        <v>111</v>
      </c>
    </row>
    <row r="33" spans="3:6">
      <c r="C33" s="20" t="str">
        <f>IF(Lang="Français","Historique :","History:")</f>
        <v>Historique :</v>
      </c>
    </row>
    <row r="34" spans="3:6">
      <c r="C34" t="s">
        <v>103</v>
      </c>
      <c r="D34" t="s">
        <v>43</v>
      </c>
      <c r="E34" s="68" t="s">
        <v>102</v>
      </c>
      <c r="F34" t="str">
        <f>IF(Lang="Français","Essais personnels, héritage d'une feuille de calcul de Vincent Girard, ESO","Personnel tests")</f>
        <v>Essais personnels, héritage d'une feuille de calcul de Vincent Girard, ESO</v>
      </c>
    </row>
    <row r="35" spans="3:6">
      <c r="C35" t="s">
        <v>104</v>
      </c>
      <c r="D35" t="s">
        <v>43</v>
      </c>
      <c r="E35" s="22">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c r="C36" t="s">
        <v>105</v>
      </c>
      <c r="D36" t="s">
        <v>43</v>
      </c>
      <c r="E36" s="22">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c r="C37" t="s">
        <v>106</v>
      </c>
      <c r="D37" t="s">
        <v>43</v>
      </c>
      <c r="E37" s="22">
        <v>39694</v>
      </c>
      <c r="F37" t="str">
        <f>IF(Lang="Français","Mise en forme","Formatting")</f>
        <v>Mise en forme</v>
      </c>
    </row>
    <row r="38" spans="3:6">
      <c r="C38" t="s">
        <v>107</v>
      </c>
      <c r="D38" t="s">
        <v>43</v>
      </c>
      <c r="E38" s="22">
        <v>39643</v>
      </c>
      <c r="F38" t="str">
        <f>IF(Lang="Français","Essais personnels, héritage d'une feuille de calcul de Félicien Roux, ESO","Personal tests")</f>
        <v>Essais personnels, héritage d'une feuille de calcul de Félicien Roux, ESO</v>
      </c>
    </row>
    <row r="39" spans="3:6">
      <c r="C39" t="s">
        <v>108</v>
      </c>
      <c r="D39" t="s">
        <v>43</v>
      </c>
      <c r="E39" s="22">
        <v>39755</v>
      </c>
      <c r="F39" t="str">
        <f>IF(Lang="Français","Réécriture équations, traduction, érgonomie","Equations, traduction, ergonomy")</f>
        <v>Réécriture équations, traduction, érgonomie</v>
      </c>
    </row>
    <row r="40" spans="3:6">
      <c r="C40" t="s">
        <v>109</v>
      </c>
      <c r="D40" t="s">
        <v>43</v>
      </c>
      <c r="E40" s="22">
        <v>39756</v>
      </c>
      <c r="F40" t="str">
        <f>IF(Lang="Français","Conditions Initiales pour vol 2e étage, 1ère publication","Initial Conditions, 1st publication")</f>
        <v>Conditions Initiales pour vol 2e étage, 1ère publication</v>
      </c>
    </row>
    <row r="41" spans="3:6">
      <c r="C41" t="s">
        <v>110</v>
      </c>
      <c r="D41" t="s">
        <v>43</v>
      </c>
      <c r="E41" s="22">
        <v>40658</v>
      </c>
      <c r="F41" t="s">
        <v>53</v>
      </c>
    </row>
    <row r="42" spans="3:6">
      <c r="C42" t="s">
        <v>182</v>
      </c>
      <c r="D42" t="s">
        <v>43</v>
      </c>
      <c r="E42" s="22">
        <v>40868</v>
      </c>
      <c r="F42" t="str">
        <f>IF(Lang="Français","Fusion Stabilito+Trajecto, mise en forme, Ctrl, RC, H2O, Abaco","Merge Stabilito+Trajecto, formatting, Ctrl, RC, H2O, Abaco")</f>
        <v>Fusion Stabilito+Trajecto, mise en forme, Ctrl, RC, H2O, Abaco</v>
      </c>
    </row>
    <row r="43" spans="3:6">
      <c r="C43" t="s">
        <v>331</v>
      </c>
      <c r="D43" t="s">
        <v>43</v>
      </c>
      <c r="E43" s="22">
        <v>41194</v>
      </c>
      <c r="F43" t="s">
        <v>335</v>
      </c>
    </row>
    <row r="44" spans="3:6">
      <c r="C44" t="s">
        <v>332</v>
      </c>
      <c r="D44" t="s">
        <v>43</v>
      </c>
      <c r="E44" s="22">
        <v>41329</v>
      </c>
      <c r="F44" t="s">
        <v>336</v>
      </c>
    </row>
    <row r="45" spans="3:6">
      <c r="C45" t="s">
        <v>420</v>
      </c>
      <c r="D45" t="s">
        <v>399</v>
      </c>
      <c r="E45" s="22">
        <v>41947</v>
      </c>
      <c r="F45" t="s">
        <v>419</v>
      </c>
    </row>
    <row r="46" spans="3:6">
      <c r="C46" t="s">
        <v>424</v>
      </c>
      <c r="D46" t="s">
        <v>399</v>
      </c>
      <c r="E46" s="22">
        <v>41965</v>
      </c>
      <c r="F46" t="s">
        <v>422</v>
      </c>
    </row>
    <row r="47" spans="3:6">
      <c r="C47" t="s">
        <v>547</v>
      </c>
      <c r="D47" t="s">
        <v>399</v>
      </c>
      <c r="E47" s="22">
        <v>43048</v>
      </c>
      <c r="F47" t="s">
        <v>548</v>
      </c>
    </row>
    <row r="48" spans="3:6">
      <c r="C48" t="s">
        <v>552</v>
      </c>
      <c r="D48" t="s">
        <v>399</v>
      </c>
      <c r="E48" s="22">
        <v>44160</v>
      </c>
      <c r="F48" t="s">
        <v>554</v>
      </c>
    </row>
    <row r="49" spans="3:6">
      <c r="E49" s="22"/>
    </row>
    <row r="51" spans="3:6">
      <c r="C51" s="20" t="str">
        <f>IF(Lang="Français","Paramètres de référence :","Reference parameters:")</f>
        <v>Paramètres de référence :</v>
      </c>
    </row>
    <row r="52" spans="3:6">
      <c r="C52" s="84" t="str">
        <f>IF(Lang="Français","Gravité g :","Gravity g")</f>
        <v>Gravité g :</v>
      </c>
      <c r="E52" s="84">
        <v>9.81</v>
      </c>
      <c r="F52" s="84" t="s">
        <v>7</v>
      </c>
    </row>
    <row r="53" spans="3:6">
      <c r="C53" s="84" t="str">
        <f>IF(Lang="Français","Masse volumique de l'air ρ :","Air density ρ")</f>
        <v>Masse volumique de l'air ρ :</v>
      </c>
      <c r="E53" s="85">
        <v>1.2250000000000001</v>
      </c>
      <c r="F53" s="84" t="s">
        <v>8</v>
      </c>
    </row>
    <row r="54" spans="3:6">
      <c r="C54" s="69"/>
    </row>
    <row r="55" spans="3:6">
      <c r="C55" s="69"/>
    </row>
    <row r="56" spans="3:6">
      <c r="C56" s="69"/>
    </row>
    <row r="57" spans="3:6">
      <c r="C57" s="69"/>
    </row>
    <row r="58" spans="3:6">
      <c r="C58" s="69"/>
    </row>
    <row r="59" spans="3:6">
      <c r="C59" s="69"/>
    </row>
  </sheetData>
  <sheetProtection password="C6AC" sheet="1" objects="1" scenarios="1"/>
  <mergeCells count="1">
    <mergeCell ref="C2:D3"/>
  </mergeCells>
  <phoneticPr fontId="8" type="noConversion"/>
  <hyperlinks>
    <hyperlink ref="H13" r:id="rId1"/>
    <hyperlink ref="H22" r:id="rId2"/>
    <hyperlink ref="H26" r:id="rId3"/>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sheetPr codeName="Feuil7">
    <pageSetUpPr fitToPage="1"/>
  </sheetPr>
  <dimension ref="B1:U134"/>
  <sheetViews>
    <sheetView showGridLines="0" topLeftCell="D1" zoomScaleNormal="100" workbookViewId="0">
      <selection activeCell="H4" sqref="H4"/>
    </sheetView>
  </sheetViews>
  <sheetFormatPr baseColWidth="10" defaultColWidth="11.6328125" defaultRowHeight="12.5"/>
  <cols>
    <col min="1" max="2" width="2.1796875" customWidth="1"/>
    <col min="3" max="3" width="12.6328125" customWidth="1"/>
    <col min="4" max="4" width="21" customWidth="1"/>
    <col min="7" max="7" width="26.6328125" customWidth="1"/>
    <col min="8" max="9" width="6.7265625" customWidth="1"/>
    <col min="10" max="10" width="10" customWidth="1"/>
    <col min="11" max="11" width="13" customWidth="1"/>
    <col min="12" max="12" width="21.26953125" customWidth="1"/>
    <col min="14" max="14" width="2.1796875" customWidth="1"/>
    <col min="18" max="19" width="16.26953125" customWidth="1"/>
  </cols>
  <sheetData>
    <row r="1" spans="2:21" ht="13.5" thickBot="1">
      <c r="O1" s="8"/>
      <c r="P1" s="499"/>
      <c r="Q1" s="500"/>
      <c r="R1" s="499"/>
      <c r="S1" s="499"/>
      <c r="T1" s="499"/>
      <c r="U1" s="499"/>
    </row>
    <row r="2" spans="2:21" ht="13.5" thickBot="1">
      <c r="B2" s="93"/>
      <c r="C2" s="94"/>
      <c r="D2" s="94"/>
      <c r="E2" s="94"/>
      <c r="F2" s="94"/>
      <c r="G2" s="94"/>
      <c r="H2" s="94"/>
      <c r="I2" s="94"/>
      <c r="J2" s="94"/>
      <c r="K2" s="94"/>
      <c r="L2" s="94"/>
      <c r="M2" s="94"/>
      <c r="N2" s="95"/>
      <c r="O2" s="8"/>
      <c r="P2" s="499"/>
      <c r="Q2" s="500"/>
      <c r="R2" s="499"/>
      <c r="S2" s="499"/>
      <c r="T2" s="499"/>
      <c r="U2" s="499"/>
    </row>
    <row r="3" spans="2:21" ht="15.75" customHeight="1" thickBot="1">
      <c r="B3" s="96"/>
      <c r="C3" s="81"/>
      <c r="D3" s="2" t="s">
        <v>433</v>
      </c>
      <c r="E3" s="81"/>
      <c r="F3" s="81"/>
      <c r="G3" s="81"/>
      <c r="H3" s="81"/>
      <c r="I3" s="81"/>
      <c r="J3" s="81"/>
      <c r="K3" s="81"/>
      <c r="L3" s="81"/>
      <c r="M3" s="81"/>
      <c r="N3" s="97"/>
      <c r="O3" s="8"/>
      <c r="P3" s="501" t="s">
        <v>344</v>
      </c>
      <c r="Q3" s="511">
        <f>Long_ogive</f>
        <v>199</v>
      </c>
      <c r="R3" s="499"/>
      <c r="S3" s="499"/>
      <c r="T3" s="499"/>
      <c r="U3" s="499"/>
    </row>
    <row r="4" spans="2:21" ht="15.75" customHeight="1">
      <c r="B4" s="96"/>
      <c r="C4" s="81"/>
      <c r="D4" s="2"/>
      <c r="E4" s="81"/>
      <c r="F4" s="81"/>
      <c r="G4" s="81"/>
      <c r="H4" s="81"/>
      <c r="I4" s="81"/>
      <c r="J4" s="81"/>
      <c r="K4" s="81"/>
      <c r="L4" s="81"/>
      <c r="M4" s="81"/>
      <c r="N4" s="97"/>
      <c r="O4" s="8"/>
      <c r="P4" s="501"/>
      <c r="Q4" s="505"/>
      <c r="R4" s="499"/>
      <c r="S4" s="499"/>
      <c r="T4" s="499"/>
      <c r="U4" s="499"/>
    </row>
    <row r="5" spans="2:21" ht="15.75" customHeight="1">
      <c r="B5" s="96"/>
      <c r="C5" s="81"/>
      <c r="D5" s="644" t="s">
        <v>466</v>
      </c>
      <c r="E5" s="81" t="str">
        <f>Propu</f>
        <v>p29-1G 56F31</v>
      </c>
      <c r="F5" s="81"/>
      <c r="G5" s="81" t="s">
        <v>463</v>
      </c>
      <c r="H5" s="81">
        <f>MasseSans</f>
        <v>0.35899999999999999</v>
      </c>
      <c r="I5" s="81"/>
      <c r="J5" s="81"/>
      <c r="K5" s="81"/>
      <c r="L5" s="81"/>
      <c r="M5" s="81"/>
      <c r="N5" s="97"/>
      <c r="O5" s="8"/>
      <c r="P5" s="501"/>
      <c r="Q5" s="505"/>
      <c r="R5" s="499"/>
      <c r="S5" s="499"/>
      <c r="T5" s="499"/>
      <c r="U5" s="499"/>
    </row>
    <row r="6" spans="2:21" ht="13">
      <c r="B6" s="96"/>
      <c r="D6" s="81" t="s">
        <v>459</v>
      </c>
      <c r="E6" s="2" t="str">
        <f>Trajecto!H32</f>
        <v>Brun/Orange…</v>
      </c>
      <c r="G6" s="81" t="s">
        <v>464</v>
      </c>
      <c r="H6" s="81">
        <f>D_ref</f>
        <v>59</v>
      </c>
      <c r="I6" s="81"/>
      <c r="J6" s="81"/>
      <c r="K6" s="81"/>
      <c r="L6" s="81"/>
      <c r="M6" s="81"/>
      <c r="N6" s="97"/>
      <c r="O6" s="8"/>
      <c r="P6" s="501"/>
      <c r="Q6" s="505"/>
      <c r="R6" s="499"/>
      <c r="S6" s="499"/>
      <c r="T6" s="499"/>
      <c r="U6" s="499"/>
    </row>
    <row r="7" spans="2:21" ht="13">
      <c r="B7" s="96"/>
      <c r="D7" s="81" t="s">
        <v>461</v>
      </c>
      <c r="E7" s="2" t="str">
        <f>Trajecto!H33</f>
        <v>Rouge…</v>
      </c>
      <c r="G7" t="s">
        <v>5</v>
      </c>
      <c r="H7">
        <f>Cx</f>
        <v>0.5</v>
      </c>
      <c r="I7" s="81"/>
      <c r="J7" s="81"/>
      <c r="K7" s="81"/>
      <c r="L7" s="81"/>
      <c r="M7" s="81"/>
      <c r="N7" s="97"/>
      <c r="O7" s="8"/>
      <c r="P7" s="501"/>
      <c r="Q7" s="505"/>
      <c r="R7" s="499"/>
      <c r="S7" s="499"/>
      <c r="T7" s="499"/>
      <c r="U7" s="499"/>
    </row>
    <row r="8" spans="2:21" ht="13">
      <c r="B8" s="96"/>
      <c r="D8" s="81" t="s">
        <v>462</v>
      </c>
      <c r="E8" s="2">
        <f>S_para</f>
        <v>0.26020500000000002</v>
      </c>
      <c r="G8" s="81" t="s">
        <v>465</v>
      </c>
      <c r="H8" s="81">
        <f>L_rampe</f>
        <v>2.5</v>
      </c>
      <c r="I8" s="81"/>
      <c r="J8" s="81"/>
      <c r="K8" s="81"/>
      <c r="L8" s="81"/>
      <c r="M8" s="81"/>
      <c r="N8" s="97"/>
      <c r="O8" s="8"/>
      <c r="P8" s="501"/>
      <c r="Q8" s="505"/>
      <c r="R8" s="499"/>
      <c r="S8" s="499"/>
      <c r="T8" s="499"/>
      <c r="U8" s="499"/>
    </row>
    <row r="9" spans="2:21" ht="13">
      <c r="B9" s="96"/>
      <c r="D9" s="24" t="s">
        <v>460</v>
      </c>
      <c r="E9" s="2"/>
      <c r="G9" s="24" t="s">
        <v>147</v>
      </c>
      <c r="H9" s="643" t="str">
        <f>Forme_ogive</f>
        <v>Ogivale (pointue)</v>
      </c>
      <c r="I9" s="81"/>
      <c r="J9" s="81"/>
      <c r="K9" s="81"/>
      <c r="L9" s="81"/>
      <c r="M9" s="81"/>
      <c r="N9" s="97"/>
      <c r="O9" s="8"/>
      <c r="P9" s="501"/>
      <c r="Q9" s="505"/>
      <c r="R9" s="499"/>
      <c r="S9" s="499"/>
      <c r="T9" s="499"/>
      <c r="U9" s="499"/>
    </row>
    <row r="10" spans="2:21" ht="13">
      <c r="B10" s="96"/>
      <c r="C10" s="81"/>
      <c r="D10" s="81"/>
      <c r="E10" s="81"/>
      <c r="F10" s="4"/>
      <c r="G10" s="492"/>
      <c r="H10" s="81"/>
      <c r="I10" s="81"/>
      <c r="J10" s="81"/>
      <c r="K10" s="81"/>
      <c r="L10" s="81"/>
      <c r="M10" s="81"/>
      <c r="N10" s="97"/>
      <c r="O10" s="618"/>
      <c r="P10" s="499"/>
      <c r="Q10" s="505"/>
      <c r="R10" s="499"/>
      <c r="S10" s="499"/>
      <c r="T10" s="499"/>
      <c r="U10" s="499"/>
    </row>
    <row r="11" spans="2:21" ht="13.5" thickBot="1">
      <c r="B11" s="96"/>
      <c r="C11" s="608"/>
      <c r="D11" s="323" t="s">
        <v>458</v>
      </c>
      <c r="E11" s="287">
        <f>MasseSans</f>
        <v>0.35899999999999999</v>
      </c>
      <c r="F11" s="610" t="s">
        <v>124</v>
      </c>
      <c r="G11" s="610" t="s">
        <v>126</v>
      </c>
      <c r="H11" s="782">
        <f ca="1">Vsortie_de_rampe</f>
        <v>18.097176677647496</v>
      </c>
      <c r="I11" s="783"/>
      <c r="J11" s="98"/>
      <c r="K11" s="81"/>
      <c r="L11" s="81"/>
      <c r="M11" s="81"/>
      <c r="N11" s="97"/>
      <c r="O11" s="81"/>
      <c r="P11" s="499"/>
      <c r="Q11" s="505"/>
      <c r="R11" s="499"/>
      <c r="S11" s="499"/>
      <c r="T11" s="499"/>
      <c r="U11" s="510" t="str">
        <f>IF(RIGHT(Nb_diam,1)=",", "", X_j)</f>
        <v/>
      </c>
    </row>
    <row r="12" spans="2:21" ht="13.5" thickBot="1">
      <c r="B12" s="96"/>
      <c r="C12" s="608"/>
      <c r="D12" s="324"/>
      <c r="E12" s="288"/>
      <c r="F12" s="492" t="s">
        <v>124</v>
      </c>
      <c r="G12" s="492" t="s">
        <v>127</v>
      </c>
      <c r="H12" s="774">
        <f>Finesse</f>
        <v>16.966101694915253</v>
      </c>
      <c r="I12" s="775"/>
      <c r="J12" s="98"/>
      <c r="K12" s="81"/>
      <c r="L12" s="81"/>
      <c r="M12" s="81"/>
      <c r="N12" s="97"/>
      <c r="O12" s="8"/>
      <c r="P12" s="501" t="s">
        <v>345</v>
      </c>
      <c r="Q12" s="511">
        <f>D_og</f>
        <v>59</v>
      </c>
      <c r="R12" s="499"/>
      <c r="S12" s="499"/>
      <c r="T12" s="499"/>
      <c r="U12" s="505"/>
    </row>
    <row r="13" spans="2:21" ht="13">
      <c r="B13" s="96"/>
      <c r="C13" s="608"/>
      <c r="D13" s="324" t="s">
        <v>5</v>
      </c>
      <c r="E13" s="288">
        <f>Cx</f>
        <v>0.5</v>
      </c>
      <c r="F13" s="492" t="s">
        <v>124</v>
      </c>
      <c r="G13" s="492" t="s">
        <v>437</v>
      </c>
      <c r="H13" s="774">
        <f>Cn</f>
        <v>21.497524281832401</v>
      </c>
      <c r="I13" s="775"/>
      <c r="J13" s="98"/>
      <c r="K13" s="81"/>
      <c r="L13" s="81"/>
      <c r="M13" s="81"/>
      <c r="N13" s="97"/>
      <c r="O13" s="8"/>
      <c r="P13" s="499"/>
      <c r="Q13" s="505"/>
      <c r="R13" s="499"/>
      <c r="S13" s="499"/>
      <c r="T13" s="499"/>
      <c r="U13" s="510" t="str">
        <f>IF(RIGHT(Nb_diam,1)=",", "", X_r)</f>
        <v/>
      </c>
    </row>
    <row r="14" spans="2:21" ht="13">
      <c r="B14" s="96"/>
      <c r="C14" s="555"/>
      <c r="D14" s="324" t="s">
        <v>144</v>
      </c>
      <c r="E14" s="288">
        <f>L_rampe</f>
        <v>2.5</v>
      </c>
      <c r="F14" s="492" t="s">
        <v>124</v>
      </c>
      <c r="G14" s="492" t="s">
        <v>128</v>
      </c>
      <c r="H14" s="304">
        <f ca="1">MS_min</f>
        <v>2.9412578598946553</v>
      </c>
      <c r="I14" s="612">
        <f ca="1">MS_max</f>
        <v>3.2494194704570898</v>
      </c>
      <c r="J14" s="98"/>
      <c r="K14" s="98"/>
      <c r="L14" s="81"/>
      <c r="M14" s="81"/>
      <c r="N14" s="97"/>
      <c r="O14" s="81"/>
      <c r="P14" s="499"/>
      <c r="Q14" s="505"/>
      <c r="R14" s="499"/>
      <c r="S14" s="499"/>
      <c r="T14" s="499"/>
      <c r="U14" s="505"/>
    </row>
    <row r="15" spans="2:21" ht="13">
      <c r="B15" s="96"/>
      <c r="C15" s="555"/>
      <c r="D15" s="324" t="s">
        <v>145</v>
      </c>
      <c r="E15" s="288">
        <f>ep_ail</f>
        <v>2</v>
      </c>
      <c r="F15" s="492" t="s">
        <v>124</v>
      </c>
      <c r="G15" s="492" t="s">
        <v>125</v>
      </c>
      <c r="H15" s="304">
        <f ca="1">MS_Cn_min</f>
        <v>63.229762262215758</v>
      </c>
      <c r="I15" s="612">
        <f ca="1">MS_Cn_max</f>
        <v>69.854473968010268</v>
      </c>
      <c r="J15" s="98"/>
      <c r="K15" s="98"/>
      <c r="L15" s="81"/>
      <c r="M15" s="81"/>
      <c r="N15" s="97"/>
      <c r="O15" s="81"/>
      <c r="P15" s="499"/>
      <c r="Q15" s="505"/>
      <c r="R15" s="499"/>
      <c r="S15" s="499"/>
      <c r="T15" s="499"/>
    </row>
    <row r="16" spans="2:21" ht="13">
      <c r="B16" s="96"/>
      <c r="C16" s="555"/>
      <c r="D16" s="324" t="s">
        <v>146</v>
      </c>
      <c r="E16" s="288">
        <f>Q_ail</f>
        <v>4</v>
      </c>
      <c r="F16" s="492" t="s">
        <v>129</v>
      </c>
      <c r="G16" s="492" t="s">
        <v>130</v>
      </c>
      <c r="H16" s="304">
        <f ca="1">V_para</f>
        <v>5.1386884091799487</v>
      </c>
      <c r="I16" s="611">
        <f>V_satellite</f>
        <v>10.960038730752361</v>
      </c>
      <c r="J16" s="98"/>
      <c r="K16" s="81"/>
      <c r="L16" s="81"/>
      <c r="M16" s="81"/>
      <c r="N16" s="97"/>
      <c r="O16" s="81"/>
      <c r="P16" s="499"/>
      <c r="Q16" s="505"/>
      <c r="R16" s="499"/>
      <c r="S16" s="499"/>
      <c r="T16" s="499"/>
      <c r="U16" s="510" t="str">
        <f>IF(RIGHT(Nb_diam,1)=",", "", l_j)</f>
        <v/>
      </c>
    </row>
    <row r="17" spans="2:21" ht="13">
      <c r="B17" s="96"/>
      <c r="C17" s="555"/>
      <c r="D17" s="324" t="s">
        <v>147</v>
      </c>
      <c r="E17" s="320" t="str">
        <f>Forme_ogive</f>
        <v>Ogivale (pointue)</v>
      </c>
      <c r="F17" s="492" t="s">
        <v>131</v>
      </c>
      <c r="G17" s="492" t="s">
        <v>132</v>
      </c>
      <c r="H17" s="774">
        <f>T_para</f>
        <v>8</v>
      </c>
      <c r="I17" s="775"/>
      <c r="J17" s="302"/>
      <c r="K17" s="81"/>
      <c r="L17" s="81"/>
      <c r="M17" s="81"/>
      <c r="N17" s="97"/>
      <c r="O17" s="81"/>
      <c r="P17" s="502" t="s">
        <v>346</v>
      </c>
      <c r="Q17" s="510" t="str">
        <f>IF(RIGHT(Nb_diam,1)=",", "", D2j)</f>
        <v/>
      </c>
      <c r="R17" s="499"/>
      <c r="S17" s="499"/>
      <c r="T17" s="499"/>
      <c r="U17" s="505"/>
    </row>
    <row r="18" spans="2:21" ht="13">
      <c r="B18" s="96"/>
      <c r="C18" s="555"/>
      <c r="D18" s="324" t="s">
        <v>149</v>
      </c>
      <c r="E18" s="288">
        <f ca="1">XpropuRef-Long_propu</f>
        <v>903</v>
      </c>
      <c r="F18" s="608" t="s">
        <v>131</v>
      </c>
      <c r="G18" s="608" t="s">
        <v>431</v>
      </c>
      <c r="H18" s="776">
        <f ca="1">T_para-Combustion-Depotage</f>
        <v>-4.45</v>
      </c>
      <c r="I18" s="777"/>
      <c r="J18" s="81"/>
      <c r="K18" s="81"/>
      <c r="L18" s="81"/>
      <c r="M18" s="81"/>
      <c r="N18" s="97"/>
      <c r="O18" s="81"/>
      <c r="P18" s="499"/>
      <c r="Q18" s="505"/>
      <c r="R18" s="499"/>
      <c r="S18" s="499"/>
    </row>
    <row r="19" spans="2:21" ht="13">
      <c r="B19" s="96"/>
      <c r="C19" s="642"/>
      <c r="D19" s="317"/>
      <c r="E19" s="319"/>
      <c r="F19" s="615" t="s">
        <v>133</v>
      </c>
      <c r="G19" s="613" t="s">
        <v>430</v>
      </c>
      <c r="H19" s="778">
        <f ca="1">Portee_balistique</f>
        <v>184.26379383972827</v>
      </c>
      <c r="I19" s="779"/>
      <c r="J19" s="81"/>
      <c r="K19" s="81"/>
      <c r="L19" s="81"/>
      <c r="M19" s="81"/>
      <c r="N19" s="97"/>
      <c r="O19" s="81"/>
      <c r="P19" s="499"/>
      <c r="Q19" s="505"/>
      <c r="R19" s="499"/>
      <c r="S19" s="499"/>
      <c r="T19" s="499"/>
    </row>
    <row r="20" spans="2:21" ht="13">
      <c r="B20" s="96"/>
      <c r="C20" s="555"/>
      <c r="D20" s="8"/>
      <c r="E20" s="8"/>
      <c r="H20" s="614"/>
      <c r="I20" s="614"/>
      <c r="J20" s="81"/>
      <c r="K20" s="81"/>
      <c r="L20" s="81"/>
      <c r="M20" s="81"/>
      <c r="N20" s="97"/>
      <c r="O20" s="81"/>
      <c r="P20" s="499"/>
      <c r="Q20" s="505"/>
      <c r="R20" s="499"/>
      <c r="S20" s="499"/>
      <c r="T20" s="499"/>
      <c r="U20" s="510" t="str">
        <f>IF(RIGHT(Nb_diam,1)=",", "", l_r)</f>
        <v/>
      </c>
    </row>
    <row r="21" spans="2:21" ht="13">
      <c r="B21" s="96"/>
      <c r="C21" s="555"/>
      <c r="D21" s="8"/>
      <c r="E21" s="311"/>
      <c r="F21" s="4"/>
      <c r="G21" s="492"/>
      <c r="H21" s="614"/>
      <c r="I21" s="614"/>
      <c r="J21" s="81"/>
      <c r="K21" s="81"/>
      <c r="L21" s="81"/>
      <c r="M21" s="81"/>
      <c r="N21" s="97"/>
      <c r="O21" s="620"/>
      <c r="P21" s="505"/>
      <c r="Q21" s="500"/>
      <c r="R21" s="499"/>
      <c r="S21" s="499"/>
      <c r="T21" s="621"/>
      <c r="U21" s="505"/>
    </row>
    <row r="22" spans="2:21" ht="13">
      <c r="B22" s="96"/>
      <c r="C22" s="633" t="s">
        <v>457</v>
      </c>
      <c r="D22" s="630" t="s">
        <v>441</v>
      </c>
      <c r="E22" s="631"/>
      <c r="F22" s="632" t="s">
        <v>446</v>
      </c>
      <c r="G22" s="633" t="s">
        <v>451</v>
      </c>
      <c r="I22" s="634"/>
      <c r="J22" s="641" t="s">
        <v>157</v>
      </c>
      <c r="K22" s="630" t="s">
        <v>158</v>
      </c>
      <c r="N22" s="97"/>
      <c r="O22" s="620"/>
      <c r="P22" s="505"/>
      <c r="Q22" s="500"/>
      <c r="R22" s="499"/>
      <c r="S22" s="499"/>
      <c r="T22" s="621"/>
      <c r="U22" s="505"/>
    </row>
    <row r="23" spans="2:21" ht="13">
      <c r="B23" s="96"/>
      <c r="C23" s="633" t="s">
        <v>456</v>
      </c>
      <c r="D23" s="631">
        <f>XcgSans</f>
        <v>639</v>
      </c>
      <c r="E23" s="631" t="s">
        <v>39</v>
      </c>
      <c r="F23" s="636">
        <f>m_ail</f>
        <v>109</v>
      </c>
      <c r="G23" s="637">
        <f>m_can</f>
        <v>70</v>
      </c>
      <c r="I23" s="634" t="s">
        <v>452</v>
      </c>
      <c r="J23" s="638">
        <f>l_j</f>
        <v>50</v>
      </c>
      <c r="K23" s="635">
        <f>l_r</f>
        <v>50</v>
      </c>
      <c r="N23" s="97"/>
      <c r="O23" s="620"/>
      <c r="P23" s="505"/>
      <c r="Q23" s="500"/>
      <c r="R23" s="499"/>
      <c r="S23" s="499"/>
      <c r="T23" s="621"/>
      <c r="U23" s="505"/>
    </row>
    <row r="24" spans="2:21" ht="13">
      <c r="B24" s="96"/>
      <c r="C24" s="633" t="s">
        <v>444</v>
      </c>
      <c r="D24" s="635">
        <f>Long_tot</f>
        <v>1001</v>
      </c>
      <c r="E24" s="631" t="s">
        <v>447</v>
      </c>
      <c r="F24" s="636">
        <f>n_ail</f>
        <v>59</v>
      </c>
      <c r="G24" s="637">
        <f>n_can</f>
        <v>10</v>
      </c>
      <c r="I24" s="634" t="s">
        <v>453</v>
      </c>
      <c r="J24" s="638">
        <f>D1j</f>
        <v>59</v>
      </c>
      <c r="K24" s="635">
        <f>D1r</f>
        <v>80</v>
      </c>
      <c r="N24" s="97"/>
      <c r="O24" s="620"/>
      <c r="P24" s="505"/>
      <c r="Q24" s="500"/>
      <c r="R24" s="499"/>
      <c r="S24" s="499"/>
      <c r="T24" s="621"/>
      <c r="U24" s="505"/>
    </row>
    <row r="25" spans="2:21" ht="13">
      <c r="B25" s="96"/>
      <c r="C25" s="633" t="s">
        <v>445</v>
      </c>
      <c r="D25" s="635">
        <f>XpropuRef</f>
        <v>1001</v>
      </c>
      <c r="E25" s="631" t="s">
        <v>448</v>
      </c>
      <c r="F25" s="636">
        <f>p_ail</f>
        <v>109</v>
      </c>
      <c r="G25" s="637">
        <f>p_can</f>
        <v>40</v>
      </c>
      <c r="I25" s="634" t="s">
        <v>454</v>
      </c>
      <c r="J25" s="638">
        <f>D2j</f>
        <v>80</v>
      </c>
      <c r="K25" s="635">
        <f>D2r</f>
        <v>59</v>
      </c>
      <c r="N25" s="97"/>
      <c r="O25" s="620"/>
      <c r="P25" s="505"/>
      <c r="Q25" s="500"/>
      <c r="R25" s="499"/>
      <c r="S25" s="499"/>
      <c r="T25" s="621"/>
      <c r="U25" s="505"/>
    </row>
    <row r="26" spans="2:21" ht="13">
      <c r="B26" s="96"/>
      <c r="C26" s="633" t="s">
        <v>442</v>
      </c>
      <c r="D26" s="635">
        <f>D_ref</f>
        <v>59</v>
      </c>
      <c r="E26" s="631" t="s">
        <v>449</v>
      </c>
      <c r="F26" s="636">
        <f>E_ail</f>
        <v>99</v>
      </c>
      <c r="G26" s="637">
        <f>E_can</f>
        <v>50</v>
      </c>
      <c r="I26" s="634" t="s">
        <v>455</v>
      </c>
      <c r="J26" s="638">
        <f>X_j</f>
        <v>300</v>
      </c>
      <c r="K26" s="635">
        <f>X_r</f>
        <v>500</v>
      </c>
      <c r="N26" s="97"/>
      <c r="O26" s="620"/>
      <c r="P26" s="505"/>
      <c r="Q26" s="500"/>
      <c r="R26" s="499"/>
      <c r="S26" s="499"/>
      <c r="T26" s="621"/>
      <c r="U26" s="505"/>
    </row>
    <row r="27" spans="2:21" ht="13">
      <c r="B27" s="96"/>
      <c r="C27" s="633" t="s">
        <v>443</v>
      </c>
      <c r="D27" s="635">
        <f>Long_ogive</f>
        <v>199</v>
      </c>
      <c r="E27" s="631" t="s">
        <v>450</v>
      </c>
      <c r="F27" s="636">
        <f>X_ail</f>
        <v>1001</v>
      </c>
      <c r="G27" s="637">
        <f>X_can</f>
        <v>700</v>
      </c>
      <c r="H27" s="614"/>
      <c r="I27" s="639"/>
      <c r="J27" s="640"/>
      <c r="N27" s="97"/>
      <c r="O27" s="620"/>
      <c r="P27" s="505"/>
      <c r="Q27" s="500"/>
      <c r="R27" s="499"/>
      <c r="S27" s="499"/>
      <c r="T27" s="621"/>
      <c r="U27" s="505"/>
    </row>
    <row r="28" spans="2:21" ht="13.5" thickBot="1">
      <c r="B28" s="96"/>
      <c r="C28" s="81"/>
      <c r="D28" s="81"/>
      <c r="E28" s="124"/>
      <c r="F28" s="81"/>
      <c r="G28" s="81"/>
      <c r="H28" s="81"/>
      <c r="I28" s="81"/>
      <c r="J28" s="81"/>
      <c r="K28" s="81"/>
      <c r="L28" s="81"/>
      <c r="M28" s="81"/>
      <c r="N28" s="97"/>
      <c r="O28" s="2"/>
      <c r="P28" s="8"/>
      <c r="Q28" s="2"/>
      <c r="R28" s="499"/>
      <c r="S28" s="499"/>
      <c r="T28" s="499"/>
      <c r="U28" s="505"/>
    </row>
    <row r="29" spans="2:21" ht="13.5" thickBot="1">
      <c r="B29" s="96"/>
      <c r="C29" s="773" t="s">
        <v>142</v>
      </c>
      <c r="D29" s="773" t="s">
        <v>134</v>
      </c>
      <c r="E29" s="773" t="s">
        <v>135</v>
      </c>
      <c r="F29" s="773"/>
      <c r="G29" s="773"/>
      <c r="H29" s="784" t="s">
        <v>136</v>
      </c>
      <c r="I29" s="784"/>
      <c r="J29" s="784"/>
      <c r="K29" s="784"/>
      <c r="L29" s="773" t="s">
        <v>137</v>
      </c>
      <c r="M29" s="773" t="s">
        <v>138</v>
      </c>
      <c r="N29" s="97"/>
      <c r="O29" s="620" t="s">
        <v>434</v>
      </c>
      <c r="P29" s="511">
        <f>n_ail</f>
        <v>59</v>
      </c>
      <c r="Q29" s="2"/>
      <c r="R29" s="499"/>
      <c r="S29" s="499"/>
      <c r="T29" s="499"/>
      <c r="U29" s="609" t="s">
        <v>438</v>
      </c>
    </row>
    <row r="30" spans="2:21" ht="13.5" thickBot="1">
      <c r="B30" s="96"/>
      <c r="C30" s="773"/>
      <c r="D30" s="773"/>
      <c r="E30" s="773"/>
      <c r="F30" s="773"/>
      <c r="G30" s="773"/>
      <c r="H30" s="784" t="s">
        <v>139</v>
      </c>
      <c r="I30" s="784"/>
      <c r="J30" s="91" t="s">
        <v>140</v>
      </c>
      <c r="K30" s="92" t="s">
        <v>141</v>
      </c>
      <c r="L30" s="773"/>
      <c r="M30" s="773"/>
      <c r="N30" s="97"/>
      <c r="P30" s="512"/>
      <c r="R30" s="499"/>
      <c r="S30" s="499"/>
      <c r="T30" s="619" t="s">
        <v>436</v>
      </c>
      <c r="U30" s="625">
        <f>[0]!p_can</f>
        <v>40</v>
      </c>
    </row>
    <row r="31" spans="2:21" ht="13.5" thickBot="1">
      <c r="B31" s="96"/>
      <c r="C31" s="107">
        <f>Beta_rampe</f>
        <v>80</v>
      </c>
      <c r="D31" s="108">
        <f ca="1">Portee_balistique</f>
        <v>184.26379383972827</v>
      </c>
      <c r="E31" s="785">
        <f ca="1">T_para+Dt_para</f>
        <v>68.427298984283013</v>
      </c>
      <c r="F31" s="785"/>
      <c r="G31" s="785"/>
      <c r="H31" s="786">
        <f ca="1">Altitude_culmi</f>
        <v>310.72890500764521</v>
      </c>
      <c r="I31" s="786"/>
      <c r="J31" s="109">
        <f ca="1">Temps_culmi</f>
        <v>7.6999999999999895</v>
      </c>
      <c r="K31" s="110">
        <f ca="1">Vit_culmi</f>
        <v>11.517804104564037</v>
      </c>
      <c r="L31" s="108">
        <f ca="1">Acc_max</f>
        <v>124.22242088010483</v>
      </c>
      <c r="M31" s="110">
        <f ca="1">Vit_max</f>
        <v>91.996736876501998</v>
      </c>
      <c r="N31" s="97"/>
      <c r="O31" s="620" t="s">
        <v>440</v>
      </c>
      <c r="P31" s="511">
        <f>ep_ail</f>
        <v>2</v>
      </c>
      <c r="Q31" s="2"/>
      <c r="R31" s="499"/>
      <c r="S31" s="499"/>
      <c r="T31" s="623" t="s">
        <v>348</v>
      </c>
      <c r="U31" s="625">
        <f>[0]!m_can</f>
        <v>70</v>
      </c>
    </row>
    <row r="32" spans="2:21" ht="13.5" thickBot="1">
      <c r="B32" s="96"/>
      <c r="C32" s="616"/>
      <c r="D32" s="307"/>
      <c r="E32" s="304"/>
      <c r="F32" s="304"/>
      <c r="G32" s="304"/>
      <c r="H32" s="617"/>
      <c r="I32" s="617"/>
      <c r="J32" s="304"/>
      <c r="K32" s="306"/>
      <c r="L32" s="307"/>
      <c r="M32" s="306"/>
      <c r="N32" s="97"/>
      <c r="O32" s="620" t="s">
        <v>439</v>
      </c>
      <c r="P32" s="622">
        <f>Q_ail</f>
        <v>4</v>
      </c>
      <c r="Q32" s="2"/>
      <c r="R32" s="499"/>
      <c r="S32" s="499"/>
      <c r="T32" s="623" t="s">
        <v>434</v>
      </c>
      <c r="U32" s="625">
        <f>[0]!n_can</f>
        <v>10</v>
      </c>
    </row>
    <row r="33" spans="2:21" ht="13.5" thickBot="1">
      <c r="B33" s="96"/>
      <c r="C33" s="81"/>
      <c r="D33" s="103"/>
      <c r="E33" s="104"/>
      <c r="F33" s="104"/>
      <c r="G33" s="104"/>
      <c r="H33" s="105"/>
      <c r="I33" s="105"/>
      <c r="J33" s="104"/>
      <c r="K33" s="106"/>
      <c r="L33" s="103"/>
      <c r="M33" s="106"/>
      <c r="N33" s="97"/>
      <c r="O33" s="2"/>
      <c r="Q33" s="2"/>
      <c r="R33" s="499"/>
      <c r="S33" s="499"/>
      <c r="T33" s="619" t="s">
        <v>435</v>
      </c>
      <c r="U33" s="625">
        <f>[0]!E_can</f>
        <v>50</v>
      </c>
    </row>
    <row r="34" spans="2:21" ht="13.5" thickBot="1">
      <c r="B34" s="99"/>
      <c r="C34" s="102"/>
      <c r="D34" s="100"/>
      <c r="E34" s="100"/>
      <c r="F34" s="100"/>
      <c r="G34" s="100"/>
      <c r="H34" s="100"/>
      <c r="I34" s="100"/>
      <c r="J34" s="100"/>
      <c r="K34" s="100"/>
      <c r="L34" s="100"/>
      <c r="M34" s="100"/>
      <c r="N34" s="101"/>
      <c r="O34" s="2"/>
      <c r="P34" s="501" t="s">
        <v>435</v>
      </c>
      <c r="Q34" s="511">
        <f>E_ail</f>
        <v>99</v>
      </c>
      <c r="T34" s="627" t="s">
        <v>440</v>
      </c>
      <c r="U34" s="625">
        <f>[0]!ep_can</f>
        <v>2</v>
      </c>
    </row>
    <row r="35" spans="2:21" ht="13">
      <c r="B35" s="81"/>
      <c r="C35" s="81"/>
      <c r="D35" s="23"/>
      <c r="E35" s="23"/>
      <c r="F35" s="23"/>
      <c r="G35" s="23"/>
      <c r="H35" s="23"/>
      <c r="I35" s="23"/>
      <c r="J35" s="23"/>
      <c r="K35" s="23"/>
      <c r="L35" s="23"/>
      <c r="M35" s="23"/>
      <c r="N35" s="81"/>
      <c r="O35" s="2"/>
      <c r="P35" s="8"/>
      <c r="Q35" s="8"/>
      <c r="R35" s="81"/>
      <c r="S35" s="81"/>
      <c r="T35" s="624" t="s">
        <v>439</v>
      </c>
      <c r="U35" s="626">
        <f>[0]!Q_can</f>
        <v>4</v>
      </c>
    </row>
    <row r="36" spans="2:21" ht="13.5" thickBot="1">
      <c r="T36" s="2"/>
      <c r="U36" s="512"/>
    </row>
    <row r="37" spans="2:21" ht="13">
      <c r="B37" s="93"/>
      <c r="C37" s="94"/>
      <c r="D37" s="94"/>
      <c r="E37" s="94"/>
      <c r="F37" s="94"/>
      <c r="G37" s="94"/>
      <c r="H37" s="94"/>
      <c r="I37" s="94"/>
      <c r="J37" s="94"/>
      <c r="K37" s="94"/>
      <c r="L37" s="94"/>
      <c r="M37" s="94"/>
      <c r="N37" s="95"/>
      <c r="T37" s="2"/>
    </row>
    <row r="38" spans="2:21" ht="13">
      <c r="B38" s="96"/>
      <c r="C38" s="81"/>
      <c r="D38" s="2" t="s">
        <v>198</v>
      </c>
      <c r="E38" s="81"/>
      <c r="F38" s="81"/>
      <c r="G38" s="81"/>
      <c r="H38" s="81"/>
      <c r="I38" s="81"/>
      <c r="J38" s="81"/>
      <c r="K38" s="81"/>
      <c r="L38" s="81"/>
      <c r="M38" s="81"/>
      <c r="N38" s="97"/>
    </row>
    <row r="39" spans="2:21" ht="13">
      <c r="B39" s="96"/>
      <c r="C39" s="81"/>
      <c r="D39" s="2"/>
      <c r="E39" s="81"/>
      <c r="F39" s="81"/>
      <c r="G39" s="81"/>
      <c r="H39" s="81"/>
      <c r="I39" s="81"/>
      <c r="J39" s="81"/>
      <c r="K39" s="81"/>
      <c r="L39" s="81"/>
      <c r="M39" s="81"/>
      <c r="N39" s="97"/>
    </row>
    <row r="40" spans="2:21" ht="13">
      <c r="B40" s="96"/>
      <c r="C40" s="81"/>
      <c r="D40" s="323" t="s">
        <v>150</v>
      </c>
      <c r="E40" s="290">
        <f>D_ref</f>
        <v>59</v>
      </c>
      <c r="F40" s="313"/>
      <c r="G40" s="313"/>
      <c r="H40" s="309" t="s">
        <v>201</v>
      </c>
      <c r="I40" s="309" t="s">
        <v>202</v>
      </c>
      <c r="J40" s="310" t="s">
        <v>203</v>
      </c>
      <c r="K40" s="81"/>
      <c r="L40" s="81"/>
      <c r="M40" s="81"/>
      <c r="N40" s="97"/>
    </row>
    <row r="41" spans="2:21" ht="13">
      <c r="B41" s="96"/>
      <c r="C41" s="81"/>
      <c r="D41" s="324" t="s">
        <v>148</v>
      </c>
      <c r="E41" s="8">
        <f>Long_ogive</f>
        <v>199</v>
      </c>
      <c r="F41" s="2"/>
      <c r="G41" s="2" t="s">
        <v>204</v>
      </c>
      <c r="H41" s="8">
        <f>MasseSans</f>
        <v>0.35899999999999999</v>
      </c>
      <c r="I41" s="8">
        <f ca="1">MasseVide</f>
        <v>0.42899999999999999</v>
      </c>
      <c r="J41" s="288">
        <f ca="1">MassePlein</f>
        <v>0.46099999999999997</v>
      </c>
      <c r="K41" s="81"/>
      <c r="L41" s="81"/>
      <c r="M41" s="81"/>
      <c r="N41" s="97"/>
    </row>
    <row r="42" spans="2:21" ht="13">
      <c r="B42" s="96"/>
      <c r="C42" s="81"/>
      <c r="D42" s="324" t="s">
        <v>151</v>
      </c>
      <c r="E42" s="8">
        <f>X_ail-m_ail</f>
        <v>892</v>
      </c>
      <c r="F42" s="299"/>
      <c r="G42" s="299" t="s">
        <v>221</v>
      </c>
      <c r="H42" s="311">
        <f>XcgSans</f>
        <v>639</v>
      </c>
      <c r="I42" s="311">
        <f ca="1">XcgVide</f>
        <v>690.07226107226109</v>
      </c>
      <c r="J42" s="289">
        <f ca="1">XcgPlein</f>
        <v>708.25379609544473</v>
      </c>
      <c r="K42" s="81"/>
      <c r="L42" s="81"/>
      <c r="M42" s="81"/>
      <c r="N42" s="97"/>
    </row>
    <row r="43" spans="2:21" ht="13">
      <c r="B43" s="96"/>
      <c r="C43" s="81"/>
      <c r="D43" s="324" t="str">
        <f>IF(Lang="Français","Emplanture 'm'",IF(Lang="English","Root edge  'm'",""))</f>
        <v>Emplanture 'm'</v>
      </c>
      <c r="E43" s="288">
        <f>m_ail</f>
        <v>109</v>
      </c>
      <c r="F43" s="81"/>
      <c r="G43" s="81"/>
      <c r="H43" s="81"/>
      <c r="I43" s="81"/>
      <c r="J43" s="81"/>
      <c r="K43" s="81"/>
      <c r="L43" s="81"/>
      <c r="M43" s="81"/>
      <c r="N43" s="97"/>
    </row>
    <row r="44" spans="2:21" ht="13">
      <c r="B44" s="96"/>
      <c r="C44" s="81"/>
      <c r="D44" s="324" t="str">
        <f>IF(Lang="Français","Saumon      'n'",IF(Lang="English","Tip edge    'n'",""))</f>
        <v>Saumon      'n'</v>
      </c>
      <c r="E44" s="288">
        <f>n_ail</f>
        <v>59</v>
      </c>
      <c r="F44" s="290" t="s">
        <v>205</v>
      </c>
      <c r="G44" s="290" t="s">
        <v>210</v>
      </c>
      <c r="H44" s="793">
        <f ca="1">Vsortie_de_rampe</f>
        <v>18.097176677647496</v>
      </c>
      <c r="I44" s="794"/>
      <c r="J44" s="81"/>
      <c r="K44" s="81"/>
      <c r="L44" s="81"/>
      <c r="M44" s="81"/>
      <c r="N44" s="97"/>
    </row>
    <row r="45" spans="2:21" ht="13">
      <c r="B45" s="96"/>
      <c r="C45" s="81"/>
      <c r="D45" s="324" t="str">
        <f>IF(Lang="Français","Flèche        'p'",IF(Lang="English","Offset         'p'",""))</f>
        <v>Flèche        'p'</v>
      </c>
      <c r="E45" s="288">
        <f>p_ail</f>
        <v>109</v>
      </c>
      <c r="F45" s="8" t="s">
        <v>206</v>
      </c>
      <c r="G45" s="8" t="s">
        <v>211</v>
      </c>
      <c r="H45" s="780">
        <f>Finesse</f>
        <v>16.966101694915253</v>
      </c>
      <c r="I45" s="781"/>
      <c r="J45" s="81"/>
      <c r="K45" s="81"/>
      <c r="L45" s="81"/>
      <c r="M45" s="81"/>
      <c r="N45" s="97"/>
    </row>
    <row r="46" spans="2:21" ht="13">
      <c r="B46" s="96"/>
      <c r="C46" s="81"/>
      <c r="D46" s="324" t="str">
        <f>IF(Lang="Français","Envergure   'E'",IF(Lang="English","Span          'E'",""))</f>
        <v>Envergure   'E'</v>
      </c>
      <c r="E46" s="288">
        <f>E_ail</f>
        <v>99</v>
      </c>
      <c r="F46" s="8" t="s">
        <v>207</v>
      </c>
      <c r="G46" s="8" t="s">
        <v>212</v>
      </c>
      <c r="H46" s="780">
        <f>Cn</f>
        <v>21.497524281832401</v>
      </c>
      <c r="I46" s="781"/>
      <c r="J46" s="81"/>
      <c r="K46" s="81"/>
      <c r="L46" s="81"/>
      <c r="M46" s="81"/>
      <c r="N46" s="97"/>
    </row>
    <row r="47" spans="2:21" ht="13">
      <c r="B47" s="96"/>
      <c r="C47" s="81"/>
      <c r="D47" s="324" t="s">
        <v>145</v>
      </c>
      <c r="E47" s="288">
        <f>ep_ail</f>
        <v>2</v>
      </c>
      <c r="F47" s="8" t="s">
        <v>208</v>
      </c>
      <c r="G47" s="8" t="s">
        <v>213</v>
      </c>
      <c r="H47" s="291">
        <f ca="1">MS_min</f>
        <v>2.9412578598946553</v>
      </c>
      <c r="I47" s="298">
        <f ca="1">MS_max</f>
        <v>3.2494194704570898</v>
      </c>
      <c r="J47" s="81"/>
      <c r="K47" s="81"/>
      <c r="L47" s="81"/>
      <c r="M47" s="81"/>
      <c r="N47" s="97"/>
    </row>
    <row r="48" spans="2:21" ht="13">
      <c r="B48" s="96"/>
      <c r="C48" s="81"/>
      <c r="D48" s="324" t="s">
        <v>146</v>
      </c>
      <c r="E48" s="288">
        <f>Q_ail</f>
        <v>4</v>
      </c>
      <c r="F48" s="322" t="s">
        <v>209</v>
      </c>
      <c r="G48" s="322" t="s">
        <v>214</v>
      </c>
      <c r="H48" s="300">
        <f ca="1">MS_Cn_min</f>
        <v>63.229762262215758</v>
      </c>
      <c r="I48" s="312">
        <f ca="1">MS_Cn_max</f>
        <v>69.854473968010268</v>
      </c>
      <c r="J48" s="81"/>
      <c r="K48" s="81"/>
      <c r="L48" s="81"/>
      <c r="M48" s="81"/>
      <c r="N48" s="97"/>
    </row>
    <row r="49" spans="2:14" ht="13">
      <c r="B49" s="96"/>
      <c r="C49" s="81"/>
      <c r="D49" s="324" t="s">
        <v>149</v>
      </c>
      <c r="E49" s="288">
        <f ca="1">XpropuRef-Long_propu</f>
        <v>903</v>
      </c>
      <c r="F49" s="81"/>
      <c r="G49" s="81"/>
      <c r="H49" s="81"/>
      <c r="I49" s="81"/>
      <c r="J49" s="81"/>
      <c r="K49" s="81"/>
      <c r="L49" s="81"/>
      <c r="M49" s="81"/>
      <c r="N49" s="97"/>
    </row>
    <row r="50" spans="2:14" ht="13">
      <c r="B50" s="96"/>
      <c r="C50" s="81"/>
      <c r="D50" s="324" t="s">
        <v>147</v>
      </c>
      <c r="E50" s="320" t="str">
        <f>Forme_ogive</f>
        <v>Ogivale (pointue)</v>
      </c>
      <c r="F50" s="321" t="s">
        <v>186</v>
      </c>
      <c r="G50" s="323" t="s">
        <v>5</v>
      </c>
      <c r="H50" s="290">
        <f>Cx</f>
        <v>0.5</v>
      </c>
      <c r="I50" s="313"/>
      <c r="J50" s="314"/>
      <c r="K50" s="81"/>
      <c r="L50" s="81"/>
      <c r="M50" s="81"/>
      <c r="N50" s="97"/>
    </row>
    <row r="51" spans="2:14" ht="13">
      <c r="B51" s="96"/>
      <c r="C51" s="81"/>
      <c r="D51" s="324" t="s">
        <v>143</v>
      </c>
      <c r="E51" s="288">
        <f>Long_tot</f>
        <v>1001</v>
      </c>
      <c r="F51" s="81"/>
      <c r="G51" s="324" t="s">
        <v>215</v>
      </c>
      <c r="H51" s="8">
        <f>Sref</f>
        <v>3.5259710067865177E-3</v>
      </c>
      <c r="I51" s="81"/>
      <c r="J51" s="315"/>
      <c r="K51" s="81"/>
      <c r="L51" s="81"/>
      <c r="M51" s="81"/>
      <c r="N51" s="97"/>
    </row>
    <row r="52" spans="2:14" ht="13">
      <c r="B52" s="96"/>
      <c r="C52" s="81"/>
      <c r="D52" s="324" t="s">
        <v>199</v>
      </c>
      <c r="E52" s="288">
        <f>MAX(D_ref,D_ail,D_og,(RIGHT(Nb_diam,1)=",")*MAX(D1j,D1r,D2j,D2r))</f>
        <v>80</v>
      </c>
      <c r="F52" s="81"/>
      <c r="G52" s="324" t="s">
        <v>216</v>
      </c>
      <c r="H52" s="8">
        <f>Beta_rampe</f>
        <v>80</v>
      </c>
      <c r="I52" s="8">
        <v>80</v>
      </c>
      <c r="J52" s="288">
        <v>90</v>
      </c>
      <c r="K52" s="81"/>
      <c r="L52" s="81"/>
      <c r="M52" s="81"/>
      <c r="N52" s="97"/>
    </row>
    <row r="53" spans="2:14" ht="13">
      <c r="B53" s="96"/>
      <c r="C53" s="81"/>
      <c r="D53" s="325" t="s">
        <v>200</v>
      </c>
      <c r="E53" s="308">
        <f>E_ail*2+D_ail</f>
        <v>257</v>
      </c>
      <c r="F53" s="81"/>
      <c r="G53" s="327" t="s">
        <v>218</v>
      </c>
      <c r="H53" s="304">
        <f ca="1">Temps_culmi</f>
        <v>7.6999999999999895</v>
      </c>
      <c r="I53" s="305"/>
      <c r="J53" s="316"/>
      <c r="K53" s="81"/>
      <c r="L53" s="81"/>
      <c r="M53" s="81"/>
      <c r="N53" s="97"/>
    </row>
    <row r="54" spans="2:14" ht="13">
      <c r="B54" s="96"/>
      <c r="C54" s="81"/>
      <c r="D54" s="81"/>
      <c r="E54" s="81"/>
      <c r="F54" s="81"/>
      <c r="G54" s="327" t="s">
        <v>219</v>
      </c>
      <c r="H54" s="286">
        <f ca="1">Altitude_culmi</f>
        <v>310.72890500764521</v>
      </c>
      <c r="I54" s="305"/>
      <c r="J54" s="316"/>
      <c r="K54" s="81"/>
      <c r="L54" s="81"/>
      <c r="M54" s="81"/>
      <c r="N54" s="97"/>
    </row>
    <row r="55" spans="2:14" ht="13">
      <c r="B55" s="96"/>
      <c r="C55" s="323" t="s">
        <v>236</v>
      </c>
      <c r="D55" s="293" t="s">
        <v>61</v>
      </c>
      <c r="E55" s="287">
        <f>Long_tot</f>
        <v>1001</v>
      </c>
      <c r="F55" s="81"/>
      <c r="G55" s="327" t="s">
        <v>220</v>
      </c>
      <c r="H55" s="306">
        <f ca="1">Vit_culmi</f>
        <v>11.517804104564037</v>
      </c>
      <c r="I55" s="305"/>
      <c r="J55" s="316"/>
      <c r="K55" s="81"/>
      <c r="L55" s="81"/>
      <c r="M55" s="81"/>
      <c r="N55" s="97"/>
    </row>
    <row r="56" spans="2:14" ht="13">
      <c r="B56" s="96"/>
      <c r="C56" s="324"/>
      <c r="D56" s="2" t="s">
        <v>222</v>
      </c>
      <c r="E56" s="288">
        <f>MAX(D_ref,D_ail,D_og,(RIGHT(Nb_diam,1)=",")*MAX(D1j,D1r,D2j,D2r))</f>
        <v>80</v>
      </c>
      <c r="F56" s="81"/>
      <c r="G56" s="327" t="s">
        <v>134</v>
      </c>
      <c r="H56" s="307">
        <f ca="1">Portee_balistique</f>
        <v>184.26379383972827</v>
      </c>
      <c r="I56" s="305"/>
      <c r="J56" s="316"/>
      <c r="K56" s="81"/>
      <c r="L56" s="81"/>
      <c r="M56" s="81"/>
      <c r="N56" s="97"/>
    </row>
    <row r="57" spans="2:14" ht="13">
      <c r="B57" s="96"/>
      <c r="C57" s="324"/>
      <c r="D57" s="2" t="s">
        <v>223</v>
      </c>
      <c r="E57" s="288">
        <f>E_ail*2+D_ail</f>
        <v>257</v>
      </c>
      <c r="F57" s="81"/>
      <c r="G57" s="327" t="s">
        <v>217</v>
      </c>
      <c r="H57" s="307">
        <f ca="1">T_balistique</f>
        <v>16.899999999999974</v>
      </c>
      <c r="I57" s="305"/>
      <c r="J57" s="316"/>
      <c r="K57" s="81"/>
      <c r="L57" s="81"/>
      <c r="M57" s="81"/>
      <c r="N57" s="97"/>
    </row>
    <row r="58" spans="2:14" ht="13">
      <c r="B58" s="96"/>
      <c r="C58" s="324"/>
      <c r="D58" s="2" t="s">
        <v>224</v>
      </c>
      <c r="E58" s="288">
        <f ca="1">MassePlein</f>
        <v>0.46099999999999997</v>
      </c>
      <c r="F58" s="81"/>
      <c r="G58" s="327" t="s">
        <v>138</v>
      </c>
      <c r="H58" s="306">
        <f ca="1">Vit_max</f>
        <v>91.996736876501998</v>
      </c>
      <c r="I58" s="305"/>
      <c r="J58" s="316"/>
      <c r="K58" s="81"/>
      <c r="L58" s="81"/>
      <c r="M58" s="81"/>
      <c r="N58" s="97"/>
    </row>
    <row r="59" spans="2:14" ht="13">
      <c r="B59" s="96"/>
      <c r="C59" s="325" t="s">
        <v>237</v>
      </c>
      <c r="D59" s="299" t="s">
        <v>146</v>
      </c>
      <c r="E59" s="308">
        <f>Q_ail</f>
        <v>4</v>
      </c>
      <c r="F59" s="81"/>
      <c r="G59" s="327" t="s">
        <v>137</v>
      </c>
      <c r="H59" s="307">
        <f ca="1">Acc_max</f>
        <v>124.22242088010483</v>
      </c>
      <c r="I59" s="305"/>
      <c r="J59" s="316"/>
      <c r="K59" s="81"/>
      <c r="L59" s="81"/>
      <c r="M59" s="81"/>
      <c r="N59" s="97"/>
    </row>
    <row r="60" spans="2:14">
      <c r="B60" s="96"/>
      <c r="C60" s="284"/>
      <c r="D60" s="81"/>
      <c r="E60" s="81"/>
      <c r="F60" s="81"/>
      <c r="G60" s="317" t="s">
        <v>225</v>
      </c>
      <c r="H60" s="318"/>
      <c r="I60" s="318"/>
      <c r="J60" s="319"/>
      <c r="K60" s="81"/>
      <c r="L60" s="81"/>
      <c r="M60" s="81"/>
      <c r="N60" s="97"/>
    </row>
    <row r="61" spans="2:14" ht="13">
      <c r="B61" s="96"/>
      <c r="C61" s="323"/>
      <c r="D61" s="293"/>
      <c r="E61" s="290" t="s">
        <v>229</v>
      </c>
      <c r="F61" s="287" t="s">
        <v>230</v>
      </c>
      <c r="G61" s="19"/>
      <c r="H61" s="19"/>
      <c r="I61" s="19"/>
      <c r="J61" s="19"/>
      <c r="K61" s="2"/>
      <c r="L61" s="81"/>
      <c r="M61" s="81"/>
      <c r="N61" s="97"/>
    </row>
    <row r="62" spans="2:14" ht="13">
      <c r="B62" s="96"/>
      <c r="C62" s="324" t="s">
        <v>238</v>
      </c>
      <c r="D62" s="329" t="s">
        <v>228</v>
      </c>
      <c r="E62" s="286">
        <f ca="1">2*Acc_max*MassePlein</f>
        <v>114.53307205145664</v>
      </c>
      <c r="F62" s="330">
        <f ca="1">E62/9.81</f>
        <v>11.675134765693846</v>
      </c>
      <c r="H62" s="19"/>
      <c r="I62" s="19"/>
      <c r="J62" s="19"/>
      <c r="K62" s="2"/>
      <c r="L62" s="81"/>
      <c r="M62" s="81"/>
      <c r="N62" s="97"/>
    </row>
    <row r="63" spans="2:14" ht="13">
      <c r="B63" s="96"/>
      <c r="C63" s="324"/>
      <c r="D63" s="2" t="s">
        <v>226</v>
      </c>
      <c r="E63" s="286">
        <f ca="1">2*Acc_max*Masse_ail</f>
        <v>8.2642692163116163</v>
      </c>
      <c r="F63" s="292">
        <f ca="1">E63/9.81</f>
        <v>0.84243315150984865</v>
      </c>
      <c r="G63" s="290" t="s">
        <v>232</v>
      </c>
      <c r="H63" s="338">
        <f>S_ail*(ep_ail/1000)*2000</f>
        <v>3.3264000000000009E-2</v>
      </c>
      <c r="I63" s="19"/>
      <c r="J63" s="19"/>
      <c r="K63" s="2"/>
      <c r="L63" s="81"/>
      <c r="M63" s="81"/>
      <c r="N63" s="97"/>
    </row>
    <row r="64" spans="2:14" ht="13">
      <c r="B64" s="96"/>
      <c r="C64" s="325"/>
      <c r="D64" s="299" t="s">
        <v>227</v>
      </c>
      <c r="E64" s="311">
        <f ca="1">0.104*S_ail*Vit_max^2</f>
        <v>7.3196896281295105</v>
      </c>
      <c r="F64" s="331">
        <f ca="1">E64/9.81</f>
        <v>0.74614573171554643</v>
      </c>
      <c r="G64" s="322" t="s">
        <v>231</v>
      </c>
      <c r="H64" s="339">
        <f>(E_ail*(m_ail+n_ail)/2)/10^6</f>
        <v>8.3160000000000005E-3</v>
      </c>
      <c r="I64" s="19"/>
      <c r="J64" s="19"/>
      <c r="K64" s="19"/>
      <c r="L64" s="81"/>
      <c r="M64" s="81"/>
      <c r="N64" s="97"/>
    </row>
    <row r="65" spans="2:14" ht="13">
      <c r="B65" s="96"/>
      <c r="C65" s="332" t="s">
        <v>245</v>
      </c>
      <c r="D65" s="335" t="s">
        <v>243</v>
      </c>
      <c r="E65" s="336">
        <f ca="1">2*Acc_max*H65</f>
        <v>57.266536025728321</v>
      </c>
      <c r="F65" s="336">
        <f ca="1">E65/9.81</f>
        <v>5.837567382846923</v>
      </c>
      <c r="G65" s="337" t="s">
        <v>244</v>
      </c>
      <c r="H65" s="328">
        <f ca="1">E58/2</f>
        <v>0.23049999999999998</v>
      </c>
      <c r="I65" s="19"/>
      <c r="J65" s="19"/>
      <c r="K65" s="19"/>
      <c r="L65" s="81"/>
      <c r="M65" s="81"/>
      <c r="N65" s="97"/>
    </row>
    <row r="66" spans="2:14" ht="13">
      <c r="B66" s="96"/>
      <c r="C66" s="326"/>
      <c r="D66" s="19"/>
      <c r="E66" s="19"/>
      <c r="F66" s="19"/>
      <c r="G66" s="19"/>
      <c r="H66" s="19"/>
      <c r="I66" s="19"/>
      <c r="J66" s="19"/>
      <c r="K66" s="19"/>
      <c r="L66" s="81"/>
      <c r="M66" s="81"/>
      <c r="N66" s="97"/>
    </row>
    <row r="67" spans="2:14" ht="13">
      <c r="B67" s="96"/>
      <c r="F67" s="323" t="s">
        <v>235</v>
      </c>
      <c r="G67" s="293" t="s">
        <v>233</v>
      </c>
      <c r="H67" s="294">
        <f>T_para</f>
        <v>8</v>
      </c>
      <c r="I67" s="295">
        <f ca="1">Temps_culmi</f>
        <v>7.6999999999999895</v>
      </c>
      <c r="J67" s="19"/>
      <c r="K67" s="19"/>
      <c r="L67" s="81"/>
      <c r="M67" s="81"/>
      <c r="N67" s="97"/>
    </row>
    <row r="68" spans="2:14" ht="13">
      <c r="B68" s="96"/>
      <c r="C68" s="326"/>
      <c r="D68" s="19"/>
      <c r="E68" s="19"/>
      <c r="F68" s="323" t="s">
        <v>234</v>
      </c>
      <c r="G68" s="293" t="s">
        <v>130</v>
      </c>
      <c r="H68" s="294">
        <f ca="1">V_para</f>
        <v>5.1386884091799487</v>
      </c>
      <c r="I68" s="295">
        <f>V_satellite</f>
        <v>10.960038730752361</v>
      </c>
      <c r="J68" s="19"/>
      <c r="K68" s="19"/>
      <c r="L68" s="81"/>
      <c r="M68" s="81"/>
      <c r="N68" s="97"/>
    </row>
    <row r="69" spans="2:14" ht="13">
      <c r="B69" s="96"/>
      <c r="C69" s="326"/>
      <c r="D69" s="19"/>
      <c r="E69" s="19"/>
      <c r="F69" s="324"/>
      <c r="G69" s="2" t="s">
        <v>240</v>
      </c>
      <c r="H69" s="291">
        <f>S_para</f>
        <v>0.26020500000000002</v>
      </c>
      <c r="I69" s="297">
        <f>S_satellite</f>
        <v>0.02</v>
      </c>
      <c r="J69" s="19"/>
      <c r="K69" s="19"/>
      <c r="L69" s="81"/>
      <c r="M69" s="81"/>
      <c r="N69" s="97"/>
    </row>
    <row r="70" spans="2:14" ht="13">
      <c r="B70" s="96"/>
      <c r="C70" s="285"/>
      <c r="D70" s="2"/>
      <c r="E70" s="81"/>
      <c r="F70" s="324"/>
      <c r="G70" s="2" t="s">
        <v>239</v>
      </c>
      <c r="H70" s="291">
        <f ca="1">V_ouverture</f>
        <v>11.601576152780801</v>
      </c>
      <c r="I70" s="297">
        <f ca="1">V_ouv_sat</f>
        <v>53.152007898746668</v>
      </c>
      <c r="L70" s="81"/>
      <c r="M70" s="81"/>
      <c r="N70" s="97"/>
    </row>
    <row r="71" spans="2:14" ht="13">
      <c r="B71" s="96"/>
      <c r="C71" s="265"/>
      <c r="E71" s="81"/>
      <c r="F71" s="324"/>
      <c r="G71" s="2" t="s">
        <v>204</v>
      </c>
      <c r="H71" s="291">
        <f ca="1">m_vide</f>
        <v>0.42899999999999999</v>
      </c>
      <c r="I71" s="297">
        <f>m_satellite</f>
        <v>0.15</v>
      </c>
      <c r="J71" s="81"/>
      <c r="K71" s="81"/>
      <c r="L71" s="81"/>
      <c r="M71" s="81"/>
      <c r="N71" s="97"/>
    </row>
    <row r="72" spans="2:14" ht="13">
      <c r="B72" s="96"/>
      <c r="C72" s="265"/>
      <c r="E72" s="81"/>
      <c r="F72" s="324"/>
      <c r="G72" s="2" t="s">
        <v>241</v>
      </c>
      <c r="H72" s="333">
        <f ca="1">1/2*Rho_moyen*S_para*V_ouverture^2</f>
        <v>21.451403931405761</v>
      </c>
      <c r="I72" s="334">
        <f ca="1">1/2*Rho_moyen*S_satellite*V_ouv_sat^2</f>
        <v>34.607915309938249</v>
      </c>
      <c r="J72" s="81"/>
      <c r="K72" s="81"/>
      <c r="L72" s="81"/>
      <c r="M72" s="81"/>
      <c r="N72" s="97"/>
    </row>
    <row r="73" spans="2:14" ht="13">
      <c r="B73" s="96"/>
      <c r="C73" s="81"/>
      <c r="D73" s="2"/>
      <c r="E73" s="81"/>
      <c r="F73" s="325"/>
      <c r="G73" s="299" t="s">
        <v>242</v>
      </c>
      <c r="H73" s="300">
        <f ca="1">H72/9.81</f>
        <v>2.1866874547814228</v>
      </c>
      <c r="I73" s="301">
        <f ca="1">I72/9.81</f>
        <v>3.5278201131435525</v>
      </c>
      <c r="J73" s="81"/>
      <c r="K73" s="81"/>
      <c r="L73" s="81"/>
      <c r="M73" s="81"/>
      <c r="N73" s="97"/>
    </row>
    <row r="74" spans="2:14" ht="13" thickBot="1">
      <c r="B74" s="99"/>
      <c r="C74" s="102"/>
      <c r="D74" s="102"/>
      <c r="E74" s="102"/>
      <c r="F74" s="102"/>
      <c r="G74" s="102"/>
      <c r="H74" s="102"/>
      <c r="I74" s="102"/>
      <c r="J74" s="102"/>
      <c r="K74" s="102"/>
      <c r="L74" s="102"/>
      <c r="M74" s="102"/>
      <c r="N74" s="101"/>
    </row>
    <row r="76" spans="2:14" ht="13" thickBot="1"/>
    <row r="77" spans="2:14">
      <c r="B77" s="93"/>
      <c r="C77" s="94"/>
      <c r="D77" s="94"/>
      <c r="E77" s="94"/>
      <c r="F77" s="94"/>
      <c r="G77" s="94"/>
      <c r="H77" s="94"/>
      <c r="I77" s="94"/>
      <c r="J77" s="94"/>
      <c r="K77" s="94"/>
      <c r="L77" s="94"/>
      <c r="M77" s="94"/>
      <c r="N77" s="95"/>
    </row>
    <row r="78" spans="2:14" ht="13">
      <c r="B78" s="96"/>
      <c r="C78" s="81"/>
      <c r="D78" s="2" t="s">
        <v>337</v>
      </c>
      <c r="E78" s="81"/>
      <c r="F78" s="81"/>
      <c r="G78" s="81"/>
      <c r="H78" s="81"/>
      <c r="I78" s="81"/>
      <c r="J78" s="81"/>
      <c r="K78" s="81"/>
      <c r="L78" s="81"/>
      <c r="M78" s="81"/>
      <c r="N78" s="97"/>
    </row>
    <row r="79" spans="2:14" ht="12.75" customHeight="1">
      <c r="B79" s="96"/>
      <c r="C79" s="81"/>
      <c r="D79" s="81"/>
      <c r="E79" s="499"/>
      <c r="F79" s="500"/>
      <c r="G79" s="504" t="s">
        <v>343</v>
      </c>
      <c r="H79" s="81"/>
      <c r="I79" s="524"/>
      <c r="J79" s="499"/>
      <c r="K79" s="499"/>
      <c r="L79" s="81"/>
      <c r="M79" s="81"/>
      <c r="N79" s="97"/>
    </row>
    <row r="80" spans="2:14" ht="13">
      <c r="B80" s="96"/>
      <c r="C80" s="323" t="s">
        <v>338</v>
      </c>
      <c r="D80" s="287" t="str">
        <f>Nom</f>
        <v>Ma fusée</v>
      </c>
      <c r="E80" s="499"/>
      <c r="F80" s="500"/>
      <c r="G80" s="499"/>
      <c r="H80" s="499"/>
      <c r="I80" s="499"/>
      <c r="J80" s="499"/>
      <c r="K80" s="499"/>
      <c r="L80" s="81"/>
      <c r="M80" s="81"/>
      <c r="N80" s="97"/>
    </row>
    <row r="81" spans="2:14" ht="13.5" thickBot="1">
      <c r="B81" s="96"/>
      <c r="C81" s="324" t="s">
        <v>4</v>
      </c>
      <c r="D81" s="288" t="str">
        <f>Club</f>
        <v>Mon club</v>
      </c>
      <c r="E81" s="499"/>
      <c r="F81" s="500"/>
      <c r="G81" s="499"/>
      <c r="H81" s="499"/>
      <c r="I81" s="499"/>
      <c r="J81" s="499"/>
      <c r="K81" s="499"/>
      <c r="L81" s="81"/>
      <c r="M81" s="81"/>
      <c r="N81" s="97"/>
    </row>
    <row r="82" spans="2:14" ht="13.5" thickBot="1">
      <c r="B82" s="96"/>
      <c r="C82" s="497" t="s">
        <v>339</v>
      </c>
      <c r="D82" s="288" t="s">
        <v>14</v>
      </c>
      <c r="E82" s="501" t="s">
        <v>344</v>
      </c>
      <c r="F82" s="511">
        <f>Long_ogive</f>
        <v>199</v>
      </c>
      <c r="G82" s="499"/>
      <c r="H82" s="499"/>
      <c r="I82" s="499"/>
      <c r="J82" s="499"/>
      <c r="K82" s="499"/>
      <c r="L82" s="81"/>
      <c r="M82" s="81"/>
      <c r="N82" s="97"/>
    </row>
    <row r="83" spans="2:14" ht="13">
      <c r="B83" s="96"/>
      <c r="C83" s="325" t="s">
        <v>340</v>
      </c>
      <c r="D83" s="498">
        <f ca="1">TODAY()</f>
        <v>44160</v>
      </c>
      <c r="E83" s="499"/>
      <c r="F83" s="505"/>
      <c r="G83" s="499"/>
      <c r="H83" s="499"/>
      <c r="I83" s="499"/>
      <c r="J83" s="499"/>
      <c r="K83" s="499"/>
      <c r="L83" s="81"/>
      <c r="M83" s="81"/>
      <c r="N83" s="97"/>
    </row>
    <row r="84" spans="2:14" ht="13" thickBot="1">
      <c r="B84" s="96"/>
      <c r="C84" s="81"/>
      <c r="D84" s="81"/>
      <c r="E84" s="499"/>
      <c r="F84" s="505"/>
      <c r="G84" s="499"/>
      <c r="H84" s="499"/>
      <c r="I84" s="499"/>
      <c r="J84" s="510" t="str">
        <f>IF(RIGHT(Nb_diam,1)=",", "", X_j)</f>
        <v/>
      </c>
      <c r="K84" s="499"/>
      <c r="L84" s="81"/>
      <c r="M84" s="81"/>
      <c r="N84" s="97"/>
    </row>
    <row r="85" spans="2:14" ht="13.5" thickBot="1">
      <c r="B85" s="96"/>
      <c r="C85" s="323" t="s">
        <v>341</v>
      </c>
      <c r="D85" s="287" t="str">
        <f>Propu</f>
        <v>p29-1G 56F31</v>
      </c>
      <c r="E85" s="501" t="s">
        <v>345</v>
      </c>
      <c r="F85" s="511">
        <f>D_og</f>
        <v>59</v>
      </c>
      <c r="G85" s="499"/>
      <c r="H85" s="499"/>
      <c r="I85" s="499"/>
      <c r="J85" s="505"/>
      <c r="K85" s="499"/>
      <c r="L85" s="81"/>
      <c r="M85" s="81"/>
      <c r="N85" s="97"/>
    </row>
    <row r="86" spans="2:14" ht="13">
      <c r="B86" s="96"/>
      <c r="C86" s="325" t="s">
        <v>342</v>
      </c>
      <c r="D86" s="308" t="s">
        <v>14</v>
      </c>
      <c r="E86" s="499"/>
      <c r="F86" s="505"/>
      <c r="G86" s="499"/>
      <c r="H86" s="499"/>
      <c r="I86" s="499"/>
      <c r="J86" s="510" t="str">
        <f>IF(RIGHT(Nb_diam,1)=",", "", X_r)</f>
        <v/>
      </c>
      <c r="K86" s="499"/>
      <c r="L86" s="81"/>
      <c r="M86" s="81"/>
      <c r="N86" s="97"/>
    </row>
    <row r="87" spans="2:14">
      <c r="B87" s="96"/>
      <c r="C87" s="81"/>
      <c r="D87" s="81"/>
      <c r="E87" s="499"/>
      <c r="F87" s="505"/>
      <c r="G87" s="499"/>
      <c r="H87" s="499"/>
      <c r="I87" s="499"/>
      <c r="J87" s="505"/>
      <c r="K87" s="499"/>
      <c r="L87" s="81"/>
      <c r="M87" s="81"/>
      <c r="N87" s="97"/>
    </row>
    <row r="88" spans="2:14">
      <c r="B88" s="96"/>
      <c r="C88" s="81"/>
      <c r="D88" s="81"/>
      <c r="E88" s="499"/>
      <c r="F88" s="505"/>
      <c r="G88" s="499"/>
      <c r="H88" s="499"/>
      <c r="I88" s="499"/>
      <c r="J88" s="510" t="str">
        <f>IF(RIGHT(Nb_diam,1)=",", "", l_j)</f>
        <v/>
      </c>
      <c r="K88" s="499"/>
      <c r="L88" s="81"/>
      <c r="M88" s="81"/>
      <c r="N88" s="97"/>
    </row>
    <row r="89" spans="2:14" ht="13" thickBot="1">
      <c r="B89" s="96"/>
      <c r="C89" s="81"/>
      <c r="D89" s="81"/>
      <c r="E89" s="499"/>
      <c r="F89" s="505"/>
      <c r="G89" s="499"/>
      <c r="H89" s="499"/>
      <c r="I89" s="499"/>
      <c r="J89" s="505"/>
      <c r="K89" s="499"/>
      <c r="L89" s="81"/>
      <c r="M89" s="81"/>
      <c r="N89" s="97"/>
    </row>
    <row r="90" spans="2:14" ht="13.5" thickBot="1">
      <c r="B90" s="96"/>
      <c r="C90" s="81"/>
      <c r="D90" s="81"/>
      <c r="E90" s="502" t="s">
        <v>346</v>
      </c>
      <c r="F90" s="510" t="str">
        <f>IF(RIGHT(Nb_diam,1)=",", "", D2j)</f>
        <v/>
      </c>
      <c r="G90" s="499"/>
      <c r="H90" s="499"/>
      <c r="I90" s="499"/>
      <c r="J90" s="511">
        <f>X_ail-m_ail</f>
        <v>892</v>
      </c>
      <c r="K90" s="503"/>
      <c r="L90" s="81"/>
      <c r="M90" s="81"/>
      <c r="N90" s="97"/>
    </row>
    <row r="91" spans="2:14">
      <c r="B91" s="96"/>
      <c r="C91" s="81"/>
      <c r="D91" s="81"/>
      <c r="E91" s="499"/>
      <c r="F91" s="505"/>
      <c r="G91" s="499"/>
      <c r="H91" s="499"/>
      <c r="I91" s="499"/>
      <c r="J91" s="505"/>
      <c r="K91" s="499"/>
      <c r="L91" s="81"/>
      <c r="M91" s="81"/>
      <c r="N91" s="97"/>
    </row>
    <row r="92" spans="2:14">
      <c r="B92" s="96"/>
      <c r="C92" s="81"/>
      <c r="D92" s="81"/>
      <c r="E92" s="499"/>
      <c r="F92" s="505"/>
      <c r="G92" s="499"/>
      <c r="H92" s="499"/>
      <c r="I92" s="499"/>
      <c r="J92" s="510" t="str">
        <f>IF(RIGHT(Nb_diam,1)=",", "", l_r)</f>
        <v/>
      </c>
      <c r="K92" s="499"/>
      <c r="L92" s="81"/>
      <c r="M92" s="81"/>
      <c r="N92" s="97"/>
    </row>
    <row r="93" spans="2:14">
      <c r="B93" s="96"/>
      <c r="C93" s="81"/>
      <c r="D93" s="81"/>
      <c r="E93" s="499"/>
      <c r="F93" s="505"/>
      <c r="G93" s="499"/>
      <c r="H93" s="499"/>
      <c r="I93" s="499"/>
      <c r="J93" s="505"/>
      <c r="K93" s="499"/>
      <c r="L93" s="81"/>
      <c r="M93" s="81"/>
      <c r="N93" s="97"/>
    </row>
    <row r="94" spans="2:14">
      <c r="B94" s="96"/>
      <c r="C94" s="81"/>
      <c r="D94" s="81"/>
      <c r="E94" s="502" t="s">
        <v>347</v>
      </c>
      <c r="F94" s="510" t="str">
        <f>IF(RIGHT(Nb_diam,1)=",", "", D2r)</f>
        <v/>
      </c>
      <c r="G94" s="499"/>
      <c r="H94" s="499"/>
      <c r="I94" s="499"/>
      <c r="J94" s="505"/>
      <c r="K94" s="499"/>
      <c r="L94" s="81"/>
      <c r="M94" s="81"/>
      <c r="N94" s="97"/>
    </row>
    <row r="95" spans="2:14">
      <c r="B95" s="96"/>
      <c r="C95" s="81"/>
      <c r="D95" s="81"/>
      <c r="E95" s="499"/>
      <c r="F95" s="505"/>
      <c r="G95" s="499"/>
      <c r="H95" s="499"/>
      <c r="I95" s="499"/>
      <c r="J95" s="505"/>
      <c r="K95" s="499"/>
      <c r="L95" s="81"/>
      <c r="M95" s="81"/>
      <c r="N95" s="97"/>
    </row>
    <row r="96" spans="2:14" ht="13" thickBot="1">
      <c r="B96" s="96"/>
      <c r="C96" s="81"/>
      <c r="D96" s="81"/>
      <c r="E96" s="499"/>
      <c r="F96" s="505"/>
      <c r="G96" s="499"/>
      <c r="H96" s="499"/>
      <c r="I96" s="499"/>
      <c r="J96" s="505"/>
      <c r="K96" s="499"/>
      <c r="L96" s="81"/>
      <c r="M96" s="81"/>
      <c r="N96" s="97"/>
    </row>
    <row r="97" spans="2:14" ht="13.5" thickBot="1">
      <c r="B97" s="96"/>
      <c r="C97" s="81"/>
      <c r="D97" s="81"/>
      <c r="E97" s="501" t="s">
        <v>348</v>
      </c>
      <c r="F97" s="511">
        <f>m_ail</f>
        <v>109</v>
      </c>
      <c r="G97" s="499"/>
      <c r="H97" s="499"/>
      <c r="I97" s="499"/>
      <c r="J97" s="511">
        <f>p_ail</f>
        <v>109</v>
      </c>
      <c r="K97" s="503"/>
      <c r="L97" s="81"/>
      <c r="M97" s="81"/>
      <c r="N97" s="97"/>
    </row>
    <row r="98" spans="2:14">
      <c r="B98" s="96"/>
      <c r="C98" s="81"/>
      <c r="D98" s="81"/>
      <c r="E98" s="499"/>
      <c r="F98" s="500"/>
      <c r="G98" s="499"/>
      <c r="H98" s="499"/>
      <c r="I98" s="499"/>
      <c r="J98" s="505"/>
      <c r="K98" s="499"/>
      <c r="L98" s="81"/>
      <c r="M98" s="81"/>
      <c r="N98" s="97"/>
    </row>
    <row r="99" spans="2:14">
      <c r="B99" s="96"/>
      <c r="C99" s="81"/>
      <c r="D99" s="81"/>
      <c r="E99" s="499"/>
      <c r="F99" s="500"/>
      <c r="G99" s="499"/>
      <c r="H99" s="499"/>
      <c r="I99" s="499"/>
      <c r="J99" s="505"/>
      <c r="K99" s="499"/>
      <c r="L99" s="81"/>
      <c r="M99" s="81"/>
      <c r="N99" s="97"/>
    </row>
    <row r="100" spans="2:14" ht="13.5" thickBot="1">
      <c r="B100" s="96"/>
      <c r="C100" s="81"/>
      <c r="D100" s="494" t="s">
        <v>350</v>
      </c>
      <c r="E100" s="290">
        <f>Q_ail</f>
        <v>4</v>
      </c>
      <c r="F100" s="495"/>
      <c r="G100" s="499"/>
      <c r="H100" s="499"/>
      <c r="I100" s="499"/>
      <c r="J100" s="505"/>
      <c r="K100" s="499"/>
      <c r="L100" s="81"/>
      <c r="M100" s="81"/>
      <c r="N100" s="97"/>
    </row>
    <row r="101" spans="2:14" ht="13.5" thickBot="1">
      <c r="B101" s="96"/>
      <c r="C101" s="81"/>
      <c r="D101" s="506" t="s">
        <v>354</v>
      </c>
      <c r="E101" s="8">
        <f ca="1">XpropuRef-Long_propu</f>
        <v>903</v>
      </c>
      <c r="F101" s="296"/>
      <c r="G101" s="499"/>
      <c r="H101" s="499"/>
      <c r="I101" s="499"/>
      <c r="J101" s="511">
        <f>n_ail</f>
        <v>59</v>
      </c>
      <c r="K101" s="503"/>
      <c r="L101" s="81"/>
      <c r="M101" s="81"/>
      <c r="N101" s="97"/>
    </row>
    <row r="102" spans="2:14" ht="13">
      <c r="B102" s="96"/>
      <c r="C102" s="81"/>
      <c r="D102" s="506" t="s">
        <v>351</v>
      </c>
      <c r="E102" s="8">
        <f>IF(LEFT(Forme_ogive,4)="Ogiv",1,0)</f>
        <v>1</v>
      </c>
      <c r="F102" s="296" t="s">
        <v>352</v>
      </c>
      <c r="G102" s="499"/>
      <c r="H102" s="499"/>
      <c r="I102" s="499"/>
      <c r="J102" s="505"/>
      <c r="K102" s="499"/>
      <c r="L102" s="81"/>
      <c r="M102" s="81"/>
      <c r="N102" s="97"/>
    </row>
    <row r="103" spans="2:14" ht="13">
      <c r="B103" s="96"/>
      <c r="C103" s="81"/>
      <c r="D103" s="506"/>
      <c r="E103" s="8">
        <f>IF(LEFT(Forme_ogive,3)="Con",1,0)</f>
        <v>0</v>
      </c>
      <c r="F103" s="296" t="s">
        <v>161</v>
      </c>
      <c r="G103" s="499"/>
      <c r="H103" s="499"/>
      <c r="I103" s="499"/>
      <c r="J103" s="505"/>
      <c r="K103" s="499"/>
      <c r="L103" s="81"/>
      <c r="M103" s="81"/>
      <c r="N103" s="97"/>
    </row>
    <row r="104" spans="2:14" ht="13.5" thickBot="1">
      <c r="B104" s="96"/>
      <c r="C104" s="81"/>
      <c r="D104" s="496"/>
      <c r="E104" s="322">
        <f>IF(LEFT(Forme_ogive,5)="Parab",1,0)</f>
        <v>0</v>
      </c>
      <c r="F104" s="339" t="s">
        <v>353</v>
      </c>
      <c r="G104" s="499"/>
      <c r="H104" s="499"/>
      <c r="I104" s="499"/>
      <c r="J104" s="512" t="s">
        <v>349</v>
      </c>
      <c r="K104" s="499"/>
      <c r="L104" s="81"/>
      <c r="M104" s="81"/>
      <c r="N104" s="97"/>
    </row>
    <row r="105" spans="2:14" ht="13.5" thickBot="1">
      <c r="B105" s="96"/>
      <c r="C105" s="81"/>
      <c r="D105" s="2"/>
      <c r="E105" s="2"/>
      <c r="F105" s="2"/>
      <c r="G105" s="501"/>
      <c r="H105" s="511">
        <f>E_ail</f>
        <v>99</v>
      </c>
      <c r="I105" s="501"/>
      <c r="J105" s="511">
        <f>ep_ail</f>
        <v>2</v>
      </c>
      <c r="K105" s="499"/>
      <c r="L105" s="81"/>
      <c r="M105" s="81"/>
      <c r="N105" s="97"/>
    </row>
    <row r="106" spans="2:14" ht="13">
      <c r="B106" s="96"/>
      <c r="C106" s="81"/>
      <c r="D106" s="494"/>
      <c r="E106" s="290" t="s">
        <v>358</v>
      </c>
      <c r="F106" s="287" t="s">
        <v>357</v>
      </c>
      <c r="G106" s="81"/>
      <c r="H106" s="81"/>
      <c r="I106" s="81"/>
      <c r="J106" s="81"/>
      <c r="K106" s="81"/>
      <c r="L106" s="81"/>
      <c r="M106" s="81"/>
      <c r="N106" s="97"/>
    </row>
    <row r="107" spans="2:14" ht="13">
      <c r="B107" s="96"/>
      <c r="C107" s="81"/>
      <c r="D107" s="506" t="s">
        <v>355</v>
      </c>
      <c r="E107" s="8">
        <f>MasseSans</f>
        <v>0.35899999999999999</v>
      </c>
      <c r="F107" s="288">
        <f ca="1">MassePlein</f>
        <v>0.46099999999999997</v>
      </c>
      <c r="G107" s="81"/>
      <c r="H107" s="81"/>
      <c r="I107" s="81"/>
      <c r="J107" s="81"/>
      <c r="K107" s="81"/>
      <c r="L107" s="81"/>
      <c r="M107" s="81"/>
      <c r="N107" s="97"/>
    </row>
    <row r="108" spans="2:14" ht="13">
      <c r="B108" s="96"/>
      <c r="C108" s="81"/>
      <c r="D108" s="496" t="s">
        <v>356</v>
      </c>
      <c r="E108" s="322">
        <f>XcgSans</f>
        <v>639</v>
      </c>
      <c r="F108" s="308">
        <f ca="1">XcgPlein</f>
        <v>708.25379609544473</v>
      </c>
      <c r="G108" s="81"/>
      <c r="H108" s="81"/>
      <c r="I108" s="81"/>
      <c r="J108" s="81"/>
      <c r="K108" s="81"/>
      <c r="L108" s="81"/>
      <c r="M108" s="81"/>
      <c r="N108" s="97"/>
    </row>
    <row r="109" spans="2:14">
      <c r="B109" s="96"/>
      <c r="C109" s="81"/>
      <c r="D109" s="81"/>
      <c r="E109" s="81"/>
      <c r="F109" s="81"/>
      <c r="G109" s="81"/>
      <c r="H109" s="81"/>
      <c r="I109" s="81"/>
      <c r="J109" s="81"/>
      <c r="K109" s="81"/>
      <c r="L109" s="81"/>
      <c r="M109" s="81"/>
      <c r="N109" s="97"/>
    </row>
    <row r="110" spans="2:14" ht="13">
      <c r="B110" s="96"/>
      <c r="C110" s="81"/>
      <c r="D110" s="507" t="s">
        <v>359</v>
      </c>
      <c r="E110" s="508">
        <f ca="1">MasseVide</f>
        <v>0.42899999999999999</v>
      </c>
      <c r="F110" s="81"/>
      <c r="G110" s="494" t="s">
        <v>360</v>
      </c>
      <c r="H110" s="313"/>
      <c r="I110" s="313"/>
      <c r="J110" s="314"/>
      <c r="K110" s="81"/>
      <c r="L110" s="81"/>
      <c r="M110" s="81"/>
      <c r="N110" s="97"/>
    </row>
    <row r="111" spans="2:14" ht="13">
      <c r="B111" s="96"/>
      <c r="C111" s="81"/>
      <c r="D111" s="81"/>
      <c r="E111" s="81"/>
      <c r="F111" s="81"/>
      <c r="G111" s="324" t="s">
        <v>216</v>
      </c>
      <c r="H111" s="8">
        <f>Beta_rampe</f>
        <v>80</v>
      </c>
      <c r="I111" s="8">
        <v>80</v>
      </c>
      <c r="J111" s="288">
        <v>90</v>
      </c>
      <c r="K111" s="81"/>
      <c r="L111" s="81"/>
      <c r="M111" s="81"/>
      <c r="N111" s="97"/>
    </row>
    <row r="112" spans="2:14" ht="13">
      <c r="B112" s="96"/>
      <c r="C112" s="81"/>
      <c r="D112" s="81"/>
      <c r="E112" s="81"/>
      <c r="F112" s="81"/>
      <c r="G112" s="327" t="s">
        <v>218</v>
      </c>
      <c r="H112" s="304">
        <f ca="1">Temps_culmi</f>
        <v>7.6999999999999895</v>
      </c>
      <c r="I112" s="305"/>
      <c r="J112" s="316"/>
      <c r="K112" s="81"/>
      <c r="L112" s="81"/>
      <c r="M112" s="81"/>
      <c r="N112" s="97"/>
    </row>
    <row r="113" spans="2:14" ht="12.75" customHeight="1">
      <c r="B113" s="96"/>
      <c r="C113" s="81"/>
      <c r="D113" s="504" t="s">
        <v>361</v>
      </c>
      <c r="E113" s="499"/>
      <c r="F113" s="81"/>
      <c r="G113" s="327" t="s">
        <v>219</v>
      </c>
      <c r="H113" s="286">
        <f ca="1">Altitude_culmi</f>
        <v>310.72890500764521</v>
      </c>
      <c r="I113" s="305"/>
      <c r="J113" s="316"/>
      <c r="K113" s="81"/>
      <c r="L113" s="81"/>
      <c r="M113" s="81"/>
      <c r="N113" s="97"/>
    </row>
    <row r="114" spans="2:14" ht="12.75" customHeight="1">
      <c r="B114" s="96"/>
      <c r="C114" s="81"/>
      <c r="D114" s="499"/>
      <c r="E114" s="499"/>
      <c r="F114" s="504"/>
      <c r="G114" s="327" t="s">
        <v>220</v>
      </c>
      <c r="H114" s="306">
        <f ca="1">Vit_culmi</f>
        <v>11.517804104564037</v>
      </c>
      <c r="I114" s="305"/>
      <c r="J114" s="316"/>
      <c r="K114" s="81"/>
      <c r="L114" s="81"/>
      <c r="M114" s="81"/>
      <c r="N114" s="97"/>
    </row>
    <row r="115" spans="2:14" ht="13">
      <c r="B115" s="96"/>
      <c r="C115" s="518" t="s">
        <v>362</v>
      </c>
      <c r="D115" s="519"/>
      <c r="E115" s="520">
        <v>0.1</v>
      </c>
      <c r="F115" s="81"/>
      <c r="G115" s="327" t="s">
        <v>134</v>
      </c>
      <c r="H115" s="307">
        <f ca="1">Portee_balistique</f>
        <v>184.26379383972827</v>
      </c>
      <c r="I115" s="305"/>
      <c r="J115" s="316"/>
      <c r="K115" s="81"/>
      <c r="L115" s="81"/>
      <c r="M115" s="81"/>
      <c r="N115" s="97"/>
    </row>
    <row r="116" spans="2:14" ht="12.75" customHeight="1">
      <c r="B116" s="96"/>
      <c r="C116" s="521" t="s">
        <v>363</v>
      </c>
      <c r="D116" s="522"/>
      <c r="E116" s="523">
        <f>E_ail*(m_ail+n_ail)/2</f>
        <v>8316</v>
      </c>
      <c r="F116" s="81"/>
      <c r="G116" s="327" t="s">
        <v>138</v>
      </c>
      <c r="H116" s="306">
        <f ca="1">Vit_max</f>
        <v>91.996736876501998</v>
      </c>
      <c r="I116" s="305"/>
      <c r="J116" s="316"/>
      <c r="K116" s="81"/>
      <c r="L116" s="81"/>
      <c r="M116" s="81"/>
      <c r="N116" s="97"/>
    </row>
    <row r="117" spans="2:14" ht="12.75" customHeight="1">
      <c r="B117" s="96"/>
      <c r="C117" s="81"/>
      <c r="D117" s="499"/>
      <c r="E117" s="499"/>
      <c r="F117" s="499"/>
      <c r="G117" s="327" t="s">
        <v>137</v>
      </c>
      <c r="H117" s="307">
        <f ca="1">Acc_max</f>
        <v>124.22242088010483</v>
      </c>
      <c r="I117" s="305"/>
      <c r="J117" s="316"/>
      <c r="K117" s="81"/>
      <c r="L117" s="81"/>
      <c r="M117" s="81"/>
      <c r="N117" s="97"/>
    </row>
    <row r="118" spans="2:14" ht="13">
      <c r="B118" s="96"/>
      <c r="C118" s="525" t="s">
        <v>364</v>
      </c>
      <c r="D118" s="526"/>
      <c r="E118" s="539"/>
      <c r="F118" s="540">
        <f>J90/100</f>
        <v>8.92</v>
      </c>
      <c r="G118" s="324" t="s">
        <v>5</v>
      </c>
      <c r="H118" s="8">
        <f>Cx</f>
        <v>0.5</v>
      </c>
      <c r="I118" s="305"/>
      <c r="J118" s="316"/>
      <c r="K118" s="81"/>
      <c r="L118" s="81"/>
      <c r="M118" s="81"/>
      <c r="N118" s="97"/>
    </row>
    <row r="119" spans="2:14" ht="13">
      <c r="B119" s="96"/>
      <c r="C119" s="527" t="s">
        <v>365</v>
      </c>
      <c r="D119" s="528"/>
      <c r="E119" s="541">
        <f ca="1">2*Acc_max*MasseSans</f>
        <v>89.191698191915265</v>
      </c>
      <c r="F119" s="542">
        <f ca="1">E119/g</f>
        <v>9.0919162275142984</v>
      </c>
      <c r="G119" s="317" t="s">
        <v>225</v>
      </c>
      <c r="H119" s="318"/>
      <c r="I119" s="318"/>
      <c r="J119" s="319"/>
      <c r="K119" s="81"/>
      <c r="L119" s="81"/>
      <c r="M119" s="81"/>
      <c r="N119" s="97"/>
    </row>
    <row r="120" spans="2:14" ht="13">
      <c r="B120" s="96"/>
      <c r="C120" s="527" t="s">
        <v>366</v>
      </c>
      <c r="D120" s="528"/>
      <c r="E120" s="541">
        <f ca="1">2*Acc_max*E115</f>
        <v>24.84448417602097</v>
      </c>
      <c r="F120" s="542">
        <f ca="1">E120/g</f>
        <v>2.5325671942936765</v>
      </c>
      <c r="G120" s="81"/>
      <c r="H120" s="81"/>
      <c r="I120" s="81"/>
      <c r="J120" s="81"/>
      <c r="K120" s="81"/>
      <c r="L120" s="81"/>
      <c r="M120" s="81"/>
      <c r="N120" s="97"/>
    </row>
    <row r="121" spans="2:14" ht="13">
      <c r="B121" s="96"/>
      <c r="C121" s="529" t="s">
        <v>367</v>
      </c>
      <c r="D121" s="530"/>
      <c r="E121" s="534">
        <f ca="1">0.104*E116/1000000*Vit_max^2</f>
        <v>7.3196896281295096</v>
      </c>
      <c r="F121" s="535">
        <f ca="1">E121/g</f>
        <v>0.74614573171554632</v>
      </c>
      <c r="G121" s="499"/>
      <c r="H121" s="499"/>
      <c r="I121" s="499"/>
      <c r="J121" s="499"/>
      <c r="K121" s="81"/>
      <c r="L121" s="81"/>
      <c r="M121" s="81"/>
      <c r="N121" s="97"/>
    </row>
    <row r="122" spans="2:14" ht="12.75" customHeight="1">
      <c r="B122" s="96"/>
      <c r="C122" s="81"/>
      <c r="D122" s="81"/>
      <c r="E122" s="81"/>
      <c r="F122" s="81"/>
      <c r="G122" s="81"/>
      <c r="H122" s="499"/>
      <c r="I122" s="499"/>
      <c r="J122" s="499"/>
      <c r="K122" s="81"/>
      <c r="L122" s="81"/>
      <c r="M122" s="81"/>
      <c r="N122" s="97"/>
    </row>
    <row r="123" spans="2:14" ht="12.75" customHeight="1">
      <c r="B123" s="96"/>
      <c r="C123" s="81"/>
      <c r="D123" s="81"/>
      <c r="E123" s="81"/>
      <c r="F123" s="81"/>
      <c r="G123" s="504"/>
      <c r="H123" s="504"/>
      <c r="I123" s="504"/>
      <c r="J123" s="499"/>
      <c r="K123" s="81"/>
      <c r="L123" s="81"/>
      <c r="M123" s="81"/>
      <c r="N123" s="97"/>
    </row>
    <row r="124" spans="2:14" ht="12.75" customHeight="1">
      <c r="B124" s="96"/>
      <c r="C124" s="500"/>
      <c r="D124" s="504" t="s">
        <v>368</v>
      </c>
      <c r="E124" s="524"/>
      <c r="F124" s="81"/>
      <c r="G124" s="81"/>
      <c r="H124" s="81"/>
      <c r="I124" s="81"/>
      <c r="J124" s="499"/>
      <c r="K124" s="499"/>
      <c r="L124" s="81"/>
      <c r="M124" s="81"/>
      <c r="N124" s="97"/>
    </row>
    <row r="125" spans="2:14" ht="13">
      <c r="B125" s="96"/>
      <c r="C125" s="517" t="s">
        <v>369</v>
      </c>
      <c r="D125" s="509"/>
      <c r="E125" s="509"/>
      <c r="F125" s="509"/>
      <c r="G125" s="509"/>
      <c r="H125" s="81"/>
      <c r="I125" s="81"/>
      <c r="J125" s="499"/>
      <c r="K125" s="499"/>
      <c r="L125" s="81"/>
      <c r="M125" s="81"/>
      <c r="N125" s="97"/>
    </row>
    <row r="126" spans="2:14" ht="13">
      <c r="B126" s="96"/>
      <c r="C126" s="525" t="s">
        <v>370</v>
      </c>
      <c r="D126" s="526"/>
      <c r="E126" s="531">
        <v>4</v>
      </c>
      <c r="F126" s="509"/>
      <c r="G126" s="499"/>
      <c r="H126" s="81"/>
      <c r="I126" s="81"/>
      <c r="J126" s="499"/>
      <c r="K126" s="81"/>
      <c r="L126" s="81"/>
      <c r="M126" s="81"/>
      <c r="N126" s="97"/>
    </row>
    <row r="127" spans="2:14" ht="13">
      <c r="B127" s="96"/>
      <c r="C127" s="529" t="s">
        <v>371</v>
      </c>
      <c r="D127" s="530"/>
      <c r="E127" s="538">
        <f>S_para</f>
        <v>0.26020500000000002</v>
      </c>
      <c r="F127" s="509"/>
      <c r="G127" s="499"/>
      <c r="H127" s="81"/>
      <c r="I127" s="81"/>
      <c r="J127" s="499"/>
      <c r="K127" s="81"/>
      <c r="L127" s="81"/>
      <c r="M127" s="81"/>
      <c r="N127" s="97"/>
    </row>
    <row r="128" spans="2:14" ht="13">
      <c r="B128" s="96"/>
      <c r="C128" s="789" t="s">
        <v>372</v>
      </c>
      <c r="D128" s="790"/>
      <c r="E128" s="532">
        <f ca="1">0.5*Rho_moyen*S_para*Vit_culmi^2</f>
        <v>21.142732061602413</v>
      </c>
      <c r="F128" s="533">
        <f ca="1">E128/g</f>
        <v>2.155222432375373</v>
      </c>
      <c r="G128" s="509"/>
      <c r="H128" s="499"/>
      <c r="I128" s="499"/>
      <c r="J128" s="499"/>
      <c r="K128" s="499"/>
      <c r="L128" s="81"/>
      <c r="M128" s="81"/>
      <c r="N128" s="97"/>
    </row>
    <row r="129" spans="2:14" ht="13">
      <c r="B129" s="96"/>
      <c r="C129" s="791" t="s">
        <v>373</v>
      </c>
      <c r="D129" s="792"/>
      <c r="E129" s="534">
        <f ca="1">E128/E126*2</f>
        <v>10.571366030801206</v>
      </c>
      <c r="F129" s="535">
        <f ca="1">E129/g</f>
        <v>1.0776112161876865</v>
      </c>
      <c r="G129" s="509"/>
      <c r="H129" s="499"/>
      <c r="I129" s="499"/>
      <c r="J129" s="499"/>
      <c r="K129" s="499"/>
      <c r="L129" s="81"/>
      <c r="M129" s="81"/>
      <c r="N129" s="97"/>
    </row>
    <row r="130" spans="2:14">
      <c r="B130" s="96"/>
      <c r="C130" s="514"/>
      <c r="D130" s="514"/>
      <c r="E130" s="515"/>
      <c r="F130" s="516"/>
      <c r="G130" s="509"/>
      <c r="H130" s="499"/>
      <c r="I130" s="499"/>
      <c r="J130" s="499"/>
      <c r="K130" s="499"/>
      <c r="L130" s="81"/>
      <c r="M130" s="81"/>
      <c r="N130" s="97"/>
    </row>
    <row r="131" spans="2:14" ht="13">
      <c r="B131" s="96"/>
      <c r="C131" s="517" t="s">
        <v>374</v>
      </c>
      <c r="D131" s="499"/>
      <c r="E131" s="499"/>
      <c r="F131" s="499"/>
      <c r="G131" s="499"/>
      <c r="H131" s="499"/>
      <c r="I131" s="499"/>
      <c r="J131" s="499"/>
      <c r="K131" s="499"/>
      <c r="L131" s="81"/>
      <c r="M131" s="81"/>
      <c r="N131" s="97"/>
    </row>
    <row r="132" spans="2:14" ht="13">
      <c r="B132" s="96"/>
      <c r="C132" s="789" t="s">
        <v>375</v>
      </c>
      <c r="D132" s="790"/>
      <c r="E132" s="536">
        <v>1</v>
      </c>
      <c r="F132" s="499"/>
      <c r="G132" s="499"/>
      <c r="H132" s="499"/>
      <c r="I132" s="499"/>
      <c r="J132" s="513"/>
      <c r="K132" s="499"/>
      <c r="L132" s="81"/>
      <c r="M132" s="81"/>
      <c r="N132" s="97"/>
    </row>
    <row r="133" spans="2:14" ht="13">
      <c r="B133" s="96"/>
      <c r="C133" s="787" t="s">
        <v>376</v>
      </c>
      <c r="D133" s="788"/>
      <c r="E133" s="537">
        <f ca="1">2*E132*Acc_max/g</f>
        <v>25.325671942936765</v>
      </c>
      <c r="F133" s="500"/>
      <c r="G133" s="500"/>
      <c r="H133" s="500"/>
      <c r="I133" s="500"/>
      <c r="J133" s="499"/>
      <c r="K133" s="499"/>
      <c r="L133" s="81"/>
      <c r="M133" s="81"/>
      <c r="N133" s="97"/>
    </row>
    <row r="134" spans="2:14" ht="13" thickBot="1">
      <c r="B134" s="99"/>
      <c r="C134" s="543"/>
      <c r="D134" s="543"/>
      <c r="E134" s="543"/>
      <c r="F134" s="543"/>
      <c r="G134" s="543"/>
      <c r="H134" s="543"/>
      <c r="I134" s="543"/>
      <c r="J134" s="544"/>
      <c r="K134" s="544"/>
      <c r="L134" s="102"/>
      <c r="M134" s="102"/>
      <c r="N134" s="101"/>
    </row>
  </sheetData>
  <sheetProtection password="C6AC" sheet="1"/>
  <mergeCells count="22">
    <mergeCell ref="C133:D133"/>
    <mergeCell ref="C128:D128"/>
    <mergeCell ref="C129:D129"/>
    <mergeCell ref="C132:D132"/>
    <mergeCell ref="H44:I44"/>
    <mergeCell ref="E31:G31"/>
    <mergeCell ref="M29:M30"/>
    <mergeCell ref="H30:I30"/>
    <mergeCell ref="L29:L30"/>
    <mergeCell ref="H31:I31"/>
    <mergeCell ref="H45:I45"/>
    <mergeCell ref="H46:I46"/>
    <mergeCell ref="H11:I11"/>
    <mergeCell ref="H12:I12"/>
    <mergeCell ref="H13:I13"/>
    <mergeCell ref="H29:K29"/>
    <mergeCell ref="C29:C30"/>
    <mergeCell ref="D29:D30"/>
    <mergeCell ref="H17:I17"/>
    <mergeCell ref="H18:I18"/>
    <mergeCell ref="H19:I19"/>
    <mergeCell ref="E29:G30"/>
  </mergeCells>
  <phoneticPr fontId="8" type="noConversion"/>
  <conditionalFormatting sqref="I68:I73 I16">
    <cfRule type="expression" dxfId="2" priority="6" stopIfTrue="1">
      <formula>Nb_sat="0 satellite"</formula>
    </cfRule>
  </conditionalFormatting>
  <conditionalFormatting sqref="D18:E18">
    <cfRule type="expression" dxfId="1" priority="2" stopIfTrue="1">
      <formula>IF(Propu="Cariacou",0,1)</formula>
    </cfRule>
  </conditionalFormatting>
  <conditionalFormatting sqref="F18:I19">
    <cfRule type="expression" dxfId="0" priority="1" stopIfTrue="1">
      <formula>IF(Propu="Cariacou",1,0)</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214</vt:i4>
      </vt:variant>
    </vt:vector>
  </HeadingPairs>
  <TitlesOfParts>
    <vt:vector size="222"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Sylvain Besson</cp:lastModifiedBy>
  <cp:lastPrinted>2011-11-08T21:12:34Z</cp:lastPrinted>
  <dcterms:created xsi:type="dcterms:W3CDTF">2008-11-03T20:48:06Z</dcterms:created>
  <dcterms:modified xsi:type="dcterms:W3CDTF">2020-11-25T09:58:35Z</dcterms:modified>
</cp:coreProperties>
</file>