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si\Documents\GitHub\Speeduino-M5x-PCBs\m50,m40,m60 Pnp\Rev 1.1\"/>
    </mc:Choice>
  </mc:AlternateContent>
  <xr:revisionPtr revIDLastSave="0" documentId="13_ncr:1_{6527FB6D-F386-4C11-BCC0-8B0610738EA4}" xr6:coauthVersionLast="43" xr6:coauthVersionMax="43" xr10:uidLastSave="{00000000-0000-0000-0000-000000000000}"/>
  <bookViews>
    <workbookView xWindow="29520" yWindow="1455" windowWidth="25575" windowHeight="14235" tabRatio="500" xr2:uid="{00000000-000D-0000-FFFF-FFFF00000000}"/>
  </bookViews>
  <sheets>
    <sheet name="Component List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21" i="1" l="1"/>
  <c r="W21" i="1"/>
  <c r="V21" i="1"/>
  <c r="U21" i="1"/>
  <c r="T21" i="1"/>
  <c r="R21" i="1"/>
  <c r="Q21" i="1"/>
  <c r="X54" i="1"/>
  <c r="W54" i="1"/>
  <c r="V54" i="1"/>
  <c r="U54" i="1"/>
  <c r="T54" i="1"/>
  <c r="R54" i="1"/>
  <c r="Q54" i="1"/>
  <c r="X53" i="1"/>
  <c r="W53" i="1"/>
  <c r="V53" i="1"/>
  <c r="U53" i="1"/>
  <c r="T53" i="1"/>
  <c r="R53" i="1"/>
  <c r="Q53" i="1"/>
  <c r="Q50" i="1"/>
  <c r="R50" i="1"/>
  <c r="T50" i="1"/>
  <c r="U50" i="1"/>
  <c r="V50" i="1"/>
  <c r="W50" i="1"/>
  <c r="X50" i="1"/>
  <c r="B27" i="1" l="1"/>
  <c r="U27" i="1" s="1"/>
  <c r="A27" i="1"/>
  <c r="X27" i="1" s="1"/>
  <c r="R27" i="1" l="1"/>
  <c r="V27" i="1"/>
  <c r="W27" i="1"/>
  <c r="Q27" i="1"/>
  <c r="T27" i="1"/>
  <c r="X49" i="1"/>
  <c r="W49" i="1"/>
  <c r="V49" i="1"/>
  <c r="U49" i="1"/>
  <c r="T49" i="1"/>
  <c r="R49" i="1"/>
  <c r="Q49" i="1"/>
  <c r="W47" i="1"/>
  <c r="U47" i="1"/>
  <c r="T47" i="1"/>
  <c r="X42" i="1" l="1"/>
  <c r="W42" i="1"/>
  <c r="V42" i="1"/>
  <c r="T42" i="1"/>
  <c r="R42" i="1"/>
  <c r="Q42" i="1"/>
  <c r="B42" i="1"/>
  <c r="U42" i="1" s="1"/>
  <c r="X23" i="1" l="1"/>
  <c r="W23" i="1"/>
  <c r="V23" i="1"/>
  <c r="U23" i="1"/>
  <c r="T23" i="1"/>
  <c r="R23" i="1"/>
  <c r="Q23" i="1"/>
  <c r="X22" i="1"/>
  <c r="W22" i="1"/>
  <c r="V22" i="1"/>
  <c r="U22" i="1"/>
  <c r="T22" i="1"/>
  <c r="R22" i="1"/>
  <c r="Q22" i="1"/>
  <c r="A28" i="1"/>
  <c r="W28" i="1" s="1"/>
  <c r="B28" i="1"/>
  <c r="U28" i="1" s="1"/>
  <c r="A26" i="1"/>
  <c r="W26" i="1" s="1"/>
  <c r="X20" i="1"/>
  <c r="W20" i="1"/>
  <c r="V20" i="1"/>
  <c r="U20" i="1"/>
  <c r="T20" i="1"/>
  <c r="R20" i="1"/>
  <c r="Q20" i="1"/>
  <c r="B26" i="1"/>
  <c r="U26" i="1" s="1"/>
  <c r="A38" i="1"/>
  <c r="X38" i="1" s="1"/>
  <c r="B38" i="1"/>
  <c r="U38" i="1"/>
  <c r="T38" i="1"/>
  <c r="A4" i="1"/>
  <c r="W4" i="1" s="1"/>
  <c r="A5" i="1"/>
  <c r="Q5" i="1" s="1"/>
  <c r="A6" i="1"/>
  <c r="V6" i="1" s="1"/>
  <c r="A7" i="1"/>
  <c r="W7" i="1" s="1"/>
  <c r="A8" i="1"/>
  <c r="Q8" i="1" s="1"/>
  <c r="A9" i="1"/>
  <c r="Q9" i="1" s="1"/>
  <c r="A10" i="1"/>
  <c r="X10" i="1" s="1"/>
  <c r="X11" i="1"/>
  <c r="A12" i="1"/>
  <c r="X12" i="1" s="1"/>
  <c r="A13" i="1"/>
  <c r="V13" i="1" s="1"/>
  <c r="A14" i="1"/>
  <c r="X14" i="1" s="1"/>
  <c r="A15" i="1"/>
  <c r="Q15" i="1" s="1"/>
  <c r="X16" i="1"/>
  <c r="X17" i="1"/>
  <c r="X18" i="1"/>
  <c r="X19" i="1"/>
  <c r="X24" i="1"/>
  <c r="A25" i="1"/>
  <c r="X25" i="1" s="1"/>
  <c r="X29" i="1"/>
  <c r="A30" i="1"/>
  <c r="X30" i="1" s="1"/>
  <c r="A31" i="1"/>
  <c r="R31" i="1" s="1"/>
  <c r="A32" i="1"/>
  <c r="X32" i="1" s="1"/>
  <c r="A33" i="1"/>
  <c r="W33" i="1" s="1"/>
  <c r="A34" i="1"/>
  <c r="X34" i="1" s="1"/>
  <c r="X35" i="1"/>
  <c r="A36" i="1"/>
  <c r="T36" i="1" s="1"/>
  <c r="A37" i="1"/>
  <c r="T37" i="1" s="1"/>
  <c r="X39" i="1"/>
  <c r="X40" i="1"/>
  <c r="X43" i="1"/>
  <c r="X44" i="1"/>
  <c r="X45" i="1"/>
  <c r="A3" i="1"/>
  <c r="X3" i="1" s="1"/>
  <c r="Q4" i="1"/>
  <c r="Q17" i="1"/>
  <c r="Q19" i="1"/>
  <c r="Q35" i="1"/>
  <c r="Q40" i="1"/>
  <c r="Q43" i="1"/>
  <c r="Q44" i="1"/>
  <c r="Q45" i="1"/>
  <c r="W45" i="1"/>
  <c r="V45" i="1"/>
  <c r="U45" i="1"/>
  <c r="T45" i="1"/>
  <c r="R45" i="1"/>
  <c r="W11" i="1"/>
  <c r="W16" i="1"/>
  <c r="W17" i="1"/>
  <c r="W18" i="1"/>
  <c r="W19" i="1"/>
  <c r="W24" i="1"/>
  <c r="W29" i="1"/>
  <c r="W35" i="1"/>
  <c r="W39" i="1"/>
  <c r="W40" i="1"/>
  <c r="W43" i="1"/>
  <c r="W44" i="1"/>
  <c r="W46" i="1"/>
  <c r="B30" i="1"/>
  <c r="U30" i="1" s="1"/>
  <c r="B31" i="1"/>
  <c r="U31" i="1" s="1"/>
  <c r="B32" i="1"/>
  <c r="U32" i="1" s="1"/>
  <c r="B33" i="1"/>
  <c r="U33" i="1" s="1"/>
  <c r="B34" i="1"/>
  <c r="U34" i="1" s="1"/>
  <c r="B35" i="1"/>
  <c r="U35" i="1" s="1"/>
  <c r="B36" i="1"/>
  <c r="U36" i="1" s="1"/>
  <c r="B37" i="1"/>
  <c r="U37" i="1" s="1"/>
  <c r="B40" i="1"/>
  <c r="U40" i="1" s="1"/>
  <c r="B43" i="1"/>
  <c r="U43" i="1" s="1"/>
  <c r="B44" i="1"/>
  <c r="U44" i="1" s="1"/>
  <c r="B4" i="1"/>
  <c r="U4" i="1" s="1"/>
  <c r="B5" i="1"/>
  <c r="U5" i="1" s="1"/>
  <c r="B6" i="1"/>
  <c r="U6" i="1" s="1"/>
  <c r="B7" i="1"/>
  <c r="U7" i="1" s="1"/>
  <c r="B8" i="1"/>
  <c r="U8" i="1" s="1"/>
  <c r="B9" i="1"/>
  <c r="U9" i="1" s="1"/>
  <c r="B10" i="1"/>
  <c r="U10" i="1" s="1"/>
  <c r="B12" i="1"/>
  <c r="U12" i="1" s="1"/>
  <c r="B13" i="1"/>
  <c r="U13" i="1" s="1"/>
  <c r="B14" i="1"/>
  <c r="U14" i="1" s="1"/>
  <c r="B15" i="1"/>
  <c r="U15" i="1" s="1"/>
  <c r="B17" i="1"/>
  <c r="U17" i="1" s="1"/>
  <c r="B25" i="1"/>
  <c r="U25" i="1" s="1"/>
  <c r="B3" i="1"/>
  <c r="U3" i="1" s="1"/>
  <c r="R4" i="1"/>
  <c r="R14" i="1"/>
  <c r="R17" i="1"/>
  <c r="R19" i="1"/>
  <c r="R30" i="1"/>
  <c r="R35" i="1"/>
  <c r="R40" i="1"/>
  <c r="R43" i="1"/>
  <c r="R44" i="1"/>
  <c r="U29" i="1"/>
  <c r="U39" i="1"/>
  <c r="U46" i="1"/>
  <c r="U11" i="1"/>
  <c r="U16" i="1"/>
  <c r="U18" i="1"/>
  <c r="U19" i="1"/>
  <c r="U24" i="1"/>
  <c r="U2" i="1"/>
  <c r="V44" i="1"/>
  <c r="T44" i="1"/>
  <c r="V7" i="1"/>
  <c r="V43" i="1"/>
  <c r="V40" i="1"/>
  <c r="V35" i="1"/>
  <c r="V16" i="1"/>
  <c r="V17" i="1"/>
  <c r="V18" i="1"/>
  <c r="V19" i="1"/>
  <c r="V24" i="1"/>
  <c r="V2" i="1"/>
  <c r="T7" i="1"/>
  <c r="T11" i="1"/>
  <c r="T16" i="1"/>
  <c r="T17" i="1"/>
  <c r="T18" i="1"/>
  <c r="T19" i="1"/>
  <c r="T24" i="1"/>
  <c r="T29" i="1"/>
  <c r="T35" i="1"/>
  <c r="T39" i="1"/>
  <c r="T40" i="1"/>
  <c r="T43" i="1"/>
  <c r="T46" i="1"/>
  <c r="T2" i="1"/>
  <c r="R6" i="1" l="1"/>
  <c r="V4" i="1"/>
  <c r="T4" i="1"/>
  <c r="T9" i="1"/>
  <c r="T25" i="1"/>
  <c r="V5" i="1"/>
  <c r="R9" i="1"/>
  <c r="R36" i="1"/>
  <c r="R25" i="1"/>
  <c r="R13" i="1"/>
  <c r="W5" i="1"/>
  <c r="T5" i="1"/>
  <c r="V36" i="1"/>
  <c r="V9" i="1"/>
  <c r="R5" i="1"/>
  <c r="W9" i="1"/>
  <c r="Q36" i="1"/>
  <c r="Q7" i="1"/>
  <c r="R26" i="1"/>
  <c r="X26" i="1"/>
  <c r="V25" i="1"/>
  <c r="W25" i="1"/>
  <c r="Q25" i="1"/>
  <c r="W36" i="1"/>
  <c r="W6" i="1"/>
  <c r="Q37" i="1"/>
  <c r="Q6" i="1"/>
  <c r="X6" i="1"/>
  <c r="X4" i="1"/>
  <c r="T32" i="1"/>
  <c r="T14" i="1"/>
  <c r="T6" i="1"/>
  <c r="R7" i="1"/>
  <c r="W32" i="1"/>
  <c r="Q12" i="1"/>
  <c r="Q3" i="1"/>
  <c r="X36" i="1"/>
  <c r="X7" i="1"/>
  <c r="X5" i="1"/>
  <c r="Q38" i="1"/>
  <c r="W38" i="1"/>
  <c r="V26" i="1"/>
  <c r="T10" i="1"/>
  <c r="R10" i="1"/>
  <c r="Q10" i="1"/>
  <c r="W10" i="1"/>
  <c r="V10" i="1"/>
  <c r="X8" i="1"/>
  <c r="W34" i="1"/>
  <c r="Q31" i="1"/>
  <c r="X9" i="1"/>
  <c r="V8" i="1"/>
  <c r="R8" i="1"/>
  <c r="W8" i="1"/>
  <c r="T8" i="1"/>
  <c r="T34" i="1"/>
  <c r="W37" i="1"/>
  <c r="T3" i="1"/>
  <c r="R34" i="1"/>
  <c r="R12" i="1"/>
  <c r="R3" i="1"/>
  <c r="T30" i="1"/>
  <c r="T15" i="1"/>
  <c r="V37" i="1"/>
  <c r="V32" i="1"/>
  <c r="V14" i="1"/>
  <c r="R37" i="1"/>
  <c r="R32" i="1"/>
  <c r="Q14" i="1"/>
  <c r="X37" i="1"/>
  <c r="T12" i="1"/>
  <c r="V30" i="1"/>
  <c r="V34" i="1"/>
  <c r="V3" i="1"/>
  <c r="V12" i="1"/>
  <c r="W30" i="1"/>
  <c r="W15" i="1"/>
  <c r="Q28" i="1"/>
  <c r="V28" i="1"/>
  <c r="R28" i="1"/>
  <c r="X28" i="1"/>
  <c r="T13" i="1"/>
  <c r="R15" i="1"/>
  <c r="Q33" i="1"/>
  <c r="W13" i="1"/>
  <c r="T31" i="1"/>
  <c r="V31" i="1"/>
  <c r="V15" i="1"/>
  <c r="R33" i="1"/>
  <c r="W3" i="1"/>
  <c r="W31" i="1"/>
  <c r="W12" i="1"/>
  <c r="Q32" i="1"/>
  <c r="Q13" i="1"/>
  <c r="X33" i="1"/>
  <c r="X31" i="1"/>
  <c r="X15" i="1"/>
  <c r="X13" i="1"/>
  <c r="R38" i="1"/>
  <c r="V38" i="1"/>
  <c r="Q26" i="1"/>
  <c r="T33" i="1"/>
  <c r="V33" i="1"/>
  <c r="W14" i="1"/>
  <c r="Q34" i="1"/>
  <c r="Q30" i="1"/>
  <c r="T26" i="1"/>
  <c r="T28" i="1"/>
  <c r="Q55" i="1" l="1"/>
  <c r="R5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  <author>Josh Stewart</author>
  </authors>
  <commentList>
    <comment ref="L25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L26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D34" authorId="1" shapeId="0" xr:uid="{00000000-0006-0000-0000-000002000000}">
      <text>
        <r>
          <rPr>
            <b/>
            <sz val="9"/>
            <color indexed="81"/>
            <rFont val="Calibri"/>
            <family val="2"/>
          </rPr>
          <t>Josh Stewart:</t>
        </r>
        <r>
          <rPr>
            <sz val="9"/>
            <color indexed="81"/>
            <rFont val="Calibri"/>
            <family val="2"/>
          </rPr>
          <t xml:space="preserve">
Optional 3rd one for a spare ADC</t>
        </r>
      </text>
    </comment>
    <comment ref="L43" authorId="0" shapeId="0" xr:uid="{2B0A136D-4BD2-48D6-8AFA-04F734AF97E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</t>
        </r>
      </text>
    </comment>
    <comment ref="L44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<sst xmlns="http://schemas.openxmlformats.org/spreadsheetml/2006/main" count="430" uniqueCount="319">
  <si>
    <t>Value</t>
  </si>
  <si>
    <t>Type</t>
  </si>
  <si>
    <t>Information</t>
  </si>
  <si>
    <t>CTM QTY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</si>
  <si>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</si>
  <si>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</si>
  <si>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</si>
  <si>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</si>
  <si>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</si>
  <si>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</si>
  <si>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</si>
  <si>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</si>
  <si>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</si>
  <si>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</si>
  <si>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</si>
  <si>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</si>
  <si>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</si>
  <si>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</si>
  <si>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</si>
  <si>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</si>
  <si>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</si>
  <si>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</si>
  <si>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</si>
  <si>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</si>
  <si>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</si>
  <si>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</si>
  <si>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</si>
  <si>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</si>
  <si>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</si>
  <si>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</si>
  <si>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</si>
  <si>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</si>
  <si>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</si>
  <si>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</si>
  <si>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</si>
  <si>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</si>
  <si>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</si>
  <si>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</si>
  <si>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</si>
  <si>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</si>
  <si>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</si>
  <si>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</si>
  <si>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</si>
  <si>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</si>
  <si>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</si>
  <si>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</si>
  <si>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</si>
  <si>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</si>
  <si>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</si>
  <si>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</si>
  <si>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</si>
  <si>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</si>
  <si>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</si>
  <si>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</si>
  <si>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</si>
  <si>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</si>
  <si>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</si>
  <si>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</si>
  <si>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RES 160 OHM 2W 1% AXIAL</t>
  </si>
  <si>
    <t>FMP200FRF52-160R</t>
  </si>
  <si>
    <t>160YCT-ND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</si>
  <si>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</si>
  <si>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</si>
  <si>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</si>
  <si>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</si>
  <si>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</si>
  <si>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</si>
  <si>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</si>
  <si>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</si>
  <si>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</si>
  <si>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</si>
  <si>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R7</t>
  </si>
  <si>
    <t>C16</t>
  </si>
  <si>
    <t>C14</t>
  </si>
  <si>
    <t>D16</t>
  </si>
  <si>
    <t>5mm-LED</t>
  </si>
  <si>
    <t>MPX4250AP-ND</t>
  </si>
  <si>
    <t>6-SIP</t>
  </si>
  <si>
    <t>SENSOR ABS PRESS 36.3 PSI MAX</t>
  </si>
  <si>
    <t>MPX4250A</t>
  </si>
  <si>
    <t>C18</t>
  </si>
  <si>
    <t>C1,3,5,7,9,13,15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</si>
  <si>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</si>
  <si>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</si>
  <si>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</si>
  <si>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</si>
  <si>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</si>
  <si>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</si>
  <si>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</si>
  <si>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</si>
  <si>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</si>
  <si>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</si>
  <si>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</si>
  <si>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</si>
  <si>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</si>
  <si>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</si>
  <si>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</si>
  <si>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</si>
  <si>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</si>
  <si>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</si>
  <si>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</si>
  <si>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</si>
  <si>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</si>
  <si>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</si>
  <si>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</si>
  <si>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</si>
  <si>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</si>
  <si>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Q1,2,5,6,7,8</t>
  </si>
  <si>
    <t>D9,10</t>
  </si>
  <si>
    <t>LED1,2,5,6</t>
  </si>
  <si>
    <t>R25,27</t>
  </si>
  <si>
    <t>IC1</t>
  </si>
  <si>
    <t>R11,14,35,37,48,49,55,56</t>
  </si>
  <si>
    <t>C11,20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</si>
  <si>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</si>
  <si>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</si>
  <si>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</si>
  <si>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</si>
  <si>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</si>
  <si>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</si>
  <si>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</si>
  <si>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</si>
  <si>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</si>
  <si>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</si>
  <si>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</si>
  <si>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</si>
  <si>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</si>
  <si>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</si>
  <si>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</si>
  <si>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</si>
  <si>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</si>
  <si>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</si>
  <si>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</si>
  <si>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</si>
  <si>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</si>
  <si>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</si>
  <si>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R2,4,6,8,22,41</t>
  </si>
  <si>
    <t>Digikey Order</t>
  </si>
  <si>
    <t>Y</t>
  </si>
  <si>
    <t>N</t>
  </si>
  <si>
    <t>QTY Full</t>
  </si>
  <si>
    <t>Qty 2 Channel</t>
  </si>
  <si>
    <t>Board Reference Full</t>
  </si>
  <si>
    <t>Board Reference 2 Channel</t>
  </si>
  <si>
    <t>IC4</t>
  </si>
  <si>
    <t>Full Digikey import</t>
  </si>
  <si>
    <t>2Ch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</si>
  <si>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</si>
  <si>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</si>
  <si>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</si>
  <si>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</si>
  <si>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</si>
  <si>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</si>
  <si>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</si>
  <si>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</si>
  <si>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</si>
  <si>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</si>
  <si>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</si>
  <si>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</si>
  <si>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</si>
  <si>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</si>
  <si>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</si>
  <si>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</si>
  <si>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</si>
  <si>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</si>
  <si>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</si>
  <si>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</si>
  <si>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</si>
  <si>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</si>
  <si>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594-5083NW160R0J</t>
  </si>
  <si>
    <t>CTM Full Digikey</t>
  </si>
  <si>
    <t>CTM Full Mouser</t>
  </si>
  <si>
    <t>859-LTL-4221N</t>
  </si>
  <si>
    <t>Mouser price is crazy</t>
  </si>
  <si>
    <t>863-1N5919BRLG</t>
  </si>
  <si>
    <t>SP721APP</t>
  </si>
  <si>
    <t>TVS ARRAY ESD 6 INPUT 30V 8-DIP</t>
  </si>
  <si>
    <t>Littelfuse Inc.</t>
  </si>
  <si>
    <t>F2720-ND</t>
  </si>
  <si>
    <t>576-SP721APP</t>
  </si>
  <si>
    <t>D15,17</t>
  </si>
  <si>
    <t>C1,C3,C5,C7,C9,C13,C15</t>
  </si>
  <si>
    <t>R2,R4,R6,R8,R22,R41</t>
  </si>
  <si>
    <t>IC1,IC2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</si>
  <si>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</si>
  <si>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</si>
  <si>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</si>
  <si>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</si>
  <si>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</si>
  <si>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</si>
  <si>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</si>
  <si>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</si>
  <si>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</si>
  <si>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C19,C25</t>
  </si>
  <si>
    <t>R54</t>
  </si>
  <si>
    <t>C2,4,6,8,10,C24</t>
  </si>
  <si>
    <t>R10,13,R21,23,24,R39,R40,50,51,57,58,59,60</t>
  </si>
  <si>
    <t>R9,12</t>
  </si>
  <si>
    <t>R1,3,R26,R28,R61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</si>
  <si>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</si>
  <si>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</si>
  <si>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</si>
  <si>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</si>
  <si>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</si>
  <si>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</si>
  <si>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</si>
  <si>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</si>
  <si>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</si>
  <si>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</si>
  <si>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R9,R12,R15</t>
  </si>
  <si>
    <t>LED1,LED2,LED3,LED5,LED6,LED7</t>
  </si>
  <si>
    <t>R25,R27,R31</t>
  </si>
  <si>
    <t>2.5-Bar MAP sensor</t>
  </si>
  <si>
    <t>7.5k</t>
  </si>
  <si>
    <t>RES 7.5K OHM 1/4W 1% METAL FILM</t>
  </si>
  <si>
    <t>MFR-25FBF52-7K5</t>
  </si>
  <si>
    <t xml:space="preserve">603-MFR-25FBF52-7K5
</t>
  </si>
  <si>
    <t>Q11,Q12,Q13,Q14,Q15,Q16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</si>
  <si>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</si>
  <si>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</si>
  <si>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</si>
  <si>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</si>
  <si>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</si>
  <si>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</si>
  <si>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</si>
  <si>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</si>
  <si>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</si>
  <si>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</si>
  <si>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</si>
  <si>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</si>
  <si>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</si>
  <si>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</si>
  <si>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</si>
  <si>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</si>
  <si>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</si>
  <si>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</si>
  <si>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</si>
  <si>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</si>
  <si>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</si>
  <si>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</si>
  <si>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</si>
  <si>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</si>
  <si>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</si>
  <si>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</si>
  <si>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</si>
  <si>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</si>
  <si>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</si>
  <si>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</si>
  <si>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</si>
  <si>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</si>
  <si>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</si>
  <si>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</si>
  <si>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>C11,C12,C20,</t>
    </r>
    <r>
      <rPr>
        <sz val="10"/>
        <color rgb="FFFF0000"/>
        <rFont val="Liberation Sans"/>
      </rPr>
      <t>C28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</si>
  <si>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</si>
  <si>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</si>
  <si>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</si>
  <si>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</si>
  <si>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</si>
  <si>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39-30-1060</t>
  </si>
  <si>
    <t>538-39-30-1060</t>
  </si>
  <si>
    <t>WM1353-ND</t>
  </si>
  <si>
    <t>6 POS Header</t>
  </si>
  <si>
    <t>HEADER 6P MINIFIT</t>
  </si>
  <si>
    <t>R1,R3,R26,R28,R33,R61</t>
  </si>
  <si>
    <t>C23,C25</t>
  </si>
  <si>
    <t>External connector</t>
  </si>
  <si>
    <t>Pins for external connector</t>
  </si>
  <si>
    <t>Female pin</t>
  </si>
  <si>
    <t>SOCKET 16 AWG BULK</t>
  </si>
  <si>
    <t>39-00-0078</t>
  </si>
  <si>
    <t>WM9154-ND</t>
  </si>
  <si>
    <t>538-39-00-0078</t>
  </si>
  <si>
    <t>6 CKT RCPT HOUSING</t>
  </si>
  <si>
    <t>6-POS connector</t>
  </si>
  <si>
    <t>39-01-2060</t>
  </si>
  <si>
    <t>538-39-01-2060</t>
  </si>
  <si>
    <t>WM3702-ND</t>
  </si>
  <si>
    <t>Hardware for motronic case</t>
  </si>
  <si>
    <r>
      <t xml:space="preserve">Note! The </t>
    </r>
    <r>
      <rPr>
        <sz val="12"/>
        <color rgb="FF00B050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ones are optional components if hall crank sensor is used, instead of stock vr-sensor</t>
    </r>
  </si>
  <si>
    <t>Speeduino vr-conditioner</t>
  </si>
  <si>
    <t>vr-conditioner</t>
  </si>
  <si>
    <t>max 9926 vr-conditioner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</si>
  <si>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</si>
  <si>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r>
      <t>D9,D10,D11,D18,</t>
    </r>
    <r>
      <rPr>
        <sz val="10"/>
        <color rgb="FF0070C0"/>
        <rFont val="Liberation Sans"/>
      </rPr>
      <t>D20</t>
    </r>
  </si>
  <si>
    <r>
      <t>D16,</t>
    </r>
    <r>
      <rPr>
        <sz val="10"/>
        <color rgb="FF0070C0"/>
        <rFont val="Liberation Sans"/>
      </rPr>
      <t>D19</t>
    </r>
  </si>
  <si>
    <r>
      <t>R7,</t>
    </r>
    <r>
      <rPr>
        <sz val="10"/>
        <color rgb="FF0070C0"/>
        <rFont val="Liberation Sans"/>
      </rPr>
      <t>R67,R68</t>
    </r>
  </si>
  <si>
    <r>
      <t>R63,</t>
    </r>
    <r>
      <rPr>
        <sz val="10"/>
        <color rgb="FF0070C0"/>
        <rFont val="Liberation Sans"/>
      </rPr>
      <t>R66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</si>
  <si>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</si>
  <si>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</si>
  <si>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</si>
  <si>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</si>
  <si>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</si>
  <si>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</si>
  <si>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</si>
  <si>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</si>
  <si>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</si>
  <si>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</si>
  <si>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</si>
  <si>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</si>
  <si>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</si>
  <si>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</si>
  <si>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</si>
  <si>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</si>
  <si>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</si>
  <si>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t>4-POS connector</t>
  </si>
  <si>
    <t>4 CKT RCPT HOUSING</t>
  </si>
  <si>
    <t>39-01-2040</t>
  </si>
  <si>
    <t>WM3701-ND</t>
  </si>
  <si>
    <t>538-39-01-2040</t>
  </si>
  <si>
    <t>Hardware for the optional connector</t>
  </si>
  <si>
    <t>HEADER 4P MINIFIT</t>
  </si>
  <si>
    <t>39-30-0040</t>
  </si>
  <si>
    <t>WM21352-ND</t>
  </si>
  <si>
    <t>538-39-30-0040</t>
  </si>
  <si>
    <r>
      <t xml:space="preserve">Note! The </t>
    </r>
    <r>
      <rPr>
        <sz val="12"/>
        <color rgb="FFFFC000"/>
        <rFont val="Calibri"/>
        <family val="2"/>
        <scheme val="minor"/>
      </rPr>
      <t>Orange</t>
    </r>
    <r>
      <rPr>
        <sz val="12"/>
        <color theme="1"/>
        <rFont val="Calibri"/>
        <family val="2"/>
        <scheme val="minor"/>
      </rPr>
      <t xml:space="preserve"> ones are optional for second external connector</t>
    </r>
  </si>
  <si>
    <t>Q1,Q2,Q3,Q4,Q5,Q7,Q8</t>
  </si>
  <si>
    <r>
      <t>C19,C24,</t>
    </r>
    <r>
      <rPr>
        <sz val="10"/>
        <color rgb="FFFF0000"/>
        <rFont val="Liberation Sans"/>
      </rPr>
      <t>C27</t>
    </r>
  </si>
  <si>
    <r>
      <t>R10,R13,R16,R19,R21,R23,R24,R29,</t>
    </r>
    <r>
      <rPr>
        <sz val="10"/>
        <color rgb="FF00B050"/>
        <rFont val="Liberation Sans"/>
      </rPr>
      <t>R39</t>
    </r>
    <r>
      <rPr>
        <sz val="10"/>
        <color rgb="FF000000"/>
        <rFont val="Liberation Sans"/>
      </rPr>
      <t>,R40,R50,R51,R57,</t>
    </r>
    <r>
      <rPr>
        <sz val="10"/>
        <color rgb="FF00B050"/>
        <rFont val="Liberation Sans"/>
      </rPr>
      <t>R59</t>
    </r>
    <r>
      <rPr>
        <sz val="10"/>
        <color rgb="FF000000"/>
        <rFont val="Liberation Sans"/>
      </rPr>
      <t>,R62,</t>
    </r>
    <r>
      <rPr>
        <sz val="10"/>
        <color rgb="FFFF0000"/>
        <rFont val="Liberation Sans"/>
      </rPr>
      <t>R64</t>
    </r>
    <r>
      <rPr>
        <sz val="10"/>
        <color rgb="FF000000"/>
        <rFont val="Liberation Sans"/>
      </rPr>
      <t>,R65</t>
    </r>
  </si>
  <si>
    <t>R11,R14,R17,R20,R35,R37,R38,R48,R49,R55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</si>
</sst>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9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0"/>
      <color rgb="FF00B050"/>
      <name val="Liberation Sans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sz val="10"/>
      <color rgb="FFFFC000"/>
      <name val="Liberation Sans"/>
    </font>
    <font>
      <sz val="12"/>
      <color rgb="FFFFC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AP106K035SCS/478-1842-ND/563945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.au/product-detail/en/MPX4250AP/MPX4250AP-ND/46405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MFR-25FBF-100K/100KXBK-ND/13473" TargetMode="External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search.digikey.com/us/en/products/FK14X7R1H334K/445-5312-ND/2256792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62"/>
  <sheetViews>
    <sheetView tabSelected="1" topLeftCell="A22" zoomScale="113" workbookViewId="0">
      <selection activeCell="C36" sqref="C36"/>
    </sheetView>
  </sheetViews>
  <sheetFormatPr defaultColWidth="11" defaultRowHeight="15.75"/>
  <cols>
    <col min="1" max="1" width="18.875" style="17" customWidth="1"/>
    <col min="2" max="2" width="18.875" style="17" hidden="1" customWidth="1"/>
    <col min="3" max="3" width="48.5" customWidth="1"/>
    <col min="4" max="4" width="46.625" hidden="1" customWidth="1"/>
    <col min="5" max="5" width="15" customWidth="1"/>
    <col min="6" max="6" width="53.125" customWidth="1"/>
    <col min="9" max="9" width="10.875" hidden="1" customWidth="1"/>
    <col min="10" max="10" width="15.5" customWidth="1"/>
    <col min="11" max="11" width="10.875" hidden="1" customWidth="1"/>
    <col min="12" max="12" width="19" customWidth="1"/>
    <col min="13" max="14" width="28" customWidth="1"/>
    <col min="19" max="19" width="47.875" customWidth="1"/>
    <col min="20" max="21" width="27.375" customWidth="1"/>
    <col min="22" max="22" width="28" customWidth="1"/>
    <col min="23" max="23" width="22.375" customWidth="1"/>
  </cols>
  <sheetData>
    <row r="1" spans="1:24" ht="26.25" thickBot="1">
      <c r="A1" s="15" t="s">
        <v>140</v>
      </c>
      <c r="B1" s="15" t="s">
        <v>141</v>
      </c>
      <c r="C1" s="1" t="s">
        <v>142</v>
      </c>
      <c r="D1" s="1" t="s">
        <v>143</v>
      </c>
      <c r="E1" s="1" t="s">
        <v>0</v>
      </c>
      <c r="F1" s="1" t="s">
        <v>1</v>
      </c>
      <c r="G1" s="1" t="s">
        <v>2</v>
      </c>
      <c r="H1" s="1" t="s">
        <v>106</v>
      </c>
      <c r="I1" s="1" t="s">
        <v>3</v>
      </c>
      <c r="J1" s="1" t="s">
        <v>4</v>
      </c>
      <c r="K1" s="1" t="s">
        <v>137</v>
      </c>
      <c r="L1" s="1" t="s">
        <v>5</v>
      </c>
      <c r="M1" s="1" t="s">
        <v>6</v>
      </c>
      <c r="N1" s="1" t="s">
        <v>148</v>
      </c>
      <c r="O1" s="1" t="s">
        <v>149</v>
      </c>
      <c r="P1" s="1" t="s">
        <v>150</v>
      </c>
      <c r="Q1" s="1" t="s">
        <v>170</v>
      </c>
      <c r="R1" s="1" t="s">
        <v>171</v>
      </c>
      <c r="S1" s="1" t="s">
        <v>7</v>
      </c>
      <c r="T1" s="19" t="s">
        <v>145</v>
      </c>
      <c r="U1" s="19" t="s">
        <v>146</v>
      </c>
      <c r="V1" s="19" t="s">
        <v>98</v>
      </c>
      <c r="W1" s="19" t="s">
        <v>147</v>
      </c>
    </row>
    <row r="2" spans="1:24" ht="16.5" thickBot="1">
      <c r="A2" s="16"/>
      <c r="B2" s="16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4" t="str">
        <f t="shared" ref="T2:T19" si="0">IF(NOT(M2=""),A2&amp;","&amp;M2,"")</f>
        <v/>
      </c>
      <c r="U2" s="4" t="str">
        <f>IF(NOT(O2=""),B2&amp;","&amp;O2,"")</f>
        <v/>
      </c>
      <c r="V2" t="str">
        <f>A2&amp;"x "&amp;E2</f>
        <v xml:space="preserve">x </v>
      </c>
    </row>
    <row r="3" spans="1:24" ht="16.5" thickBot="1">
      <c r="A3" s="18">
        <f>LEN(C3)-LEN(SUBSTITUTE(C3,",",""))+1</f>
        <v>1</v>
      </c>
      <c r="B3" s="18">
        <f t="shared" ref="B3:B10" si="1">LEN(D3)-LEN(SUBSTITUTE(D3,",",""))+1</f>
        <v>1</v>
      </c>
      <c r="C3" s="4" t="s">
        <v>72</v>
      </c>
      <c r="D3" s="4" t="s">
        <v>72</v>
      </c>
      <c r="E3" s="3" t="s">
        <v>8</v>
      </c>
      <c r="F3" s="3" t="s">
        <v>124</v>
      </c>
      <c r="G3" s="3" t="s">
        <v>9</v>
      </c>
      <c r="H3" s="3"/>
      <c r="I3" s="3">
        <v>4</v>
      </c>
      <c r="J3" s="3" t="s">
        <v>13</v>
      </c>
      <c r="K3" s="3" t="s">
        <v>138</v>
      </c>
      <c r="L3" s="3" t="s">
        <v>125</v>
      </c>
      <c r="M3" s="2" t="s">
        <v>126</v>
      </c>
      <c r="N3" s="2" t="s">
        <v>154</v>
      </c>
      <c r="O3" s="5">
        <v>1.7</v>
      </c>
      <c r="P3" s="5">
        <v>1.7</v>
      </c>
      <c r="Q3" s="6">
        <f t="shared" ref="Q3:Q10" si="2">O3*A3</f>
        <v>1.7</v>
      </c>
      <c r="R3" s="6">
        <f>P3*A3</f>
        <v>1.7</v>
      </c>
      <c r="S3" s="4"/>
      <c r="T3" s="4" t="str">
        <f t="shared" si="0"/>
        <v>1,399-3654-ND</v>
      </c>
      <c r="U3" s="4" t="str">
        <f t="shared" ref="U3:U19" si="3">IF(NOT(M3=""),B3&amp;","&amp;M3,"")</f>
        <v>1,399-3654-ND</v>
      </c>
      <c r="V3" t="str">
        <f>"Capacitor - " &amp;A3&amp;"x "&amp;E3</f>
        <v>Capacitor - 1x 10uF</v>
      </c>
      <c r="W3" t="str">
        <f t="shared" ref="W3:W19" si="4">IF(NOT(N3=""),N3&amp;"|"&amp;A3,"")</f>
        <v>80-T356G106K035AT|1</v>
      </c>
      <c r="X3" t="str">
        <f t="shared" ref="X3:X19" si="5">L3&amp;" "&amp;A3</f>
        <v>T356G106K035AT 1</v>
      </c>
    </row>
    <row r="4" spans="1:24" ht="16.5" thickBot="1">
      <c r="A4" s="18">
        <f>LEN(C4)-LEN(SUBSTITUTE(C4,",",""))+1</f>
        <v>5</v>
      </c>
      <c r="B4" s="18">
        <f t="shared" si="1"/>
        <v>6</v>
      </c>
      <c r="C4" s="4" t="s">
        <v>233</v>
      </c>
      <c r="D4" s="4" t="s">
        <v>195</v>
      </c>
      <c r="E4" s="3" t="s">
        <v>11</v>
      </c>
      <c r="F4" s="2" t="s">
        <v>123</v>
      </c>
      <c r="G4" s="3" t="s">
        <v>12</v>
      </c>
      <c r="H4" s="3"/>
      <c r="I4" s="3">
        <v>15</v>
      </c>
      <c r="J4" s="3" t="s">
        <v>13</v>
      </c>
      <c r="K4" s="3" t="s">
        <v>138</v>
      </c>
      <c r="L4" s="3" t="s">
        <v>199</v>
      </c>
      <c r="M4" s="2" t="s">
        <v>200</v>
      </c>
      <c r="N4" s="2" t="s">
        <v>201</v>
      </c>
      <c r="O4" s="5">
        <v>0.66</v>
      </c>
      <c r="P4" s="5">
        <v>0.66</v>
      </c>
      <c r="Q4" s="6">
        <f t="shared" si="2"/>
        <v>3.3000000000000003</v>
      </c>
      <c r="R4" s="6">
        <f t="shared" ref="R4:R44" si="6">P4*A4</f>
        <v>3.3000000000000003</v>
      </c>
      <c r="S4" s="4"/>
      <c r="T4" s="4" t="str">
        <f t="shared" si="0"/>
        <v>5,BC2678CT-ND</v>
      </c>
      <c r="U4" s="4" t="str">
        <f t="shared" si="3"/>
        <v>6,BC2678CT-ND</v>
      </c>
      <c r="V4" t="str">
        <f t="shared" ref="V4:V10" si="7">"Capacitor - " &amp;A4&amp;"x "&amp;E4</f>
        <v>Capacitor - 5x 0.22uF</v>
      </c>
      <c r="W4" t="str">
        <f t="shared" si="4"/>
        <v>594-K224K20X7RF5UH5|5</v>
      </c>
      <c r="X4" t="str">
        <f t="shared" si="5"/>
        <v>K224K20X7RF5UH5 5</v>
      </c>
    </row>
    <row r="5" spans="1:24" ht="16.5" thickBot="1">
      <c r="A5" s="18">
        <f>LEN(C5)-LEN(SUBSTITUTE(C5,",",""))+1</f>
        <v>7</v>
      </c>
      <c r="B5" s="18">
        <f t="shared" si="1"/>
        <v>7</v>
      </c>
      <c r="C5" s="4" t="s">
        <v>181</v>
      </c>
      <c r="D5" s="4" t="s">
        <v>81</v>
      </c>
      <c r="E5" s="3" t="s">
        <v>14</v>
      </c>
      <c r="F5" s="3" t="s">
        <v>120</v>
      </c>
      <c r="G5" s="3" t="s">
        <v>12</v>
      </c>
      <c r="H5" s="3"/>
      <c r="I5" s="3">
        <v>17</v>
      </c>
      <c r="J5" s="3" t="s">
        <v>13</v>
      </c>
      <c r="K5" s="3" t="s">
        <v>138</v>
      </c>
      <c r="L5" s="3" t="s">
        <v>121</v>
      </c>
      <c r="M5" s="2" t="s">
        <v>122</v>
      </c>
      <c r="N5" s="2" t="s">
        <v>155</v>
      </c>
      <c r="O5" s="5">
        <v>0.32</v>
      </c>
      <c r="P5" s="5">
        <v>0.32</v>
      </c>
      <c r="Q5" s="6">
        <f t="shared" si="2"/>
        <v>2.2400000000000002</v>
      </c>
      <c r="R5" s="6">
        <f t="shared" si="6"/>
        <v>2.2400000000000002</v>
      </c>
      <c r="S5" s="4"/>
      <c r="T5" s="4" t="str">
        <f t="shared" si="0"/>
        <v>7,399-9879-1-ND</v>
      </c>
      <c r="U5" s="4" t="str">
        <f t="shared" si="3"/>
        <v>7,399-9879-1-ND</v>
      </c>
      <c r="V5" t="str">
        <f t="shared" si="7"/>
        <v>Capacitor - 7x 0.1uF / 100nF</v>
      </c>
      <c r="W5" t="str">
        <f t="shared" si="4"/>
        <v>80-C322C104M5R-TR|7</v>
      </c>
      <c r="X5" t="str">
        <f t="shared" si="5"/>
        <v>C322C104M5R5TA7301 7</v>
      </c>
    </row>
    <row r="6" spans="1:24" ht="16.5" thickBot="1">
      <c r="A6" s="18">
        <f>LEN(C6)-LEN(SUBSTITUTE(C6,",",""))+1</f>
        <v>1</v>
      </c>
      <c r="B6" s="18">
        <f t="shared" si="1"/>
        <v>1</v>
      </c>
      <c r="C6" s="4" t="s">
        <v>73</v>
      </c>
      <c r="D6" s="4" t="s">
        <v>73</v>
      </c>
      <c r="E6" s="3" t="s">
        <v>15</v>
      </c>
      <c r="F6" s="3" t="s">
        <v>127</v>
      </c>
      <c r="G6" s="3" t="s">
        <v>9</v>
      </c>
      <c r="H6" s="3"/>
      <c r="I6" s="3">
        <v>2</v>
      </c>
      <c r="J6" s="3" t="s">
        <v>13</v>
      </c>
      <c r="K6" s="3" t="s">
        <v>138</v>
      </c>
      <c r="L6" s="3" t="s">
        <v>128</v>
      </c>
      <c r="M6" s="2" t="s">
        <v>129</v>
      </c>
      <c r="N6" s="2" t="s">
        <v>156</v>
      </c>
      <c r="O6" s="5">
        <v>1.57</v>
      </c>
      <c r="P6" s="5">
        <v>1.57</v>
      </c>
      <c r="Q6" s="6">
        <f t="shared" si="2"/>
        <v>1.57</v>
      </c>
      <c r="R6" s="6">
        <f t="shared" si="6"/>
        <v>1.57</v>
      </c>
      <c r="S6" s="4"/>
      <c r="T6" s="4" t="str">
        <f t="shared" si="0"/>
        <v>1,399-3652-ND</v>
      </c>
      <c r="U6" s="4" t="str">
        <f t="shared" si="3"/>
        <v>1,399-3652-ND</v>
      </c>
      <c r="V6" t="str">
        <f t="shared" si="7"/>
        <v>Capacitor - 1x 47uF</v>
      </c>
      <c r="W6" t="str">
        <f t="shared" si="4"/>
        <v>80-T356F476K6AT|1</v>
      </c>
      <c r="X6" t="str">
        <f t="shared" si="5"/>
        <v>T356F476K006AT 1</v>
      </c>
    </row>
    <row r="7" spans="1:24" ht="16.5" thickBot="1">
      <c r="A7" s="18">
        <f t="shared" ref="A7:A9" si="8">LEN(C7)-LEN(SUBSTITUTE(C7,",",""))+1</f>
        <v>2</v>
      </c>
      <c r="B7" s="18">
        <f t="shared" si="1"/>
        <v>1</v>
      </c>
      <c r="C7" s="4" t="s">
        <v>251</v>
      </c>
      <c r="D7" s="4" t="s">
        <v>80</v>
      </c>
      <c r="E7" s="3" t="s">
        <v>16</v>
      </c>
      <c r="F7" s="2" t="s">
        <v>132</v>
      </c>
      <c r="G7" s="3" t="s">
        <v>12</v>
      </c>
      <c r="H7" s="3"/>
      <c r="I7" s="3">
        <v>2</v>
      </c>
      <c r="J7" s="3" t="s">
        <v>10</v>
      </c>
      <c r="K7" s="3" t="s">
        <v>138</v>
      </c>
      <c r="L7" s="3" t="s">
        <v>130</v>
      </c>
      <c r="M7" s="2" t="s">
        <v>131</v>
      </c>
      <c r="N7" s="2" t="s">
        <v>157</v>
      </c>
      <c r="O7" s="5">
        <v>0.62</v>
      </c>
      <c r="P7" s="5">
        <v>0.43</v>
      </c>
      <c r="Q7" s="6">
        <f t="shared" si="2"/>
        <v>1.24</v>
      </c>
      <c r="R7" s="6">
        <f t="shared" si="6"/>
        <v>0.86</v>
      </c>
      <c r="S7" s="4"/>
      <c r="T7" s="4" t="str">
        <f t="shared" si="0"/>
        <v>2,478-5120-ND</v>
      </c>
      <c r="U7" s="4" t="str">
        <f t="shared" si="3"/>
        <v>1,478-5120-ND</v>
      </c>
      <c r="V7" t="str">
        <f t="shared" si="7"/>
        <v>Capacitor - 2x 0.33uF</v>
      </c>
      <c r="W7" t="str">
        <f t="shared" si="4"/>
        <v>581-AR215F334K4R|2</v>
      </c>
      <c r="X7" t="str">
        <f t="shared" si="5"/>
        <v>AR215F334K4R 2</v>
      </c>
    </row>
    <row r="8" spans="1:24" ht="16.5" thickBot="1">
      <c r="A8" s="18">
        <f t="shared" si="8"/>
        <v>3</v>
      </c>
      <c r="B8" s="18">
        <f t="shared" si="1"/>
        <v>2</v>
      </c>
      <c r="C8" s="4" t="s">
        <v>316</v>
      </c>
      <c r="D8" s="4" t="s">
        <v>193</v>
      </c>
      <c r="E8" s="3" t="s">
        <v>17</v>
      </c>
      <c r="F8" s="2" t="s">
        <v>133</v>
      </c>
      <c r="G8" s="3" t="s">
        <v>12</v>
      </c>
      <c r="H8" s="3"/>
      <c r="I8" s="3">
        <v>3</v>
      </c>
      <c r="J8" s="3" t="s">
        <v>13</v>
      </c>
      <c r="K8" s="3" t="s">
        <v>138</v>
      </c>
      <c r="L8" s="3" t="s">
        <v>134</v>
      </c>
      <c r="M8" s="2" t="s">
        <v>135</v>
      </c>
      <c r="N8" s="2" t="s">
        <v>158</v>
      </c>
      <c r="O8" s="5">
        <v>0.24</v>
      </c>
      <c r="P8" s="5">
        <v>0.24</v>
      </c>
      <c r="Q8" s="6">
        <f t="shared" si="2"/>
        <v>0.72</v>
      </c>
      <c r="R8" s="6">
        <f t="shared" si="6"/>
        <v>0.72</v>
      </c>
      <c r="S8" s="4"/>
      <c r="T8" s="4" t="str">
        <f t="shared" si="0"/>
        <v>3,399-4206-ND</v>
      </c>
      <c r="U8" s="4" t="str">
        <f t="shared" si="3"/>
        <v>2,399-4206-ND</v>
      </c>
      <c r="V8" t="str">
        <f t="shared" si="7"/>
        <v>Capacitor - 3x 0.01uF</v>
      </c>
      <c r="W8" t="str">
        <f t="shared" si="4"/>
        <v>80-C317C103K5R|3</v>
      </c>
      <c r="X8" t="str">
        <f t="shared" si="5"/>
        <v>C317C103K5R5TA 3</v>
      </c>
    </row>
    <row r="9" spans="1:24" ht="16.5" thickBot="1">
      <c r="A9" s="18">
        <f t="shared" si="8"/>
        <v>4</v>
      </c>
      <c r="B9" s="18">
        <f t="shared" si="1"/>
        <v>2</v>
      </c>
      <c r="C9" s="4" t="s">
        <v>252</v>
      </c>
      <c r="D9" s="22" t="s">
        <v>113</v>
      </c>
      <c r="E9" s="3" t="s">
        <v>18</v>
      </c>
      <c r="F9" s="3" t="s">
        <v>117</v>
      </c>
      <c r="G9" s="3" t="s">
        <v>12</v>
      </c>
      <c r="H9" s="3"/>
      <c r="I9" s="3">
        <v>4</v>
      </c>
      <c r="J9" s="3" t="s">
        <v>13</v>
      </c>
      <c r="K9" s="3" t="s">
        <v>138</v>
      </c>
      <c r="L9" s="3" t="s">
        <v>118</v>
      </c>
      <c r="M9" s="2" t="s">
        <v>119</v>
      </c>
      <c r="N9" s="2" t="s">
        <v>159</v>
      </c>
      <c r="O9" s="5">
        <v>0.66</v>
      </c>
      <c r="P9" s="5">
        <v>0.66</v>
      </c>
      <c r="Q9" s="6">
        <f t="shared" si="2"/>
        <v>2.64</v>
      </c>
      <c r="R9" s="6">
        <f t="shared" si="6"/>
        <v>2.64</v>
      </c>
      <c r="S9" s="4"/>
      <c r="T9" s="4" t="str">
        <f t="shared" si="0"/>
        <v>4,399-4390-ND</v>
      </c>
      <c r="U9" s="4" t="str">
        <f t="shared" si="3"/>
        <v>2,399-4390-ND</v>
      </c>
      <c r="V9" t="str">
        <f t="shared" si="7"/>
        <v>Capacitor - 4x 1uF</v>
      </c>
      <c r="W9" t="str">
        <f t="shared" si="4"/>
        <v>80-C330C105M5U|4</v>
      </c>
      <c r="X9" t="str">
        <f t="shared" si="5"/>
        <v>C330C105M5U5TA 4</v>
      </c>
    </row>
    <row r="10" spans="1:24" ht="16.5" thickBot="1">
      <c r="A10" s="18">
        <f>LEN(C10)-LEN(SUBSTITUTE(C10,",",""))+1</f>
        <v>2</v>
      </c>
      <c r="B10" s="18">
        <f t="shared" si="1"/>
        <v>1</v>
      </c>
      <c r="C10" s="4" t="s">
        <v>264</v>
      </c>
      <c r="D10" s="4" t="s">
        <v>91</v>
      </c>
      <c r="E10" s="3" t="s">
        <v>92</v>
      </c>
      <c r="F10" s="3" t="s">
        <v>95</v>
      </c>
      <c r="G10" s="3" t="s">
        <v>12</v>
      </c>
      <c r="H10" s="3"/>
      <c r="I10" s="3"/>
      <c r="J10" s="3" t="s">
        <v>13</v>
      </c>
      <c r="K10" s="3" t="s">
        <v>138</v>
      </c>
      <c r="L10" s="3" t="s">
        <v>94</v>
      </c>
      <c r="M10" s="2" t="s">
        <v>93</v>
      </c>
      <c r="N10" s="2" t="s">
        <v>160</v>
      </c>
      <c r="O10" s="5">
        <v>0.25</v>
      </c>
      <c r="P10" s="5">
        <v>0.25</v>
      </c>
      <c r="Q10" s="6">
        <f t="shared" si="2"/>
        <v>0.5</v>
      </c>
      <c r="R10" s="6">
        <f t="shared" si="6"/>
        <v>0.5</v>
      </c>
      <c r="S10" s="4"/>
      <c r="T10" s="4" t="str">
        <f t="shared" si="0"/>
        <v>2,399-4243-ND</v>
      </c>
      <c r="U10" s="4" t="str">
        <f t="shared" si="3"/>
        <v>1,399-4243-ND</v>
      </c>
      <c r="V10" t="str">
        <f t="shared" si="7"/>
        <v>Capacitor - 2x 4.7nF</v>
      </c>
      <c r="W10" t="str">
        <f t="shared" si="4"/>
        <v>80-C317C472K1R|2</v>
      </c>
      <c r="X10" t="str">
        <f t="shared" si="5"/>
        <v>C317C472K1R5TA 2</v>
      </c>
    </row>
    <row r="11" spans="1:24" ht="16.5" thickBot="1">
      <c r="A11" s="16"/>
      <c r="B11" s="16"/>
      <c r="C11" s="4"/>
      <c r="D11" s="4"/>
      <c r="E11" s="3"/>
      <c r="F11" s="3"/>
      <c r="G11" s="3"/>
      <c r="H11" s="3"/>
      <c r="I11" s="3"/>
      <c r="J11" s="3"/>
      <c r="K11" s="3"/>
      <c r="L11" s="3"/>
      <c r="M11" s="2"/>
      <c r="N11" s="2"/>
      <c r="O11" s="3"/>
      <c r="P11" s="3"/>
      <c r="Q11" s="3"/>
      <c r="R11" s="6"/>
      <c r="S11" s="4"/>
      <c r="T11" s="4" t="str">
        <f t="shared" si="0"/>
        <v/>
      </c>
      <c r="U11" s="4" t="str">
        <f t="shared" si="3"/>
        <v/>
      </c>
      <c r="W11" t="str">
        <f t="shared" si="4"/>
        <v/>
      </c>
      <c r="X11" t="str">
        <f t="shared" si="5"/>
        <v xml:space="preserve"> </v>
      </c>
    </row>
    <row r="12" spans="1:24" ht="16.5" thickBot="1">
      <c r="A12" s="18">
        <f>LEN(C12)-LEN(SUBSTITUTE(C12,",",""))+1</f>
        <v>2</v>
      </c>
      <c r="B12" s="18">
        <f t="shared" ref="B12:B15" si="9">LEN(D12)-LEN(SUBSTITUTE(D12,",",""))+1</f>
        <v>1</v>
      </c>
      <c r="C12" s="4" t="s">
        <v>284</v>
      </c>
      <c r="D12" s="4" t="s">
        <v>74</v>
      </c>
      <c r="E12" s="3" t="s">
        <v>100</v>
      </c>
      <c r="F12" s="7" t="s">
        <v>19</v>
      </c>
      <c r="G12" s="3" t="s">
        <v>20</v>
      </c>
      <c r="H12" s="3"/>
      <c r="I12" s="3">
        <v>1</v>
      </c>
      <c r="J12" s="3" t="s">
        <v>21</v>
      </c>
      <c r="K12" s="3" t="s">
        <v>138</v>
      </c>
      <c r="L12" s="7" t="s">
        <v>22</v>
      </c>
      <c r="M12" s="2" t="s">
        <v>23</v>
      </c>
      <c r="N12" s="2" t="s">
        <v>174</v>
      </c>
      <c r="O12" s="5">
        <v>0.34</v>
      </c>
      <c r="P12" s="5">
        <v>0.43</v>
      </c>
      <c r="Q12" s="6">
        <f>O12*A12</f>
        <v>0.68</v>
      </c>
      <c r="R12" s="6">
        <f t="shared" si="6"/>
        <v>0.86</v>
      </c>
      <c r="S12" s="4"/>
      <c r="T12" s="4" t="str">
        <f t="shared" si="0"/>
        <v>2,1N5919BGOS-ND</v>
      </c>
      <c r="U12" s="4" t="str">
        <f t="shared" si="3"/>
        <v>1,1N5919BGOS-ND</v>
      </c>
      <c r="V12" t="str">
        <f>"Diode - " &amp;A12&amp;"x "&amp;E12</f>
        <v>Diode - 2x 1N5919BG Zener</v>
      </c>
      <c r="W12" t="str">
        <f t="shared" si="4"/>
        <v>863-1N5919BRLG|2</v>
      </c>
      <c r="X12" t="str">
        <f t="shared" si="5"/>
        <v>1N5919BG 2</v>
      </c>
    </row>
    <row r="13" spans="1:24" ht="26.25" thickBot="1">
      <c r="A13" s="18">
        <f>LEN(C13)-LEN(SUBSTITUTE(C13,",",""))+1</f>
        <v>3</v>
      </c>
      <c r="B13" s="18">
        <f t="shared" si="9"/>
        <v>2</v>
      </c>
      <c r="C13" s="4" t="s">
        <v>287</v>
      </c>
      <c r="D13" s="4" t="s">
        <v>180</v>
      </c>
      <c r="E13" s="3" t="s">
        <v>101</v>
      </c>
      <c r="F13" s="3" t="s">
        <v>25</v>
      </c>
      <c r="G13" s="3" t="s">
        <v>20</v>
      </c>
      <c r="H13" s="3"/>
      <c r="I13" s="3">
        <v>18</v>
      </c>
      <c r="J13" s="3" t="s">
        <v>26</v>
      </c>
      <c r="K13" s="3" t="s">
        <v>139</v>
      </c>
      <c r="L13" s="3" t="s">
        <v>24</v>
      </c>
      <c r="M13" s="2" t="s">
        <v>27</v>
      </c>
      <c r="N13" s="2" t="s">
        <v>161</v>
      </c>
      <c r="O13" s="5">
        <v>0.39</v>
      </c>
      <c r="P13" s="5">
        <v>0.39</v>
      </c>
      <c r="Q13" s="6">
        <f>O13*A13</f>
        <v>1.17</v>
      </c>
      <c r="R13" s="6">
        <f t="shared" si="6"/>
        <v>1.17</v>
      </c>
      <c r="S13" s="4"/>
      <c r="T13" s="4" t="str">
        <f t="shared" si="0"/>
        <v>3,1N5818-TPCT-ND</v>
      </c>
      <c r="U13" s="4" t="str">
        <f t="shared" si="3"/>
        <v>2,1N5818-TPCT-ND</v>
      </c>
      <c r="V13" t="str">
        <f t="shared" ref="V13:V15" si="10">"Diode - " &amp;A13&amp;"x "&amp;E13</f>
        <v>Diode - 3x 1N5818-TP Schottky</v>
      </c>
      <c r="W13" t="str">
        <f t="shared" si="4"/>
        <v>833-1N5818-TP|3</v>
      </c>
      <c r="X13" t="str">
        <f t="shared" si="5"/>
        <v>1N5818-TP 3</v>
      </c>
    </row>
    <row r="14" spans="1:24" ht="16.5" thickBot="1">
      <c r="A14" s="18">
        <f>LEN(C14)-LEN(SUBSTITUTE(C14,",",""))+1</f>
        <v>6</v>
      </c>
      <c r="B14" s="18">
        <f t="shared" si="9"/>
        <v>4</v>
      </c>
      <c r="C14" s="4" t="s">
        <v>210</v>
      </c>
      <c r="D14" s="22" t="s">
        <v>109</v>
      </c>
      <c r="E14" s="3" t="s">
        <v>28</v>
      </c>
      <c r="F14" s="3" t="s">
        <v>84</v>
      </c>
      <c r="G14" s="3" t="s">
        <v>75</v>
      </c>
      <c r="H14" s="3"/>
      <c r="I14" s="3"/>
      <c r="J14" s="3"/>
      <c r="K14" s="3" t="s">
        <v>139</v>
      </c>
      <c r="L14" s="3" t="s">
        <v>185</v>
      </c>
      <c r="M14" s="2" t="s">
        <v>85</v>
      </c>
      <c r="N14" s="2" t="s">
        <v>172</v>
      </c>
      <c r="O14" s="5">
        <v>0.47</v>
      </c>
      <c r="P14" s="5">
        <v>0.1</v>
      </c>
      <c r="Q14" s="6">
        <f>O14*A14</f>
        <v>2.82</v>
      </c>
      <c r="R14" s="6">
        <f t="shared" si="6"/>
        <v>0.60000000000000009</v>
      </c>
      <c r="S14" s="4"/>
      <c r="T14" s="4" t="str">
        <f t="shared" si="0"/>
        <v>6,160-1139-ND</v>
      </c>
      <c r="U14" s="4" t="str">
        <f t="shared" si="3"/>
        <v>4,160-1139-ND</v>
      </c>
      <c r="V14" t="str">
        <f t="shared" si="10"/>
        <v>Diode - 6x LED-Red</v>
      </c>
      <c r="W14" t="str">
        <f t="shared" si="4"/>
        <v>859-LTL-4221N|6</v>
      </c>
      <c r="X14" t="str">
        <f t="shared" si="5"/>
        <v>LTL-4221N 6</v>
      </c>
    </row>
    <row r="15" spans="1:24" ht="26.25" thickBot="1">
      <c r="A15" s="18">
        <f>LEN(C15)-LEN(SUBSTITUTE(C15,",",""))+1</f>
        <v>5</v>
      </c>
      <c r="B15" s="18">
        <f t="shared" si="9"/>
        <v>2</v>
      </c>
      <c r="C15" s="4" t="s">
        <v>283</v>
      </c>
      <c r="D15" s="22" t="s">
        <v>108</v>
      </c>
      <c r="E15" s="3" t="s">
        <v>29</v>
      </c>
      <c r="F15" s="3" t="s">
        <v>30</v>
      </c>
      <c r="G15" s="3" t="s">
        <v>20</v>
      </c>
      <c r="H15" s="3"/>
      <c r="I15" s="3">
        <v>13</v>
      </c>
      <c r="J15" s="3" t="s">
        <v>26</v>
      </c>
      <c r="K15" s="3" t="s">
        <v>138</v>
      </c>
      <c r="L15" s="3" t="s">
        <v>31</v>
      </c>
      <c r="M15" s="2" t="s">
        <v>32</v>
      </c>
      <c r="N15" s="2" t="s">
        <v>162</v>
      </c>
      <c r="O15" s="5">
        <v>0.11</v>
      </c>
      <c r="P15" s="5">
        <v>0.11</v>
      </c>
      <c r="Q15" s="6">
        <f>O15*A15</f>
        <v>0.55000000000000004</v>
      </c>
      <c r="R15" s="6">
        <f t="shared" si="6"/>
        <v>0.55000000000000004</v>
      </c>
      <c r="S15" s="4"/>
      <c r="T15" s="4" t="str">
        <f t="shared" si="0"/>
        <v>5,1N4004-TPMSCT-ND</v>
      </c>
      <c r="U15" s="4" t="str">
        <f t="shared" si="3"/>
        <v>2,1N4004-TPMSCT-ND</v>
      </c>
      <c r="V15" t="str">
        <f t="shared" si="10"/>
        <v>Diode - 5x 1N4004</v>
      </c>
      <c r="W15" t="str">
        <f t="shared" si="4"/>
        <v>833-1N4004-TP|5</v>
      </c>
      <c r="X15" t="str">
        <f t="shared" si="5"/>
        <v>1N4004-TP 5</v>
      </c>
    </row>
    <row r="16" spans="1:24" ht="16.5" thickBot="1">
      <c r="A16" s="16"/>
      <c r="B16" s="16"/>
      <c r="C16" s="4"/>
      <c r="D16" s="4"/>
      <c r="E16" s="3"/>
      <c r="F16" s="3"/>
      <c r="G16" s="3"/>
      <c r="H16" s="3"/>
      <c r="I16" s="3"/>
      <c r="J16" s="3"/>
      <c r="K16" s="3"/>
      <c r="L16" s="3"/>
      <c r="M16" s="2"/>
      <c r="N16" s="2"/>
      <c r="O16" s="3"/>
      <c r="P16" s="3"/>
      <c r="Q16" s="3"/>
      <c r="R16" s="6"/>
      <c r="S16" s="4"/>
      <c r="T16" s="4" t="str">
        <f t="shared" si="0"/>
        <v/>
      </c>
      <c r="U16" s="4" t="str">
        <f t="shared" si="3"/>
        <v/>
      </c>
      <c r="V16" t="str">
        <f>A16&amp;"x "&amp;E16</f>
        <v xml:space="preserve">x </v>
      </c>
      <c r="W16" t="str">
        <f t="shared" si="4"/>
        <v/>
      </c>
      <c r="X16" t="str">
        <f t="shared" si="5"/>
        <v xml:space="preserve"> </v>
      </c>
    </row>
    <row r="17" spans="1:24" ht="16.5" thickBot="1">
      <c r="A17" s="18">
        <v>1</v>
      </c>
      <c r="B17" s="18">
        <f t="shared" ref="B17" si="11">LEN(D17)-LEN(SUBSTITUTE(D17,",",""))+1</f>
        <v>1</v>
      </c>
      <c r="C17" s="4" t="s">
        <v>83</v>
      </c>
      <c r="D17" s="4" t="s">
        <v>83</v>
      </c>
      <c r="E17" s="3" t="s">
        <v>33</v>
      </c>
      <c r="F17" s="3" t="s">
        <v>34</v>
      </c>
      <c r="G17" s="3" t="s">
        <v>35</v>
      </c>
      <c r="H17" s="3"/>
      <c r="I17" s="3">
        <v>1</v>
      </c>
      <c r="J17" s="3" t="s">
        <v>36</v>
      </c>
      <c r="K17" s="3" t="s">
        <v>139</v>
      </c>
      <c r="L17" s="3" t="s">
        <v>37</v>
      </c>
      <c r="M17" s="2" t="s">
        <v>38</v>
      </c>
      <c r="N17" s="2" t="s">
        <v>163</v>
      </c>
      <c r="O17" s="5">
        <v>0.72</v>
      </c>
      <c r="P17" s="5">
        <v>0.72</v>
      </c>
      <c r="Q17" s="6">
        <f>O17*A17</f>
        <v>0.72</v>
      </c>
      <c r="R17" s="6">
        <f t="shared" si="6"/>
        <v>0.72</v>
      </c>
      <c r="S17" s="4"/>
      <c r="T17" s="4" t="str">
        <f t="shared" si="0"/>
        <v>1,P7307-ND</v>
      </c>
      <c r="U17" s="4" t="str">
        <f t="shared" si="3"/>
        <v>1,P7307-ND</v>
      </c>
      <c r="V17" t="str">
        <f>A17&amp;"x "&amp;E17</f>
        <v>1x Surge Protection</v>
      </c>
      <c r="W17" t="str">
        <f t="shared" si="4"/>
        <v>667-ERZ-V14D220|1</v>
      </c>
      <c r="X17" t="str">
        <f t="shared" si="5"/>
        <v>ERZ-V14D220 1</v>
      </c>
    </row>
    <row r="18" spans="1:24" ht="16.5" thickBot="1">
      <c r="A18" s="16"/>
      <c r="B18" s="16"/>
      <c r="C18" s="4"/>
      <c r="D18" s="4"/>
      <c r="E18" s="3"/>
      <c r="F18" s="3"/>
      <c r="G18" s="3"/>
      <c r="H18" s="3"/>
      <c r="I18" s="3"/>
      <c r="J18" s="3"/>
      <c r="K18" s="3"/>
      <c r="L18" s="3"/>
      <c r="M18" s="2"/>
      <c r="N18" s="2"/>
      <c r="O18" s="3"/>
      <c r="P18" s="3"/>
      <c r="Q18" s="3"/>
      <c r="R18" s="6"/>
      <c r="S18" s="4"/>
      <c r="T18" s="4" t="str">
        <f t="shared" si="0"/>
        <v/>
      </c>
      <c r="U18" s="4" t="str">
        <f t="shared" si="3"/>
        <v/>
      </c>
      <c r="V18" t="str">
        <f>A18&amp;"x "&amp;E18</f>
        <v xml:space="preserve">x </v>
      </c>
      <c r="W18" t="str">
        <f t="shared" si="4"/>
        <v/>
      </c>
      <c r="X18" t="str">
        <f t="shared" si="5"/>
        <v xml:space="preserve"> </v>
      </c>
    </row>
    <row r="19" spans="1:24" ht="26.25" thickBot="1">
      <c r="A19" s="18">
        <v>4</v>
      </c>
      <c r="B19" s="18">
        <v>4</v>
      </c>
      <c r="C19" s="4" t="s">
        <v>82</v>
      </c>
      <c r="D19" s="4" t="s">
        <v>82</v>
      </c>
      <c r="E19" s="3" t="s">
        <v>96</v>
      </c>
      <c r="F19" s="3" t="s">
        <v>90</v>
      </c>
      <c r="G19" s="3"/>
      <c r="H19" s="3"/>
      <c r="I19" s="3">
        <v>1</v>
      </c>
      <c r="J19" s="3" t="s">
        <v>89</v>
      </c>
      <c r="K19" s="3" t="s">
        <v>139</v>
      </c>
      <c r="L19" s="3" t="s">
        <v>205</v>
      </c>
      <c r="M19" s="2" t="s">
        <v>88</v>
      </c>
      <c r="N19" s="2" t="s">
        <v>206</v>
      </c>
      <c r="O19" s="6">
        <v>0.56000000000000005</v>
      </c>
      <c r="P19" s="24">
        <v>2.95</v>
      </c>
      <c r="Q19" s="6">
        <f>O19*A19</f>
        <v>2.2400000000000002</v>
      </c>
      <c r="R19" s="6">
        <f t="shared" si="6"/>
        <v>11.8</v>
      </c>
      <c r="S19" s="4" t="s">
        <v>173</v>
      </c>
      <c r="T19" s="4" t="str">
        <f t="shared" si="0"/>
        <v>4,S1012EC-40-ND</v>
      </c>
      <c r="U19" s="4" t="str">
        <f t="shared" si="3"/>
        <v>4,S1012EC-40-ND</v>
      </c>
      <c r="V19" t="str">
        <f>A19&amp;"x "&amp;E19</f>
        <v>4x 40 POS 0.100 Pin Header</v>
      </c>
      <c r="W19" t="str">
        <f t="shared" si="4"/>
        <v>571-41037410|4</v>
      </c>
      <c r="X19" t="str">
        <f t="shared" si="5"/>
        <v>PREC040SAAN-RC.. 4</v>
      </c>
    </row>
    <row r="20" spans="1:24" ht="16.5" thickBot="1">
      <c r="A20" s="18">
        <v>1</v>
      </c>
      <c r="B20" s="18">
        <v>4</v>
      </c>
      <c r="C20" s="4" t="s">
        <v>223</v>
      </c>
      <c r="D20" s="4" t="s">
        <v>82</v>
      </c>
      <c r="E20" s="3" t="s">
        <v>261</v>
      </c>
      <c r="F20" s="3" t="s">
        <v>262</v>
      </c>
      <c r="G20" s="3"/>
      <c r="H20" s="3"/>
      <c r="I20" s="3">
        <v>1</v>
      </c>
      <c r="J20" s="3" t="s">
        <v>225</v>
      </c>
      <c r="K20" s="3" t="s">
        <v>139</v>
      </c>
      <c r="L20" s="27" t="s">
        <v>258</v>
      </c>
      <c r="M20" s="30" t="s">
        <v>260</v>
      </c>
      <c r="N20" s="2" t="s">
        <v>259</v>
      </c>
      <c r="O20" s="6">
        <v>1</v>
      </c>
      <c r="P20" s="28">
        <v>0.88200000000000001</v>
      </c>
      <c r="Q20" s="6">
        <f>O20*A20</f>
        <v>1</v>
      </c>
      <c r="R20" s="6">
        <f t="shared" ref="R20:R21" si="12">P20*A20</f>
        <v>0.88200000000000001</v>
      </c>
      <c r="S20" s="4"/>
      <c r="T20" s="4" t="str">
        <f t="shared" ref="T20:T21" si="13">IF(NOT(M20=""),A20&amp;","&amp;M20,"")</f>
        <v>1,WM1353-ND</v>
      </c>
      <c r="U20" s="4" t="str">
        <f t="shared" ref="U20:U21" si="14">IF(NOT(M20=""),B20&amp;","&amp;M20,"")</f>
        <v>4,WM1353-ND</v>
      </c>
      <c r="V20" t="str">
        <f t="shared" ref="V20:V21" si="15">A20&amp;"x "&amp;E20</f>
        <v>1x 6 POS Header</v>
      </c>
      <c r="W20" t="str">
        <f t="shared" ref="W20:W21" si="16">IF(NOT(N20=""),N20&amp;"|"&amp;A20,"")</f>
        <v>538-39-30-1060|1</v>
      </c>
      <c r="X20" t="str">
        <f t="shared" ref="X20:X21" si="17">L20&amp;" "&amp;A20</f>
        <v>39-30-1060 1</v>
      </c>
    </row>
    <row r="21" spans="1:24" ht="16.5" thickBot="1">
      <c r="A21" s="18">
        <v>1</v>
      </c>
      <c r="B21" s="18">
        <v>4</v>
      </c>
      <c r="C21" s="35" t="s">
        <v>223</v>
      </c>
      <c r="D21" s="4" t="s">
        <v>82</v>
      </c>
      <c r="E21" s="3" t="s">
        <v>224</v>
      </c>
      <c r="F21" s="3" t="s">
        <v>310</v>
      </c>
      <c r="G21" s="3"/>
      <c r="H21" s="3"/>
      <c r="I21" s="3">
        <v>1</v>
      </c>
      <c r="J21" s="3" t="s">
        <v>225</v>
      </c>
      <c r="K21" s="3" t="s">
        <v>139</v>
      </c>
      <c r="L21" s="27" t="s">
        <v>311</v>
      </c>
      <c r="M21" s="30" t="s">
        <v>312</v>
      </c>
      <c r="N21" s="2" t="s">
        <v>313</v>
      </c>
      <c r="O21" s="6">
        <v>1.01</v>
      </c>
      <c r="P21" s="28">
        <v>0.89100000000000001</v>
      </c>
      <c r="Q21" s="6">
        <f>O21*A21</f>
        <v>1.01</v>
      </c>
      <c r="R21" s="6">
        <f t="shared" si="12"/>
        <v>0.89100000000000001</v>
      </c>
      <c r="S21" s="4"/>
      <c r="T21" s="4" t="str">
        <f t="shared" si="13"/>
        <v>1,WM21352-ND</v>
      </c>
      <c r="U21" s="4" t="str">
        <f t="shared" si="14"/>
        <v>4,WM21352-ND</v>
      </c>
      <c r="V21" t="str">
        <f t="shared" si="15"/>
        <v>1x 4 POS Header</v>
      </c>
      <c r="W21" t="str">
        <f t="shared" si="16"/>
        <v>538-39-30-0040|1</v>
      </c>
      <c r="X21" t="str">
        <f t="shared" si="17"/>
        <v>39-30-0040 1</v>
      </c>
    </row>
    <row r="22" spans="1:24" ht="16.5" thickBot="1">
      <c r="A22" s="18">
        <v>1</v>
      </c>
      <c r="B22" s="18">
        <v>4</v>
      </c>
      <c r="C22" s="4" t="s">
        <v>234</v>
      </c>
      <c r="D22" s="4" t="s">
        <v>82</v>
      </c>
      <c r="E22" s="3" t="s">
        <v>224</v>
      </c>
      <c r="F22" s="3" t="s">
        <v>236</v>
      </c>
      <c r="G22" s="3"/>
      <c r="H22" s="3"/>
      <c r="I22" s="3">
        <v>1</v>
      </c>
      <c r="J22" s="3" t="s">
        <v>238</v>
      </c>
      <c r="K22" s="3" t="s">
        <v>139</v>
      </c>
      <c r="L22" s="27" t="s">
        <v>239</v>
      </c>
      <c r="M22" s="30" t="s">
        <v>244</v>
      </c>
      <c r="N22" s="2" t="s">
        <v>243</v>
      </c>
      <c r="O22" s="6">
        <v>0.38</v>
      </c>
      <c r="P22" s="28">
        <v>0.76</v>
      </c>
      <c r="Q22" s="6">
        <f>O22*A22</f>
        <v>0.38</v>
      </c>
      <c r="R22" s="6">
        <f t="shared" ref="R22:R23" si="18">P22*A22</f>
        <v>0.76</v>
      </c>
      <c r="S22" s="4"/>
      <c r="T22" s="4" t="str">
        <f t="shared" ref="T22:T23" si="19">IF(NOT(M22=""),A22&amp;","&amp;M22,"")</f>
        <v>1,SAM1213-04-ND</v>
      </c>
      <c r="U22" s="4" t="str">
        <f t="shared" ref="U22:U23" si="20">IF(NOT(M22=""),B22&amp;","&amp;M22,"")</f>
        <v>4,SAM1213-04-ND</v>
      </c>
      <c r="V22" t="str">
        <f t="shared" ref="V22:V23" si="21">A22&amp;"x "&amp;E22</f>
        <v>1x 4 POS Header</v>
      </c>
      <c r="W22" t="str">
        <f t="shared" ref="W22:W23" si="22">IF(NOT(N22=""),N22&amp;"|"&amp;A22,"")</f>
        <v>200-SSW10401TS|1</v>
      </c>
      <c r="X22" t="str">
        <f t="shared" ref="X22:X23" si="23">L22&amp;" "&amp;A22</f>
        <v>SSW-104-01-T-S 1</v>
      </c>
    </row>
    <row r="23" spans="1:24" ht="16.5" thickBot="1">
      <c r="A23" s="18">
        <v>1</v>
      </c>
      <c r="B23" s="18">
        <v>4</v>
      </c>
      <c r="C23" s="4" t="s">
        <v>234</v>
      </c>
      <c r="D23" s="4" t="s">
        <v>82</v>
      </c>
      <c r="E23" s="3" t="s">
        <v>235</v>
      </c>
      <c r="F23" s="3" t="s">
        <v>237</v>
      </c>
      <c r="G23" s="3"/>
      <c r="H23" s="3"/>
      <c r="I23" s="3">
        <v>1</v>
      </c>
      <c r="J23" s="3" t="s">
        <v>238</v>
      </c>
      <c r="K23" s="3" t="s">
        <v>139</v>
      </c>
      <c r="L23" s="27" t="s">
        <v>240</v>
      </c>
      <c r="M23" s="30" t="s">
        <v>242</v>
      </c>
      <c r="N23" s="2" t="s">
        <v>241</v>
      </c>
      <c r="O23" s="6">
        <v>0.23</v>
      </c>
      <c r="P23" s="28">
        <v>0.49</v>
      </c>
      <c r="Q23" s="6">
        <f>O23*A23</f>
        <v>0.23</v>
      </c>
      <c r="R23" s="6">
        <f t="shared" si="18"/>
        <v>0.49</v>
      </c>
      <c r="S23" s="4"/>
      <c r="T23" s="4" t="str">
        <f t="shared" si="19"/>
        <v>1,SAM1213-02-ND</v>
      </c>
      <c r="U23" s="4" t="str">
        <f t="shared" si="20"/>
        <v>4,SAM1213-02-ND</v>
      </c>
      <c r="V23" t="str">
        <f t="shared" si="21"/>
        <v>1x 2 POS Header</v>
      </c>
      <c r="W23" t="str">
        <f t="shared" si="22"/>
        <v>200-SSW10201TS|1</v>
      </c>
      <c r="X23" t="str">
        <f t="shared" si="23"/>
        <v>SSW-102-01-T-S 1</v>
      </c>
    </row>
    <row r="24" spans="1:24" ht="16.5" thickBot="1">
      <c r="A24" s="16"/>
      <c r="B24" s="16"/>
      <c r="C24" s="4"/>
      <c r="D24" s="4"/>
      <c r="E24" s="3"/>
      <c r="F24" s="3"/>
      <c r="G24" s="3"/>
      <c r="H24" s="3"/>
      <c r="I24" s="3"/>
      <c r="J24" s="3"/>
      <c r="K24" s="3"/>
      <c r="L24" s="3"/>
      <c r="M24" s="2"/>
      <c r="N24" s="2"/>
      <c r="O24" s="3"/>
      <c r="P24" s="3"/>
      <c r="Q24" s="6"/>
      <c r="R24" s="6"/>
      <c r="S24" s="4"/>
      <c r="T24" s="4" t="str">
        <f t="shared" ref="T24:T44" si="24">IF(NOT(M24=""),A24&amp;","&amp;M24,"")</f>
        <v/>
      </c>
      <c r="U24" s="4" t="str">
        <f t="shared" ref="U24:U37" si="25">IF(NOT(M24=""),B24&amp;","&amp;M24,"")</f>
        <v/>
      </c>
      <c r="V24" t="str">
        <f>A24&amp;"x "&amp;E24</f>
        <v xml:space="preserve">x </v>
      </c>
      <c r="W24" t="str">
        <f>IF(NOT(N24=""),N24&amp;"|"&amp;A24,"")</f>
        <v/>
      </c>
      <c r="X24" t="str">
        <f>L24&amp;" "&amp;A24</f>
        <v xml:space="preserve"> </v>
      </c>
    </row>
    <row r="25" spans="1:24" ht="26.25" thickBot="1">
      <c r="A25" s="18">
        <f>LEN(C25)-LEN(SUBSTITUTE(C25,",",""))+1</f>
        <v>7</v>
      </c>
      <c r="B25" s="18">
        <f t="shared" ref="B25" si="26">LEN(D25)-LEN(SUBSTITUTE(D25,",",""))+1</f>
        <v>6</v>
      </c>
      <c r="C25" s="4" t="s">
        <v>315</v>
      </c>
      <c r="D25" s="22" t="s">
        <v>107</v>
      </c>
      <c r="E25" s="3" t="s">
        <v>97</v>
      </c>
      <c r="F25" s="3" t="s">
        <v>204</v>
      </c>
      <c r="G25" s="3" t="s">
        <v>65</v>
      </c>
      <c r="H25" s="3"/>
      <c r="I25" s="3">
        <v>8</v>
      </c>
      <c r="J25" s="3" t="s">
        <v>39</v>
      </c>
      <c r="K25" s="3" t="s">
        <v>138</v>
      </c>
      <c r="L25" s="3" t="s">
        <v>202</v>
      </c>
      <c r="M25" s="2" t="s">
        <v>203</v>
      </c>
      <c r="N25" s="2" t="s">
        <v>164</v>
      </c>
      <c r="O25" s="6">
        <v>1.51</v>
      </c>
      <c r="P25" s="6">
        <v>1.51</v>
      </c>
      <c r="Q25" s="6">
        <f>O25*A25</f>
        <v>10.57</v>
      </c>
      <c r="R25" s="6">
        <f t="shared" si="6"/>
        <v>10.57</v>
      </c>
      <c r="S25" s="4"/>
      <c r="T25" s="4" t="str">
        <f t="shared" si="24"/>
        <v>7,497-5981-5-ND</v>
      </c>
      <c r="U25" s="4" t="str">
        <f t="shared" si="25"/>
        <v>6,497-5981-5-ND</v>
      </c>
      <c r="V25" t="str">
        <f>A25&amp;"x "&amp;E25</f>
        <v>7x 62A MOSFET N-CH</v>
      </c>
      <c r="W25" t="str">
        <f>IF(NOT(N25=""),N25&amp;"|"&amp;A25,"")</f>
        <v>511-STP62NS04Z|7</v>
      </c>
      <c r="X25" t="str">
        <f>L25&amp;" "&amp;A25</f>
        <v>STP75NS04Z 7</v>
      </c>
    </row>
    <row r="26" spans="1:24" ht="26.25" thickBot="1">
      <c r="A26" s="18">
        <f>LEN(C26)-LEN(SUBSTITUTE(C26,",",""))+1</f>
        <v>6</v>
      </c>
      <c r="B26" s="18">
        <f t="shared" ref="B26:B27" si="27">LEN(D26)-LEN(SUBSTITUTE(D26,",",""))+1</f>
        <v>6</v>
      </c>
      <c r="C26" s="4" t="s">
        <v>217</v>
      </c>
      <c r="D26" s="22" t="s">
        <v>107</v>
      </c>
      <c r="E26" s="3" t="s">
        <v>218</v>
      </c>
      <c r="F26" s="3" t="s">
        <v>219</v>
      </c>
      <c r="G26" s="3" t="s">
        <v>220</v>
      </c>
      <c r="H26" s="3"/>
      <c r="I26" s="3">
        <v>8</v>
      </c>
      <c r="J26" s="3" t="s">
        <v>21</v>
      </c>
      <c r="K26" s="3" t="s">
        <v>138</v>
      </c>
      <c r="L26" s="3" t="s">
        <v>221</v>
      </c>
      <c r="M26" s="29" t="s">
        <v>231</v>
      </c>
      <c r="N26" s="2" t="s">
        <v>222</v>
      </c>
      <c r="O26" s="6">
        <v>2.62</v>
      </c>
      <c r="P26" s="6">
        <v>2.9</v>
      </c>
      <c r="Q26" s="6">
        <f>O26*A26</f>
        <v>15.72</v>
      </c>
      <c r="R26" s="6">
        <f t="shared" ref="R26:R27" si="28">P26*A26</f>
        <v>17.399999999999999</v>
      </c>
      <c r="S26" s="4"/>
      <c r="T26" s="4" t="str">
        <f t="shared" ref="T26" si="29">IF(NOT(M26=""),A26&amp;","&amp;M26,"")</f>
        <v>6,ISL9V5036P3-F085-ND</v>
      </c>
      <c r="U26" s="4" t="str">
        <f t="shared" si="25"/>
        <v>6,ISL9V5036P3-F085-ND</v>
      </c>
      <c r="V26" t="str">
        <f t="shared" ref="V26:V27" si="30">A26&amp;"x "&amp;E26</f>
        <v>6x Ignition IGBT</v>
      </c>
      <c r="W26" t="str">
        <f t="shared" ref="W26" si="31">IF(NOT(N26=""),N26&amp;"|"&amp;A26,"")</f>
        <v>512-ISL9V5036P3-F085
|6</v>
      </c>
      <c r="X26" t="str">
        <f t="shared" ref="X26" si="32">L26&amp;" "&amp;A26</f>
        <v>ISL9V5036P3-F085 6</v>
      </c>
    </row>
    <row r="27" spans="1:24" ht="16.5" thickBot="1">
      <c r="A27" s="18">
        <f>LEN(C27)-LEN(SUBSTITUTE(C27,",",""))+1</f>
        <v>1</v>
      </c>
      <c r="B27" s="18">
        <f t="shared" si="27"/>
        <v>6</v>
      </c>
      <c r="C27" s="32" t="s">
        <v>288</v>
      </c>
      <c r="D27" s="22" t="s">
        <v>107</v>
      </c>
      <c r="E27" s="3" t="s">
        <v>289</v>
      </c>
      <c r="F27" s="3" t="s">
        <v>290</v>
      </c>
      <c r="G27" s="3" t="s">
        <v>228</v>
      </c>
      <c r="H27" s="3"/>
      <c r="I27" s="3">
        <v>8</v>
      </c>
      <c r="J27" s="3" t="s">
        <v>21</v>
      </c>
      <c r="K27" s="3" t="s">
        <v>138</v>
      </c>
      <c r="L27" s="3" t="s">
        <v>291</v>
      </c>
      <c r="M27" s="30" t="s">
        <v>293</v>
      </c>
      <c r="N27" s="2" t="s">
        <v>292</v>
      </c>
      <c r="O27" s="6">
        <v>0.25</v>
      </c>
      <c r="P27" s="6">
        <v>0.28999999999999998</v>
      </c>
      <c r="Q27" s="6">
        <f>O27*A27</f>
        <v>0.25</v>
      </c>
      <c r="R27" s="6">
        <f t="shared" si="28"/>
        <v>0.28999999999999998</v>
      </c>
      <c r="S27" s="4"/>
      <c r="T27" s="4" t="str">
        <f>IF(NOT(M28=""),A27&amp;","&amp;M28,"")</f>
        <v>1,PN2222AFS-ND</v>
      </c>
      <c r="U27" s="4" t="str">
        <f>IF(NOT(M28=""),B27&amp;","&amp;M28,"")</f>
        <v>6,PN2222AFS-ND</v>
      </c>
      <c r="V27" t="str">
        <f t="shared" si="30"/>
        <v>1x PNP transistor</v>
      </c>
      <c r="W27" t="str">
        <f>IF(NOT(N28=""),N28&amp;"|"&amp;A27,"")</f>
        <v>512-PN2222ABU|1</v>
      </c>
      <c r="X27" t="str">
        <f>L28&amp;" "&amp;A27</f>
        <v>PN2222ABU 1</v>
      </c>
    </row>
    <row r="28" spans="1:24" ht="16.5" thickBot="1">
      <c r="A28" s="18">
        <f>LEN(C28)-LEN(SUBSTITUTE(C28,",",""))+1</f>
        <v>1</v>
      </c>
      <c r="B28" s="18">
        <f t="shared" ref="B28" si="33">LEN(D28)-LEN(SUBSTITUTE(D28,",",""))+1</f>
        <v>6</v>
      </c>
      <c r="C28" s="4" t="s">
        <v>245</v>
      </c>
      <c r="D28" s="22" t="s">
        <v>107</v>
      </c>
      <c r="E28" s="3" t="s">
        <v>227</v>
      </c>
      <c r="F28" s="3" t="s">
        <v>226</v>
      </c>
      <c r="G28" s="3" t="s">
        <v>228</v>
      </c>
      <c r="H28" s="3"/>
      <c r="I28" s="3">
        <v>8</v>
      </c>
      <c r="J28" s="3" t="s">
        <v>21</v>
      </c>
      <c r="K28" s="3" t="s">
        <v>138</v>
      </c>
      <c r="L28" s="3" t="s">
        <v>229</v>
      </c>
      <c r="M28" s="30" t="s">
        <v>232</v>
      </c>
      <c r="N28" s="2" t="s">
        <v>230</v>
      </c>
      <c r="O28" s="6">
        <v>0.25</v>
      </c>
      <c r="P28" s="6">
        <v>0.28999999999999998</v>
      </c>
      <c r="Q28" s="6">
        <f>O28*A28</f>
        <v>0.25</v>
      </c>
      <c r="R28" s="6">
        <f t="shared" ref="R28" si="34">P28*A28</f>
        <v>0.28999999999999998</v>
      </c>
      <c r="S28" s="4"/>
      <c r="T28" s="4" t="str">
        <f>IF(NOT(M27=""),A28&amp;","&amp;M27,"")</f>
        <v>1,PN2907ABUFS-ND</v>
      </c>
      <c r="U28" s="4" t="str">
        <f>IF(NOT(M27=""),B28&amp;","&amp;M27,"")</f>
        <v>6,PN2907ABUFS-ND</v>
      </c>
      <c r="V28" t="str">
        <f t="shared" ref="V28" si="35">A28&amp;"x "&amp;E28</f>
        <v>1x NPN transistor</v>
      </c>
      <c r="W28" t="str">
        <f>IF(NOT(N27=""),N27&amp;"|"&amp;A28,"")</f>
        <v>512-PN2907ABU|1</v>
      </c>
      <c r="X28" t="str">
        <f>L27&amp;" "&amp;A28</f>
        <v>PN2907ABU 1</v>
      </c>
    </row>
    <row r="29" spans="1:24" ht="16.5" thickBot="1">
      <c r="A29" s="16"/>
      <c r="B29" s="16"/>
      <c r="C29" s="4"/>
      <c r="D29" s="4"/>
      <c r="E29" s="3"/>
      <c r="F29" s="3"/>
      <c r="G29" s="3"/>
      <c r="H29" s="3"/>
      <c r="I29" s="3"/>
      <c r="J29" s="3"/>
      <c r="K29" s="3"/>
      <c r="O29" s="3"/>
      <c r="P29" s="3"/>
      <c r="Q29" s="3"/>
      <c r="R29" s="6"/>
      <c r="S29" s="4"/>
      <c r="T29" s="4" t="e">
        <f>IF(NOT(#REF!=""),A29&amp;","&amp;#REF!,"")</f>
        <v>#REF!</v>
      </c>
      <c r="U29" s="4" t="e">
        <f>IF(NOT(#REF!=""),B29&amp;","&amp;#REF!,"")</f>
        <v>#REF!</v>
      </c>
      <c r="W29" t="e">
        <f>IF(NOT(#REF!=""),#REF!&amp;"|"&amp;A29,"")</f>
        <v>#REF!</v>
      </c>
      <c r="X29" t="e">
        <f>#REF!&amp;" "&amp;A29</f>
        <v>#REF!</v>
      </c>
    </row>
    <row r="30" spans="1:24" ht="16.5" thickBot="1">
      <c r="A30" s="18">
        <f>LEN(C30)-LEN(SUBSTITUTE(C30,",",""))+1</f>
        <v>1</v>
      </c>
      <c r="B30" s="18">
        <f t="shared" ref="A30:B35" si="36">LEN(D30)-LEN(SUBSTITUTE(D30,",",""))+1</f>
        <v>1</v>
      </c>
      <c r="C30" s="4" t="s">
        <v>194</v>
      </c>
      <c r="D30" s="4" t="s">
        <v>194</v>
      </c>
      <c r="E30" s="3" t="s">
        <v>40</v>
      </c>
      <c r="F30" s="3" t="s">
        <v>41</v>
      </c>
      <c r="G30" s="3"/>
      <c r="H30" s="3"/>
      <c r="I30" s="3">
        <v>7</v>
      </c>
      <c r="J30" s="3" t="s">
        <v>42</v>
      </c>
      <c r="K30" s="3" t="s">
        <v>138</v>
      </c>
      <c r="L30" s="3" t="s">
        <v>187</v>
      </c>
      <c r="M30" s="2" t="s">
        <v>43</v>
      </c>
      <c r="N30" s="2" t="s">
        <v>246</v>
      </c>
      <c r="O30" s="5">
        <v>0.08</v>
      </c>
      <c r="P30" s="5">
        <v>0.11</v>
      </c>
      <c r="Q30" s="6">
        <f t="shared" ref="Q30:Q37" si="37">O30*A30</f>
        <v>0.08</v>
      </c>
      <c r="R30" s="6">
        <f t="shared" si="6"/>
        <v>0.11</v>
      </c>
      <c r="S30" s="4"/>
      <c r="T30" s="4" t="str">
        <f t="shared" si="24"/>
        <v>1,10.0KXBK-ND</v>
      </c>
      <c r="U30" s="4" t="str">
        <f t="shared" si="25"/>
        <v>1,10.0KXBK-ND</v>
      </c>
      <c r="V30" t="str">
        <f>"Resistor - " &amp; A30&amp;"x "&amp;E30</f>
        <v>Resistor - 1x 10k</v>
      </c>
      <c r="W30" t="str">
        <f t="shared" ref="W30:W37" si="38">IF(NOT(N30=""),N30&amp;"|"&amp;A30,"")</f>
        <v>603-MFR-25FBF52-10K|1</v>
      </c>
      <c r="X30" t="str">
        <f t="shared" ref="X30:X37" si="39">L30&amp;" "&amp;A30</f>
        <v>MFR-25FBF52-10K 1</v>
      </c>
    </row>
    <row r="31" spans="1:24" ht="26.25" thickBot="1">
      <c r="A31" s="18">
        <f>LEN(C31)-LEN(SUBSTITUTE(C31,",",""))+1</f>
        <v>17</v>
      </c>
      <c r="B31" s="18">
        <f t="shared" si="36"/>
        <v>13</v>
      </c>
      <c r="C31" s="4" t="s">
        <v>317</v>
      </c>
      <c r="D31" s="22" t="s">
        <v>196</v>
      </c>
      <c r="E31" s="3" t="s">
        <v>44</v>
      </c>
      <c r="F31" s="3" t="s">
        <v>45</v>
      </c>
      <c r="G31" s="3"/>
      <c r="H31" s="3"/>
      <c r="I31" s="3">
        <v>32</v>
      </c>
      <c r="J31" s="3" t="s">
        <v>42</v>
      </c>
      <c r="K31" s="3" t="s">
        <v>138</v>
      </c>
      <c r="L31" s="3" t="s">
        <v>186</v>
      </c>
      <c r="M31" s="2" t="s">
        <v>46</v>
      </c>
      <c r="N31" s="2" t="s">
        <v>247</v>
      </c>
      <c r="O31" s="5">
        <v>0.06</v>
      </c>
      <c r="P31" s="5">
        <v>0.11</v>
      </c>
      <c r="Q31" s="6">
        <f t="shared" si="37"/>
        <v>1.02</v>
      </c>
      <c r="R31" s="6">
        <f t="shared" si="6"/>
        <v>1.87</v>
      </c>
      <c r="S31" s="4"/>
      <c r="T31" s="4" t="str">
        <f t="shared" si="24"/>
        <v>17,1.00KXBK-ND</v>
      </c>
      <c r="U31" s="4" t="str">
        <f t="shared" si="25"/>
        <v>13,1.00KXBK-ND</v>
      </c>
      <c r="V31" t="str">
        <f t="shared" ref="V31:V37" si="40">"Resistor - " &amp; A31&amp;"x "&amp;E31</f>
        <v>Resistor - 17x 1k</v>
      </c>
      <c r="W31" t="str">
        <f t="shared" si="38"/>
        <v>603-MFR-25FBF52-1K|17</v>
      </c>
      <c r="X31" t="str">
        <f t="shared" si="39"/>
        <v>MFR-25FBF52-1K 17</v>
      </c>
    </row>
    <row r="32" spans="1:24" ht="16.5" thickBot="1">
      <c r="A32" s="18">
        <f>LEN(C32)-LEN(SUBSTITUTE(C32,",",""))+1</f>
        <v>3</v>
      </c>
      <c r="B32" s="18">
        <f t="shared" si="36"/>
        <v>2</v>
      </c>
      <c r="C32" s="12" t="s">
        <v>209</v>
      </c>
      <c r="D32" s="23" t="s">
        <v>197</v>
      </c>
      <c r="E32" s="13">
        <v>680</v>
      </c>
      <c r="F32" s="7" t="s">
        <v>115</v>
      </c>
      <c r="G32" s="3"/>
      <c r="H32" s="13"/>
      <c r="I32" s="13"/>
      <c r="J32" s="13" t="s">
        <v>116</v>
      </c>
      <c r="K32" s="13" t="s">
        <v>138</v>
      </c>
      <c r="L32" s="7" t="s">
        <v>184</v>
      </c>
      <c r="M32" s="2" t="s">
        <v>114</v>
      </c>
      <c r="N32" s="2" t="s">
        <v>166</v>
      </c>
      <c r="O32" s="14">
        <v>0.22</v>
      </c>
      <c r="P32" s="14">
        <v>0.15</v>
      </c>
      <c r="Q32" s="6">
        <f t="shared" si="37"/>
        <v>0.66</v>
      </c>
      <c r="R32" s="6">
        <f t="shared" si="6"/>
        <v>0.44999999999999996</v>
      </c>
      <c r="S32" s="12" t="s">
        <v>87</v>
      </c>
      <c r="T32" s="4" t="str">
        <f t="shared" si="24"/>
        <v>3,A105963CT-ND</v>
      </c>
      <c r="U32" s="4" t="str">
        <f t="shared" si="25"/>
        <v>2,A105963CT-ND</v>
      </c>
      <c r="V32" t="str">
        <f t="shared" si="40"/>
        <v>Resistor - 3x 680</v>
      </c>
      <c r="W32" t="str">
        <f t="shared" si="38"/>
        <v>279-LR1F680R|3</v>
      </c>
      <c r="X32" t="str">
        <f t="shared" si="39"/>
        <v>1622545-1 3</v>
      </c>
    </row>
    <row r="33" spans="1:24" ht="26.25" thickBot="1">
      <c r="A33" s="18">
        <f>LEN(C33)-LEN(SUBSTITUTE(C33,",",""))+1</f>
        <v>6</v>
      </c>
      <c r="B33" s="18">
        <f t="shared" si="36"/>
        <v>6</v>
      </c>
      <c r="C33" s="4" t="s">
        <v>182</v>
      </c>
      <c r="D33" s="4" t="s">
        <v>136</v>
      </c>
      <c r="E33" s="3">
        <v>470</v>
      </c>
      <c r="F33" s="3" t="s">
        <v>47</v>
      </c>
      <c r="G33" s="3"/>
      <c r="H33" s="3"/>
      <c r="I33" s="3">
        <v>9</v>
      </c>
      <c r="J33" s="3" t="s">
        <v>48</v>
      </c>
      <c r="K33" s="3" t="s">
        <v>138</v>
      </c>
      <c r="L33" s="7" t="s">
        <v>49</v>
      </c>
      <c r="M33" s="2" t="s">
        <v>50</v>
      </c>
      <c r="N33" s="2" t="s">
        <v>167</v>
      </c>
      <c r="O33" s="5">
        <v>0.11</v>
      </c>
      <c r="P33" s="14">
        <v>0.15</v>
      </c>
      <c r="Q33" s="6">
        <f t="shared" si="37"/>
        <v>0.66</v>
      </c>
      <c r="R33" s="6">
        <f t="shared" si="6"/>
        <v>0.89999999999999991</v>
      </c>
      <c r="S33" s="4"/>
      <c r="T33" s="4" t="str">
        <f t="shared" si="24"/>
        <v>6,RNF14FTD470RCT-ND</v>
      </c>
      <c r="U33" s="4" t="str">
        <f t="shared" si="25"/>
        <v>6,RNF14FTD470RCT-ND</v>
      </c>
      <c r="V33" t="str">
        <f t="shared" si="40"/>
        <v>Resistor - 6x 470</v>
      </c>
      <c r="W33" t="str">
        <f t="shared" si="38"/>
        <v>279-LR1F470R|6</v>
      </c>
      <c r="X33" t="str">
        <f t="shared" si="39"/>
        <v>RNF14FTD470R 6</v>
      </c>
    </row>
    <row r="34" spans="1:24" ht="26.25" thickBot="1">
      <c r="A34" s="18">
        <f t="shared" si="36"/>
        <v>6</v>
      </c>
      <c r="B34" s="18">
        <f t="shared" si="36"/>
        <v>5</v>
      </c>
      <c r="C34" s="4" t="s">
        <v>263</v>
      </c>
      <c r="D34" s="4" t="s">
        <v>198</v>
      </c>
      <c r="E34" s="3" t="s">
        <v>189</v>
      </c>
      <c r="F34" s="3" t="s">
        <v>190</v>
      </c>
      <c r="G34" s="3" t="s">
        <v>51</v>
      </c>
      <c r="H34" s="3"/>
      <c r="I34" s="3">
        <v>3</v>
      </c>
      <c r="J34" s="3" t="s">
        <v>42</v>
      </c>
      <c r="K34" s="3" t="s">
        <v>138</v>
      </c>
      <c r="L34" s="3" t="s">
        <v>191</v>
      </c>
      <c r="M34" s="2" t="s">
        <v>188</v>
      </c>
      <c r="N34" s="2" t="s">
        <v>192</v>
      </c>
      <c r="O34" s="5">
        <v>0.14000000000000001</v>
      </c>
      <c r="P34" s="5">
        <v>0.16</v>
      </c>
      <c r="Q34" s="6">
        <f t="shared" si="37"/>
        <v>0.84000000000000008</v>
      </c>
      <c r="R34" s="6">
        <f t="shared" si="6"/>
        <v>0.96</v>
      </c>
      <c r="S34" s="4"/>
      <c r="T34" s="4" t="str">
        <f t="shared" si="24"/>
        <v>6,2.49KXBK-ND</v>
      </c>
      <c r="U34" s="4" t="str">
        <f t="shared" si="25"/>
        <v>5,2.49KXBK-ND</v>
      </c>
      <c r="V34" t="str">
        <f t="shared" si="40"/>
        <v>Resistor - 6x 1% 2.49k</v>
      </c>
      <c r="W34" t="str">
        <f t="shared" si="38"/>
        <v>603-MFR-25FBF52-2K49|6</v>
      </c>
      <c r="X34" t="str">
        <f t="shared" si="39"/>
        <v>MFR-25FBF52-2K49 6</v>
      </c>
    </row>
    <row r="35" spans="1:24" ht="16.5" thickBot="1">
      <c r="A35" s="18">
        <v>1</v>
      </c>
      <c r="B35" s="18">
        <f t="shared" si="36"/>
        <v>1</v>
      </c>
      <c r="C35" s="4" t="s">
        <v>285</v>
      </c>
      <c r="D35" s="4" t="s">
        <v>71</v>
      </c>
      <c r="E35" s="3" t="s">
        <v>99</v>
      </c>
      <c r="F35" s="3" t="s">
        <v>52</v>
      </c>
      <c r="G35" s="3"/>
      <c r="H35" s="3"/>
      <c r="I35" s="3">
        <v>1</v>
      </c>
      <c r="J35" s="3" t="s">
        <v>42</v>
      </c>
      <c r="K35" s="3" t="s">
        <v>138</v>
      </c>
      <c r="L35" s="3" t="s">
        <v>53</v>
      </c>
      <c r="M35" s="2" t="s">
        <v>54</v>
      </c>
      <c r="N35" s="2" t="s">
        <v>168</v>
      </c>
      <c r="O35" s="5">
        <v>0.46</v>
      </c>
      <c r="P35" s="5">
        <v>1.1000000000000001</v>
      </c>
      <c r="Q35" s="6">
        <f t="shared" si="37"/>
        <v>0.46</v>
      </c>
      <c r="R35" s="6">
        <f t="shared" si="6"/>
        <v>1.1000000000000001</v>
      </c>
      <c r="S35" s="4" t="s">
        <v>86</v>
      </c>
      <c r="T35" s="4" t="str">
        <f t="shared" si="24"/>
        <v>1,3.9KADCT-ND</v>
      </c>
      <c r="U35" s="4" t="str">
        <f t="shared" si="25"/>
        <v>1,3.9KADCT-ND</v>
      </c>
      <c r="V35" t="str">
        <f t="shared" si="40"/>
        <v>Resistor - 1x 0.1% 3.9k</v>
      </c>
      <c r="W35" t="str">
        <f t="shared" si="38"/>
        <v>279-H83K9BDA|1</v>
      </c>
      <c r="X35" t="str">
        <f t="shared" si="39"/>
        <v>MFP-25BRD52-3K9 1</v>
      </c>
    </row>
    <row r="36" spans="1:24" ht="16.5" thickBot="1">
      <c r="A36" s="18">
        <f t="shared" ref="A36" si="41">LEN(C36)-LEN(SUBSTITUTE(C36,",",""))+1</f>
        <v>10</v>
      </c>
      <c r="B36" s="18">
        <f>LEN(D36)-LEN(SUBSTITUTE(D36,",",""))+1</f>
        <v>8</v>
      </c>
      <c r="C36" s="4" t="s">
        <v>318</v>
      </c>
      <c r="D36" s="22" t="s">
        <v>112</v>
      </c>
      <c r="E36" s="3" t="s">
        <v>55</v>
      </c>
      <c r="F36" s="3" t="s">
        <v>56</v>
      </c>
      <c r="G36" s="3"/>
      <c r="H36" s="3"/>
      <c r="I36" s="3">
        <v>17</v>
      </c>
      <c r="J36" s="3" t="s">
        <v>42</v>
      </c>
      <c r="K36" s="3" t="s">
        <v>138</v>
      </c>
      <c r="L36" s="3" t="s">
        <v>207</v>
      </c>
      <c r="M36" s="2" t="s">
        <v>57</v>
      </c>
      <c r="N36" s="2" t="s">
        <v>208</v>
      </c>
      <c r="O36" s="5">
        <v>0.1</v>
      </c>
      <c r="P36" s="5">
        <v>0.1</v>
      </c>
      <c r="Q36" s="6">
        <f t="shared" si="37"/>
        <v>1</v>
      </c>
      <c r="R36" s="6">
        <f t="shared" si="6"/>
        <v>1</v>
      </c>
      <c r="S36" s="4"/>
      <c r="T36" s="4" t="str">
        <f t="shared" si="24"/>
        <v>10,100KXBK-ND</v>
      </c>
      <c r="U36" s="4" t="str">
        <f t="shared" si="25"/>
        <v>8,100KXBK-ND</v>
      </c>
      <c r="V36" t="str">
        <f t="shared" si="40"/>
        <v>Resistor - 10x 100k</v>
      </c>
      <c r="W36" t="str">
        <f t="shared" si="38"/>
        <v>603-FMF-25FTF52100K|10</v>
      </c>
      <c r="X36" t="str">
        <f t="shared" si="39"/>
        <v>MFR-25FBF52-100K 10</v>
      </c>
    </row>
    <row r="37" spans="1:24" ht="16.5" thickBot="1">
      <c r="A37" s="18">
        <f>LEN(C37)-LEN(SUBSTITUTE(C37,",",""))+1</f>
        <v>3</v>
      </c>
      <c r="B37" s="18">
        <f>LEN(D37)-LEN(SUBSTITUTE(D37,",",""))+1</f>
        <v>2</v>
      </c>
      <c r="C37" s="4" t="s">
        <v>211</v>
      </c>
      <c r="D37" s="22" t="s">
        <v>110</v>
      </c>
      <c r="E37" s="3">
        <v>160</v>
      </c>
      <c r="F37" s="3" t="s">
        <v>58</v>
      </c>
      <c r="G37" s="3"/>
      <c r="H37" s="3"/>
      <c r="I37" s="3">
        <v>4</v>
      </c>
      <c r="J37" s="3" t="s">
        <v>42</v>
      </c>
      <c r="K37" s="3" t="s">
        <v>138</v>
      </c>
      <c r="L37" s="3" t="s">
        <v>59</v>
      </c>
      <c r="M37" s="2" t="s">
        <v>60</v>
      </c>
      <c r="N37" s="2" t="s">
        <v>169</v>
      </c>
      <c r="O37" s="5">
        <v>0.27</v>
      </c>
      <c r="P37" s="5">
        <v>0.23</v>
      </c>
      <c r="Q37" s="6">
        <f t="shared" si="37"/>
        <v>0.81</v>
      </c>
      <c r="R37" s="6">
        <f t="shared" si="6"/>
        <v>0.69000000000000006</v>
      </c>
      <c r="S37" s="4"/>
      <c r="T37" s="4" t="str">
        <f t="shared" si="24"/>
        <v>3,160YCT-ND</v>
      </c>
      <c r="U37" s="4" t="str">
        <f t="shared" si="25"/>
        <v>2,160YCT-ND</v>
      </c>
      <c r="V37" t="str">
        <f t="shared" si="40"/>
        <v>Resistor - 3x 160</v>
      </c>
      <c r="W37" t="str">
        <f t="shared" si="38"/>
        <v>594-5083NW160R0J|3</v>
      </c>
      <c r="X37" t="str">
        <f t="shared" si="39"/>
        <v>FMP200FRF52-160R 3</v>
      </c>
    </row>
    <row r="38" spans="1:24" ht="26.25" thickBot="1">
      <c r="A38" s="18">
        <f>LEN(C38)-LEN(SUBSTITUTE(C38,",",""))+1</f>
        <v>2</v>
      </c>
      <c r="B38" s="18">
        <f>LEN(D38)-LEN(SUBSTITUTE(D38,",",""))+1</f>
        <v>2</v>
      </c>
      <c r="C38" s="4" t="s">
        <v>286</v>
      </c>
      <c r="D38" s="22" t="s">
        <v>110</v>
      </c>
      <c r="E38" s="3" t="s">
        <v>213</v>
      </c>
      <c r="F38" s="3" t="s">
        <v>214</v>
      </c>
      <c r="G38" s="3"/>
      <c r="H38" s="3"/>
      <c r="I38" s="3">
        <v>4</v>
      </c>
      <c r="J38" s="3" t="s">
        <v>42</v>
      </c>
      <c r="K38" s="3" t="s">
        <v>138</v>
      </c>
      <c r="L38" s="3" t="s">
        <v>215</v>
      </c>
      <c r="M38" s="2"/>
      <c r="N38" s="2" t="s">
        <v>216</v>
      </c>
      <c r="O38" s="5"/>
      <c r="P38" s="5">
        <v>0.1</v>
      </c>
      <c r="Q38" s="6">
        <f t="shared" ref="Q38" si="42">O38*A38</f>
        <v>0</v>
      </c>
      <c r="R38" s="6">
        <f t="shared" ref="R38" si="43">P38*A38</f>
        <v>0.2</v>
      </c>
      <c r="S38" s="4"/>
      <c r="T38" s="4" t="str">
        <f t="shared" ref="T38" si="44">IF(NOT(M38=""),A38&amp;","&amp;M38,"")</f>
        <v/>
      </c>
      <c r="U38" s="4" t="str">
        <f t="shared" ref="U38" si="45">IF(NOT(M38=""),B38&amp;","&amp;M38,"")</f>
        <v/>
      </c>
      <c r="V38" t="str">
        <f t="shared" ref="V38" si="46">"Resistor - " &amp; A38&amp;"x "&amp;E38</f>
        <v>Resistor - 2x 7.5k</v>
      </c>
      <c r="W38" t="str">
        <f t="shared" ref="W38" si="47">IF(NOT(N38=""),N38&amp;"|"&amp;A38,"")</f>
        <v>603-MFR-25FBF52-7K5
|2</v>
      </c>
      <c r="X38" t="str">
        <f t="shared" ref="X38" si="48">L38&amp;" "&amp;A38</f>
        <v>MFR-25FBF52-7K5 2</v>
      </c>
    </row>
    <row r="39" spans="1:24" ht="16.5" thickBot="1">
      <c r="A39" s="16"/>
      <c r="B39" s="16"/>
      <c r="C39" s="4"/>
      <c r="D39" s="4"/>
      <c r="E39" s="3"/>
      <c r="F39" s="3"/>
      <c r="G39" s="3"/>
      <c r="H39" s="3"/>
      <c r="I39" s="3"/>
      <c r="J39" s="3"/>
      <c r="K39" s="3"/>
      <c r="L39" s="3"/>
      <c r="M39" s="2"/>
      <c r="N39" s="2"/>
      <c r="O39" s="3"/>
      <c r="P39" s="3"/>
      <c r="Q39" s="3"/>
      <c r="R39" s="6"/>
      <c r="S39" s="4"/>
      <c r="T39" s="4" t="str">
        <f t="shared" si="24"/>
        <v/>
      </c>
      <c r="U39" s="4" t="str">
        <f>IF(NOT(M39=""),B39&amp;","&amp;M39,"")</f>
        <v/>
      </c>
      <c r="W39" t="str">
        <f>IF(NOT(N39=""),N39&amp;"|"&amp;A39,"")</f>
        <v/>
      </c>
      <c r="X39" t="str">
        <f>L39&amp;" "&amp;A39</f>
        <v xml:space="preserve"> </v>
      </c>
    </row>
    <row r="40" spans="1:24" ht="26.25" thickBot="1">
      <c r="A40" s="18">
        <v>1</v>
      </c>
      <c r="B40" s="18">
        <f t="shared" ref="B40:B44" si="49">LEN(D40)-LEN(SUBSTITUTE(D40,",",""))+1</f>
        <v>1</v>
      </c>
      <c r="C40" s="4" t="s">
        <v>61</v>
      </c>
      <c r="D40" s="4" t="s">
        <v>61</v>
      </c>
      <c r="E40" s="3" t="s">
        <v>63</v>
      </c>
      <c r="F40" s="3" t="s">
        <v>64</v>
      </c>
      <c r="G40" s="3" t="s">
        <v>65</v>
      </c>
      <c r="H40" s="3"/>
      <c r="I40" s="3">
        <v>2</v>
      </c>
      <c r="J40" s="3" t="s">
        <v>66</v>
      </c>
      <c r="K40" s="3" t="s">
        <v>138</v>
      </c>
      <c r="L40" s="3" t="s">
        <v>63</v>
      </c>
      <c r="M40" s="2" t="s">
        <v>63</v>
      </c>
      <c r="N40" s="2" t="s">
        <v>165</v>
      </c>
      <c r="O40" s="5">
        <v>1.68</v>
      </c>
      <c r="P40" s="5">
        <v>1.67</v>
      </c>
      <c r="Q40" s="6">
        <f>O40*A40</f>
        <v>1.68</v>
      </c>
      <c r="R40" s="6">
        <f t="shared" si="6"/>
        <v>1.67</v>
      </c>
      <c r="S40" s="4"/>
      <c r="T40" s="4" t="str">
        <f t="shared" si="24"/>
        <v>1,LM2940T-5.0/NOPB</v>
      </c>
      <c r="U40" s="4" t="str">
        <f>IF(NOT(M40=""),B40&amp;","&amp;M40,"")</f>
        <v>1,LM2940T-5.0/NOPB</v>
      </c>
      <c r="V40" t="str">
        <f>A40&amp;"x "&amp;E40</f>
        <v>1x LM2940T-5.0/NOPB</v>
      </c>
      <c r="W40" t="str">
        <f>IF(NOT(N40=""),N40&amp;"|"&amp;A40,"")</f>
        <v>926-LM2940T-5.0/NOPB|1</v>
      </c>
      <c r="X40" t="str">
        <f>L40&amp;" "&amp;A40</f>
        <v>LM2940T-5.0/NOPB 1</v>
      </c>
    </row>
    <row r="41" spans="1:24" ht="16.5" thickBot="1">
      <c r="A41" s="18">
        <v>1</v>
      </c>
      <c r="B41" s="18">
        <v>1</v>
      </c>
      <c r="C41" s="4" t="s">
        <v>294</v>
      </c>
      <c r="D41" s="4" t="s">
        <v>61</v>
      </c>
      <c r="E41" s="3" t="s">
        <v>295</v>
      </c>
      <c r="F41" s="3" t="s">
        <v>296</v>
      </c>
      <c r="G41" s="3" t="s">
        <v>297</v>
      </c>
      <c r="H41" s="3"/>
      <c r="I41" s="3">
        <v>2</v>
      </c>
      <c r="J41" s="3" t="s">
        <v>39</v>
      </c>
      <c r="K41" s="3" t="s">
        <v>138</v>
      </c>
      <c r="L41" s="3" t="s">
        <v>295</v>
      </c>
      <c r="M41" s="34" t="s">
        <v>298</v>
      </c>
      <c r="N41" s="2" t="s">
        <v>299</v>
      </c>
      <c r="O41" s="5">
        <v>0.59</v>
      </c>
      <c r="P41" s="5">
        <v>0.56999999999999995</v>
      </c>
      <c r="Q41" s="6">
        <v>0.59</v>
      </c>
      <c r="R41" s="6">
        <v>0.56999999999999995</v>
      </c>
      <c r="S41" s="4"/>
      <c r="T41" s="4" t="s">
        <v>300</v>
      </c>
      <c r="U41" s="4" t="s">
        <v>300</v>
      </c>
      <c r="V41" t="s">
        <v>301</v>
      </c>
      <c r="W41" t="s">
        <v>302</v>
      </c>
      <c r="X41" t="s">
        <v>303</v>
      </c>
    </row>
    <row r="42" spans="1:24" ht="26.25" thickBot="1">
      <c r="A42" s="18">
        <v>1</v>
      </c>
      <c r="B42" s="18">
        <f t="shared" si="49"/>
        <v>1</v>
      </c>
      <c r="C42" s="22" t="s">
        <v>257</v>
      </c>
      <c r="D42" s="4" t="s">
        <v>79</v>
      </c>
      <c r="E42" s="3" t="s">
        <v>248</v>
      </c>
      <c r="F42" s="3" t="s">
        <v>249</v>
      </c>
      <c r="G42" s="3" t="s">
        <v>250</v>
      </c>
      <c r="H42" s="3"/>
      <c r="I42" s="3">
        <v>1</v>
      </c>
      <c r="J42" s="3" t="s">
        <v>62</v>
      </c>
      <c r="K42" s="3"/>
      <c r="L42" s="3" t="s">
        <v>254</v>
      </c>
      <c r="M42" s="31" t="s">
        <v>255</v>
      </c>
      <c r="N42" s="2" t="s">
        <v>256</v>
      </c>
      <c r="O42" s="6">
        <v>12.79</v>
      </c>
      <c r="P42" s="6">
        <v>19.739999999999998</v>
      </c>
      <c r="Q42" s="6">
        <f>O42*A42</f>
        <v>12.79</v>
      </c>
      <c r="R42" s="6">
        <f t="shared" si="6"/>
        <v>19.739999999999998</v>
      </c>
      <c r="S42" s="4"/>
      <c r="T42" s="4" t="str">
        <f t="shared" si="24"/>
        <v>1,MPXH6115A6U-ND</v>
      </c>
      <c r="U42" s="4" t="str">
        <f>IF(NOT(M42=""),B42&amp;","&amp;M42,"")</f>
        <v>1,MPXH6115A6U-ND</v>
      </c>
      <c r="V42" t="str">
        <f>A42&amp;"x "&amp;E42</f>
        <v>1x Baro sensor</v>
      </c>
      <c r="W42" t="str">
        <f>IF(NOT(N42=""),N42&amp;"|"&amp;A42,"")</f>
        <v>841-MPXH6115A6U|1</v>
      </c>
      <c r="X42" t="str">
        <f t="shared" ref="X42" si="50">L42&amp;" "&amp;A42</f>
        <v>MPXH6115A6U 1</v>
      </c>
    </row>
    <row r="43" spans="1:24" ht="26.25" thickBot="1">
      <c r="A43" s="18">
        <v>1</v>
      </c>
      <c r="B43" s="18">
        <f t="shared" si="49"/>
        <v>1</v>
      </c>
      <c r="C43" s="4" t="s">
        <v>79</v>
      </c>
      <c r="D43" s="4" t="s">
        <v>79</v>
      </c>
      <c r="E43" s="3" t="s">
        <v>212</v>
      </c>
      <c r="F43" s="3" t="s">
        <v>78</v>
      </c>
      <c r="G43" s="3" t="s">
        <v>77</v>
      </c>
      <c r="H43" s="3"/>
      <c r="I43" s="3">
        <v>1</v>
      </c>
      <c r="J43" s="3" t="s">
        <v>62</v>
      </c>
      <c r="K43" s="3"/>
      <c r="L43" s="3" t="s">
        <v>151</v>
      </c>
      <c r="M43" s="2" t="s">
        <v>76</v>
      </c>
      <c r="N43" s="2" t="s">
        <v>152</v>
      </c>
      <c r="O43" s="6">
        <v>15.41</v>
      </c>
      <c r="P43" s="6">
        <v>15.37</v>
      </c>
      <c r="Q43" s="6">
        <f>O43*A43</f>
        <v>15.41</v>
      </c>
      <c r="R43" s="6">
        <f t="shared" si="6"/>
        <v>15.37</v>
      </c>
      <c r="S43" s="4"/>
      <c r="T43" s="4" t="str">
        <f t="shared" si="24"/>
        <v>1,MPX4250AP-ND</v>
      </c>
      <c r="U43" s="4" t="str">
        <f>IF(NOT(M43=""),B43&amp;","&amp;M43,"")</f>
        <v>1,MPX4250AP-ND</v>
      </c>
      <c r="V43" t="str">
        <f>A43&amp;"x "&amp;E43</f>
        <v>1x 2.5-Bar MAP sensor</v>
      </c>
      <c r="W43" t="str">
        <f>IF(NOT(N43=""),N43&amp;"|"&amp;A43,"")</f>
        <v>841-MPX4250AP|1</v>
      </c>
      <c r="X43" t="str">
        <f>L43&amp;" "&amp;A43</f>
        <v>MPX4250AP 1</v>
      </c>
    </row>
    <row r="44" spans="1:24" ht="26.25" thickBot="1">
      <c r="A44" s="18">
        <v>2</v>
      </c>
      <c r="B44" s="18">
        <f t="shared" si="49"/>
        <v>1</v>
      </c>
      <c r="C44" s="12" t="s">
        <v>183</v>
      </c>
      <c r="D44" s="12" t="s">
        <v>111</v>
      </c>
      <c r="E44" s="13" t="s">
        <v>102</v>
      </c>
      <c r="F44" s="13" t="s">
        <v>103</v>
      </c>
      <c r="G44" s="3" t="s">
        <v>104</v>
      </c>
      <c r="H44" s="13"/>
      <c r="I44" s="13">
        <v>2</v>
      </c>
      <c r="J44" s="13" t="s">
        <v>67</v>
      </c>
      <c r="K44" s="13" t="s">
        <v>138</v>
      </c>
      <c r="L44" s="13" t="s">
        <v>102</v>
      </c>
      <c r="M44" s="13" t="s">
        <v>105</v>
      </c>
      <c r="N44" s="13" t="s">
        <v>153</v>
      </c>
      <c r="O44" s="20">
        <v>2.92</v>
      </c>
      <c r="P44" s="20">
        <v>2.92</v>
      </c>
      <c r="Q44" s="6">
        <f>O44*A44</f>
        <v>5.84</v>
      </c>
      <c r="R44" s="6">
        <f t="shared" si="6"/>
        <v>5.84</v>
      </c>
      <c r="S44" s="12"/>
      <c r="T44" s="4" t="str">
        <f t="shared" si="24"/>
        <v>2,TC4424EPA-ND</v>
      </c>
      <c r="U44" s="4" t="str">
        <f>IF(NOT(M44=""),B44&amp;","&amp;M44,"")</f>
        <v>1,TC4424EPA-ND</v>
      </c>
      <c r="V44" t="str">
        <f>A44&amp;"x "&amp;E44</f>
        <v>2x TC4424EPA</v>
      </c>
      <c r="W44" t="str">
        <f>IF(NOT(N44=""),N44&amp;"|"&amp;A44,"")</f>
        <v>579-TC4424EPA|2</v>
      </c>
      <c r="X44" t="str">
        <f>L44&amp;" "&amp;A44</f>
        <v>TC4424EPA 2</v>
      </c>
    </row>
    <row r="45" spans="1:24" ht="16.5" thickBot="1">
      <c r="A45" s="18">
        <v>1</v>
      </c>
      <c r="B45" s="26">
        <v>1</v>
      </c>
      <c r="C45" s="12" t="s">
        <v>144</v>
      </c>
      <c r="D45" s="12" t="s">
        <v>144</v>
      </c>
      <c r="E45" s="13" t="s">
        <v>175</v>
      </c>
      <c r="F45" s="3" t="s">
        <v>176</v>
      </c>
      <c r="G45" s="3" t="s">
        <v>104</v>
      </c>
      <c r="H45" s="13"/>
      <c r="I45" s="13">
        <v>1</v>
      </c>
      <c r="J45" s="13" t="s">
        <v>177</v>
      </c>
      <c r="K45" s="25" t="s">
        <v>138</v>
      </c>
      <c r="L45" s="13" t="s">
        <v>175</v>
      </c>
      <c r="M45" s="13" t="s">
        <v>178</v>
      </c>
      <c r="N45" s="2" t="s">
        <v>179</v>
      </c>
      <c r="O45" s="6">
        <v>2.4</v>
      </c>
      <c r="P45" s="6">
        <v>2.4</v>
      </c>
      <c r="Q45" s="6">
        <f>O45*A45</f>
        <v>2.4</v>
      </c>
      <c r="R45" s="6">
        <f t="shared" ref="R45" si="51">P45*A45</f>
        <v>2.4</v>
      </c>
      <c r="S45" s="4"/>
      <c r="T45" s="4" t="str">
        <f t="shared" ref="T45" si="52">IF(NOT(M45=""),A45&amp;","&amp;M45,"")</f>
        <v>1,F2720-ND</v>
      </c>
      <c r="U45" s="4" t="str">
        <f t="shared" ref="U45" si="53">IF(NOT(M45=""),B45&amp;","&amp;M45,"")</f>
        <v>1,F2720-ND</v>
      </c>
      <c r="V45" t="str">
        <f t="shared" ref="V45" si="54">A45&amp;"x "&amp;E45</f>
        <v>1x SP721APP</v>
      </c>
      <c r="W45" t="str">
        <f t="shared" ref="W45" si="55">IF(NOT(N45=""),N45&amp;"|"&amp;A45,"")</f>
        <v>576-SP721APP|1</v>
      </c>
      <c r="X45" t="str">
        <f>L45&amp;" "&amp;A45</f>
        <v>SP721APP 1</v>
      </c>
    </row>
    <row r="46" spans="1:24" ht="16.5" thickBot="1">
      <c r="A46" s="16"/>
      <c r="B46" s="16"/>
      <c r="C46" s="4"/>
      <c r="D46" s="4"/>
      <c r="E46" s="3"/>
      <c r="F46" s="3"/>
      <c r="G46" s="3"/>
      <c r="H46" s="3"/>
      <c r="I46" s="4"/>
      <c r="J46" s="4"/>
      <c r="K46" s="4"/>
      <c r="L46" s="9"/>
      <c r="M46" s="3"/>
      <c r="N46" s="3"/>
      <c r="O46" s="1"/>
      <c r="P46" s="1"/>
      <c r="Q46" s="10"/>
      <c r="R46" s="6"/>
      <c r="S46" s="10"/>
      <c r="T46" s="4" t="str">
        <f>IF(NOT(M46=""),A46&amp;","&amp;M46,"")</f>
        <v/>
      </c>
      <c r="U46" s="4" t="str">
        <f>IF(NOT(M46=""),B46&amp;","&amp;M46,"")</f>
        <v/>
      </c>
      <c r="W46" t="str">
        <f>IF(NOT(N46=""),N46&amp;"|"&amp;A46,"")</f>
        <v/>
      </c>
    </row>
    <row r="47" spans="1:24" ht="16.5" thickBot="1">
      <c r="A47" s="16"/>
      <c r="B47" s="16"/>
      <c r="C47" s="4" t="s">
        <v>277</v>
      </c>
      <c r="D47" s="4"/>
      <c r="E47" s="3"/>
      <c r="F47" s="3"/>
      <c r="G47" s="3"/>
      <c r="H47" s="3"/>
      <c r="I47" s="4"/>
      <c r="J47" s="4"/>
      <c r="K47" s="4"/>
      <c r="L47" s="9"/>
      <c r="M47" s="3"/>
      <c r="N47" s="3"/>
      <c r="O47" s="1"/>
      <c r="P47" s="1"/>
      <c r="Q47" s="10"/>
      <c r="R47" s="6"/>
      <c r="S47" s="10"/>
      <c r="T47" s="4" t="str">
        <f>IF(NOT(M47=""),A47&amp;","&amp;M47,"")</f>
        <v/>
      </c>
      <c r="U47" s="4" t="str">
        <f>IF(NOT(M47=""),B47&amp;","&amp;M47,"")</f>
        <v/>
      </c>
      <c r="W47" t="str">
        <f>IF(NOT(N47=""),N47&amp;"|"&amp;A47,"")</f>
        <v/>
      </c>
    </row>
    <row r="48" spans="1:24" ht="25.5" customHeight="1" thickBot="1">
      <c r="A48" s="18">
        <v>1</v>
      </c>
      <c r="B48" s="26"/>
      <c r="C48" s="12" t="s">
        <v>280</v>
      </c>
      <c r="D48" s="12"/>
      <c r="E48" s="13" t="s">
        <v>281</v>
      </c>
      <c r="F48" s="3" t="s">
        <v>279</v>
      </c>
      <c r="G48" s="3" t="s">
        <v>104</v>
      </c>
      <c r="H48" s="13"/>
      <c r="I48" s="13"/>
      <c r="J48" s="13"/>
      <c r="K48" s="25"/>
      <c r="L48" s="13"/>
      <c r="M48" s="13"/>
      <c r="N48" s="2"/>
      <c r="O48" s="6"/>
      <c r="P48" s="6"/>
      <c r="Q48" s="6"/>
      <c r="R48" s="6"/>
      <c r="S48" s="4"/>
      <c r="T48" s="4"/>
      <c r="U48" s="4"/>
    </row>
    <row r="49" spans="1:24" ht="16.5" thickBot="1">
      <c r="A49" s="18">
        <v>1</v>
      </c>
      <c r="B49" s="26">
        <v>1</v>
      </c>
      <c r="C49" s="12" t="s">
        <v>265</v>
      </c>
      <c r="D49" s="12" t="s">
        <v>144</v>
      </c>
      <c r="E49" s="13" t="s">
        <v>273</v>
      </c>
      <c r="F49" s="3" t="s">
        <v>272</v>
      </c>
      <c r="G49" s="3"/>
      <c r="H49" s="13"/>
      <c r="I49" s="13">
        <v>1</v>
      </c>
      <c r="J49" s="13" t="s">
        <v>225</v>
      </c>
      <c r="K49" s="25" t="s">
        <v>138</v>
      </c>
      <c r="L49" s="13" t="s">
        <v>274</v>
      </c>
      <c r="M49" s="13" t="s">
        <v>276</v>
      </c>
      <c r="N49" s="2" t="s">
        <v>275</v>
      </c>
      <c r="O49" s="6">
        <v>0.33</v>
      </c>
      <c r="P49" s="6">
        <v>0.38200000000000001</v>
      </c>
      <c r="Q49" s="6">
        <f>O49*A49</f>
        <v>0.33</v>
      </c>
      <c r="R49" s="6">
        <f>P49*A49</f>
        <v>0.38200000000000001</v>
      </c>
      <c r="S49" s="4"/>
      <c r="T49" s="4" t="str">
        <f>IF(NOT(M49=""),A49&amp;","&amp;M49,"")</f>
        <v>1,WM3702-ND</v>
      </c>
      <c r="U49" s="4" t="str">
        <f>IF(NOT(M49=""),B49&amp;","&amp;M49,"")</f>
        <v>1,WM3702-ND</v>
      </c>
      <c r="V49" t="str">
        <f>A49&amp;"x "&amp;E49</f>
        <v>1x 6-POS connector</v>
      </c>
      <c r="W49" t="str">
        <f>IF(NOT(N49=""),N49&amp;"|"&amp;A49,"")</f>
        <v>538-39-01-2060|1</v>
      </c>
      <c r="X49" t="str">
        <f>L49&amp;" "&amp;A49</f>
        <v>39-01-2060 1</v>
      </c>
    </row>
    <row r="50" spans="1:24" ht="16.5" thickBot="1">
      <c r="A50" s="18">
        <v>6</v>
      </c>
      <c r="B50" s="26">
        <v>1</v>
      </c>
      <c r="C50" s="12" t="s">
        <v>266</v>
      </c>
      <c r="D50" s="12" t="s">
        <v>144</v>
      </c>
      <c r="E50" s="13" t="s">
        <v>267</v>
      </c>
      <c r="F50" s="3" t="s">
        <v>268</v>
      </c>
      <c r="G50" s="3"/>
      <c r="H50" s="13"/>
      <c r="I50" s="13">
        <v>1</v>
      </c>
      <c r="J50" s="13" t="s">
        <v>225</v>
      </c>
      <c r="K50" s="25" t="s">
        <v>138</v>
      </c>
      <c r="L50" s="13" t="s">
        <v>269</v>
      </c>
      <c r="M50" s="13" t="s">
        <v>270</v>
      </c>
      <c r="N50" s="2" t="s">
        <v>271</v>
      </c>
      <c r="O50" s="6">
        <v>0.16</v>
      </c>
      <c r="P50" s="6">
        <v>0.18099999999999999</v>
      </c>
      <c r="Q50" s="6">
        <f>O50*A50</f>
        <v>0.96</v>
      </c>
      <c r="R50" s="6">
        <f>P50*A50</f>
        <v>1.0859999999999999</v>
      </c>
      <c r="S50" s="4"/>
      <c r="T50" s="4" t="str">
        <f>IF(NOT(M50=""),A50&amp;","&amp;M50,"")</f>
        <v>6,WM9154-ND</v>
      </c>
      <c r="U50" s="4" t="str">
        <f>IF(NOT(M50=""),B50&amp;","&amp;M50,"")</f>
        <v>1,WM9154-ND</v>
      </c>
      <c r="V50" t="str">
        <f>A50&amp;"x "&amp;E50</f>
        <v>6x Female pin</v>
      </c>
      <c r="W50" t="str">
        <f>IF(NOT(N50=""),N50&amp;"|"&amp;A50,"")</f>
        <v>538-39-00-0078|6</v>
      </c>
      <c r="X50" t="str">
        <f>L50&amp;" "&amp;A50</f>
        <v>39-00-0078 6</v>
      </c>
    </row>
    <row r="51" spans="1:24" ht="16.5" thickBot="1">
      <c r="A51" s="16"/>
      <c r="B51" s="26"/>
      <c r="C51" s="12"/>
      <c r="D51" s="12"/>
      <c r="E51" s="13"/>
      <c r="F51" s="3"/>
      <c r="G51" s="3"/>
      <c r="H51" s="13"/>
      <c r="I51" s="13"/>
      <c r="J51" s="13"/>
      <c r="K51" s="25"/>
      <c r="L51" s="13"/>
      <c r="M51" s="13"/>
      <c r="N51" s="2"/>
      <c r="O51" s="6"/>
      <c r="P51" s="6"/>
      <c r="Q51" s="6"/>
      <c r="R51" s="6"/>
      <c r="S51" s="4"/>
      <c r="T51" s="4"/>
      <c r="U51" s="4"/>
    </row>
    <row r="52" spans="1:24" ht="16.5" thickBot="1">
      <c r="A52" s="16"/>
      <c r="B52" s="26"/>
      <c r="C52" s="12" t="s">
        <v>309</v>
      </c>
      <c r="D52" s="12"/>
      <c r="E52" s="13"/>
      <c r="F52" s="3"/>
      <c r="G52" s="3"/>
      <c r="H52" s="13"/>
      <c r="I52" s="13"/>
      <c r="J52" s="13"/>
      <c r="K52" s="25"/>
      <c r="L52" s="13"/>
      <c r="M52" s="13"/>
      <c r="N52" s="2"/>
      <c r="O52" s="6"/>
      <c r="P52" s="6"/>
      <c r="Q52" s="6"/>
      <c r="R52" s="6"/>
      <c r="S52" s="4"/>
      <c r="T52" s="4"/>
      <c r="U52" s="4"/>
    </row>
    <row r="53" spans="1:24" ht="16.5" customHeight="1" thickBot="1">
      <c r="A53" s="18">
        <v>1</v>
      </c>
      <c r="B53" s="26">
        <v>1</v>
      </c>
      <c r="C53" s="36" t="s">
        <v>265</v>
      </c>
      <c r="D53" s="12" t="s">
        <v>144</v>
      </c>
      <c r="E53" s="13" t="s">
        <v>304</v>
      </c>
      <c r="F53" s="3" t="s">
        <v>305</v>
      </c>
      <c r="G53" s="3"/>
      <c r="H53" s="13"/>
      <c r="I53" s="13">
        <v>1</v>
      </c>
      <c r="J53" s="13" t="s">
        <v>225</v>
      </c>
      <c r="K53" s="25" t="s">
        <v>138</v>
      </c>
      <c r="L53" s="13" t="s">
        <v>306</v>
      </c>
      <c r="M53" s="13" t="s">
        <v>307</v>
      </c>
      <c r="N53" s="2" t="s">
        <v>308</v>
      </c>
      <c r="O53" s="6">
        <v>0.27</v>
      </c>
      <c r="P53" s="6">
        <v>0.312</v>
      </c>
      <c r="Q53" s="6">
        <f>O53*A53</f>
        <v>0.27</v>
      </c>
      <c r="R53" s="6">
        <f t="shared" ref="R53" si="56">P53*A53</f>
        <v>0.312</v>
      </c>
      <c r="S53" s="4"/>
      <c r="T53" s="4" t="str">
        <f t="shared" ref="T53" si="57">IF(NOT(M53=""),A53&amp;","&amp;M53,"")</f>
        <v>1,WM3701-ND</v>
      </c>
      <c r="U53" s="4" t="str">
        <f t="shared" ref="U53" si="58">IF(NOT(M53=""),B53&amp;","&amp;M53,"")</f>
        <v>1,WM3701-ND</v>
      </c>
      <c r="V53" t="str">
        <f t="shared" ref="V53" si="59">A53&amp;"x "&amp;E53</f>
        <v>1x 4-POS connector</v>
      </c>
      <c r="W53" t="str">
        <f t="shared" ref="W53" si="60">IF(NOT(N53=""),N53&amp;"|"&amp;A53,"")</f>
        <v>538-39-01-2040|1</v>
      </c>
      <c r="X53" t="str">
        <f>L53&amp;" "&amp;A53</f>
        <v>39-01-2040 1</v>
      </c>
    </row>
    <row r="54" spans="1:24" ht="16.5" thickBot="1">
      <c r="A54" s="18">
        <v>4</v>
      </c>
      <c r="B54" s="26">
        <v>1</v>
      </c>
      <c r="C54" s="36" t="s">
        <v>266</v>
      </c>
      <c r="D54" s="12" t="s">
        <v>144</v>
      </c>
      <c r="E54" s="13" t="s">
        <v>267</v>
      </c>
      <c r="F54" s="3" t="s">
        <v>268</v>
      </c>
      <c r="G54" s="3"/>
      <c r="H54" s="13"/>
      <c r="I54" s="13">
        <v>1</v>
      </c>
      <c r="J54" s="13" t="s">
        <v>225</v>
      </c>
      <c r="K54" s="25" t="s">
        <v>138</v>
      </c>
      <c r="L54" s="13" t="s">
        <v>269</v>
      </c>
      <c r="M54" s="13" t="s">
        <v>270</v>
      </c>
      <c r="N54" s="2" t="s">
        <v>271</v>
      </c>
      <c r="O54" s="6">
        <v>0.16</v>
      </c>
      <c r="P54" s="6">
        <v>0.18099999999999999</v>
      </c>
      <c r="Q54" s="6">
        <f>O54*A54</f>
        <v>0.64</v>
      </c>
      <c r="R54" s="6">
        <f>P54*A54</f>
        <v>0.72399999999999998</v>
      </c>
      <c r="S54" s="4"/>
      <c r="T54" s="4" t="str">
        <f>IF(NOT(M54=""),A54&amp;","&amp;M54,"")</f>
        <v>4,WM9154-ND</v>
      </c>
      <c r="U54" s="4" t="str">
        <f>IF(NOT(M54=""),B54&amp;","&amp;M54,"")</f>
        <v>1,WM9154-ND</v>
      </c>
      <c r="V54" t="str">
        <f>A54&amp;"x "&amp;E54</f>
        <v>4x Female pin</v>
      </c>
      <c r="W54" t="str">
        <f>IF(NOT(N54=""),N54&amp;"|"&amp;A54,"")</f>
        <v>538-39-00-0078|4</v>
      </c>
      <c r="X54" t="str">
        <f>L54&amp;" "&amp;A54</f>
        <v>39-00-0078 4</v>
      </c>
    </row>
    <row r="55" spans="1:24" ht="16.5" thickBot="1">
      <c r="A55" s="16"/>
      <c r="B55" s="16"/>
      <c r="C55" s="4"/>
      <c r="D55" s="4"/>
      <c r="E55" s="3"/>
      <c r="F55" s="3"/>
      <c r="G55" s="3"/>
      <c r="H55" s="21"/>
      <c r="I55" s="8"/>
      <c r="J55" s="4"/>
      <c r="K55" s="8"/>
      <c r="L55" s="37" t="s">
        <v>70</v>
      </c>
      <c r="M55" s="38"/>
      <c r="N55" s="33"/>
      <c r="O55" s="1" t="s">
        <v>68</v>
      </c>
      <c r="P55" s="1"/>
      <c r="Q55" s="11">
        <f>SUM(Q3:Q50)</f>
        <v>97.03</v>
      </c>
      <c r="R55" s="11">
        <f>SUM(R3:R50)</f>
        <v>115.14099999999999</v>
      </c>
      <c r="S55" s="10" t="s">
        <v>69</v>
      </c>
    </row>
    <row r="59" spans="1:24">
      <c r="C59" t="s">
        <v>253</v>
      </c>
    </row>
    <row r="60" spans="1:24">
      <c r="C60" t="s">
        <v>278</v>
      </c>
    </row>
    <row r="61" spans="1:24">
      <c r="C61" t="s">
        <v>282</v>
      </c>
    </row>
    <row r="62" spans="1:24">
      <c r="C62" t="s">
        <v>314</v>
      </c>
    </row>
  </sheetData>
  <mergeCells count="1">
    <mergeCell ref="L55:M55"/>
  </mergeCells>
  <phoneticPr fontId="5" type="noConversion"/>
  <hyperlinks>
    <hyperlink ref="M6" r:id="rId1" display="478-1910-ND" xr:uid="{00000000-0004-0000-0000-000000000000}"/>
    <hyperlink ref="M13" r:id="rId2" xr:uid="{00000000-0004-0000-0000-000001000000}"/>
    <hyperlink ref="M17" r:id="rId3" xr:uid="{00000000-0004-0000-0000-000002000000}"/>
    <hyperlink ref="M30" r:id="rId4" xr:uid="{00000000-0004-0000-0000-000003000000}"/>
    <hyperlink ref="M34" r:id="rId5" display="985-1047-1-ND" xr:uid="{00000000-0004-0000-0000-000004000000}"/>
    <hyperlink ref="M35" r:id="rId6" xr:uid="{00000000-0004-0000-0000-000005000000}"/>
    <hyperlink ref="M43" r:id="rId7" xr:uid="{00000000-0004-0000-0000-000006000000}"/>
    <hyperlink ref="M3" r:id="rId8" display="478-1842-ND" xr:uid="{00000000-0004-0000-0000-000007000000}"/>
    <hyperlink ref="M7" r:id="rId9" display="445-5312-ND" xr:uid="{00000000-0004-0000-0000-000008000000}"/>
    <hyperlink ref="M8" r:id="rId10" display="399-4148-ND" xr:uid="{00000000-0004-0000-0000-000009000000}"/>
    <hyperlink ref="M36" r:id="rId11" xr:uid="{00000000-0004-0000-0000-00000A000000}"/>
  </hyperlinks>
  <pageMargins left="0.25" right="0.25" top="0.75" bottom="0.75" header="0.3" footer="0.3"/>
  <pageSetup paperSize="9" scale="27" orientation="landscape" horizontalDpi="4294967292" verticalDpi="4294967292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Pasi</cp:lastModifiedBy>
  <cp:lastPrinted>2018-03-12T03:27:11Z</cp:lastPrinted>
  <dcterms:created xsi:type="dcterms:W3CDTF">2014-08-24T22:56:25Z</dcterms:created>
  <dcterms:modified xsi:type="dcterms:W3CDTF">2019-05-01T18:05:23Z</dcterms:modified>
</cp:coreProperties>
</file>