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4\"/>
    </mc:Choice>
  </mc:AlternateContent>
  <xr:revisionPtr revIDLastSave="0" documentId="13_ncr:1_{D4661581-CC7F-40BD-8A10-BE27F94315F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37" i="1" l="1"/>
  <c r="S22" i="1" l="1"/>
  <c r="R22" i="1"/>
  <c r="Q22" i="1"/>
  <c r="P22" i="1"/>
  <c r="N22" i="1"/>
  <c r="M22" i="1"/>
  <c r="A10" i="1" l="1"/>
  <c r="S10" i="1" s="1"/>
  <c r="M10" i="1" l="1"/>
  <c r="Q10" i="1"/>
  <c r="N10" i="1"/>
  <c r="R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M52" i="1" l="1"/>
  <c r="N52" i="1"/>
  <c r="P52" i="1"/>
  <c r="Q52" i="1"/>
  <c r="R52" i="1"/>
  <c r="S52" i="1"/>
  <c r="A28" i="1" l="1"/>
  <c r="N28" i="1" l="1"/>
  <c r="Q28" i="1"/>
  <c r="M28" i="1"/>
  <c r="S51" i="1"/>
  <c r="R51" i="1"/>
  <c r="Q51" i="1"/>
  <c r="P51" i="1"/>
  <c r="N51" i="1"/>
  <c r="M51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8" i="1"/>
  <c r="P2" i="1"/>
  <c r="M4" i="1" l="1"/>
  <c r="N4" i="1"/>
  <c r="Q7" i="1"/>
  <c r="N31" i="1"/>
  <c r="P7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<sst xmlns="http://schemas.openxmlformats.org/spreadsheetml/2006/main" count="353" uniqueCount="291">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</sst>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J19" zoomScale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8.125" customWidth="1"/>
    <col min="16" max="16" width="27.375" customWidth="1"/>
    <col min="17" max="17" width="28" customWidth="1"/>
    <col min="18" max="18" width="22.375" customWidth="1"/>
    <col min="19" max="19" width="23.62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247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 t="shared" si="1"/>
        <v>2.64</v>
      </c>
      <c r="N9" s="6">
        <f t="shared" si="2"/>
        <v>2.64</v>
      </c>
      <c r="O9" s="4"/>
      <c r="P9" s="4" t="str">
        <f t="shared" si="0"/>
        <v>4,399-4390-ND</v>
      </c>
      <c r="Q9" t="str">
        <f t="shared" si="3"/>
        <v>Capacitor - 4x 1uF</v>
      </c>
      <c r="R9" t="str">
        <f t="shared" si="4"/>
        <v>80-C330C105M5U|4</v>
      </c>
      <c r="S9" t="str">
        <f t="shared" si="5"/>
        <v>C330C105M5U5TA 4</v>
      </c>
    </row>
    <row r="10" spans="1:19" ht="16.5" thickBot="1">
      <c r="A10" s="17">
        <f t="shared" si="6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252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255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277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2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7</v>
      </c>
      <c r="B26" s="4" t="s">
        <v>272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 t="shared" si="0"/>
        <v>7,497-5981-5-ND</v>
      </c>
      <c r="Q26" t="str">
        <f t="shared" si="7"/>
        <v>7x 62A MOSFET N-CH</v>
      </c>
      <c r="R26" t="str">
        <f t="shared" si="4"/>
        <v>511-STP62NS04Z|7</v>
      </c>
      <c r="S26" t="str">
        <f t="shared" si="5"/>
        <v>STP75NS04Z 7</v>
      </c>
    </row>
    <row r="27" spans="1:19" ht="26.25" thickBot="1">
      <c r="A27" s="17">
        <f>LEN(B27)-LEN(SUBSTITUTE(B27,",",""))+1</f>
        <v>8</v>
      </c>
      <c r="B27" s="4" t="s">
        <v>278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20.96</v>
      </c>
      <c r="N27" s="6">
        <f>L27*A27</f>
        <v>23.2</v>
      </c>
      <c r="O27" s="4"/>
      <c r="P27" s="4" t="str">
        <f t="shared" si="0"/>
        <v>8,ISL9V5036P3-F085-ND</v>
      </c>
      <c r="Q27" t="str">
        <f t="shared" si="7"/>
        <v>8x Ignition IGBT</v>
      </c>
      <c r="R27" t="str">
        <f t="shared" si="4"/>
        <v>512-ISL9V5036P3-F085
|8</v>
      </c>
      <c r="S27" t="str">
        <f t="shared" si="5"/>
        <v>ISL9V5036P3-F085 8</v>
      </c>
    </row>
    <row r="28" spans="1:19" ht="16.5" thickBot="1">
      <c r="A28" s="17">
        <f>LEN(B28)-LEN(SUBSTITUTE(B28,",",""))+1</f>
        <v>1</v>
      </c>
      <c r="B28" s="28" t="s">
        <v>256</v>
      </c>
      <c r="C28" s="3" t="s">
        <v>257</v>
      </c>
      <c r="D28" s="3" t="s">
        <v>258</v>
      </c>
      <c r="E28" s="3" t="s">
        <v>199</v>
      </c>
      <c r="F28" s="3"/>
      <c r="G28" s="3" t="s">
        <v>20</v>
      </c>
      <c r="H28" s="3" t="s">
        <v>259</v>
      </c>
      <c r="I28" s="26" t="s">
        <v>261</v>
      </c>
      <c r="J28" s="2" t="s">
        <v>260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16</v>
      </c>
      <c r="B33" s="4" t="s">
        <v>282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 t="shared" ref="M33:M40" si="8">K33*A33</f>
        <v>0.96</v>
      </c>
      <c r="N33" s="6">
        <f t="shared" ref="N33:N40" si="9">L33*A33</f>
        <v>1.76</v>
      </c>
      <c r="O33" s="4"/>
      <c r="P33" s="4" t="str">
        <f t="shared" ref="P33:P42" si="10">IF(NOT(I33=""),A33&amp;","&amp;I33,"")</f>
        <v>16,1.00KXBK-ND</v>
      </c>
      <c r="Q33" t="str">
        <f t="shared" ref="Q33:Q40" si="11">"Resistor - " &amp; A33&amp;"x "&amp;C33</f>
        <v>Resistor - 16x 1k</v>
      </c>
      <c r="R33" t="str">
        <f t="shared" ref="R33:R42" si="12">IF(NOT(J33=""),J33&amp;"|"&amp;A33,"")</f>
        <v>603-MFR-25FBF52-1K|16</v>
      </c>
      <c r="S33" t="str">
        <f t="shared" ref="S33:S42" si="13">H33&amp;" "&amp;A33</f>
        <v>MFR-25FBF52-1K 16</v>
      </c>
    </row>
    <row r="34" spans="1:19" ht="16.5" thickBot="1">
      <c r="A34" s="17">
        <f>LEN(B34)-LEN(SUBSTITUTE(B34,",",""))+1</f>
        <v>4</v>
      </c>
      <c r="B34" s="11" t="s">
        <v>273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82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>LEN(B36)-LEN(SUBSTITUTE(B36,",",""))+1</f>
        <v>7</v>
      </c>
      <c r="B36" s="4" t="s">
        <v>275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>LEN(B37)-LEN(SUBSTITUTE(B37,",",""))+1</f>
        <v>3</v>
      </c>
      <c r="B37" s="4" t="s">
        <v>253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81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4">LEN(B38)-LEN(SUBSTITUTE(B38,",",""))+1</f>
        <v>11</v>
      </c>
      <c r="B38" s="4" t="s">
        <v>283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 t="shared" si="8"/>
        <v>1.1000000000000001</v>
      </c>
      <c r="N38" s="6">
        <f t="shared" si="9"/>
        <v>1.1000000000000001</v>
      </c>
      <c r="O38" s="4"/>
      <c r="P38" s="4" t="str">
        <f t="shared" si="10"/>
        <v>11,100KXBK-ND</v>
      </c>
      <c r="Q38" t="str">
        <f t="shared" si="11"/>
        <v>Resistor - 11x 100k</v>
      </c>
      <c r="R38" t="str">
        <f t="shared" si="12"/>
        <v>603-FMF-25FTF52100K|11</v>
      </c>
      <c r="S38" t="str">
        <f t="shared" si="13"/>
        <v>MFR-25FBF52-100K 11</v>
      </c>
    </row>
    <row r="39" spans="1:19" ht="16.5" thickBot="1">
      <c r="A39" s="17">
        <f>LEN(B39)-LEN(SUBSTITUTE(B39,",",""))+1</f>
        <v>4</v>
      </c>
      <c r="B39" s="4" t="s">
        <v>276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4,160YCT-ND</v>
      </c>
      <c r="Q39" t="str">
        <f t="shared" si="11"/>
        <v>Resistor - 4x 160</v>
      </c>
      <c r="R39" t="str">
        <f t="shared" si="12"/>
        <v>594-5083NW160R0J|4</v>
      </c>
      <c r="S39" t="str">
        <f t="shared" si="13"/>
        <v>FMP200FRF52-160R 4</v>
      </c>
    </row>
    <row r="40" spans="1:19" ht="26.25" thickBot="1">
      <c r="A40" s="17">
        <f>LEN(B40)-LEN(SUBSTITUTE(B40,",",""))+1</f>
        <v>2</v>
      </c>
      <c r="B40" s="4" t="s">
        <v>254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/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v>1</v>
      </c>
      <c r="B43" s="4" t="s">
        <v>262</v>
      </c>
      <c r="C43" s="3" t="s">
        <v>263</v>
      </c>
      <c r="D43" s="3" t="s">
        <v>264</v>
      </c>
      <c r="E43" s="3" t="s">
        <v>265</v>
      </c>
      <c r="F43" s="3"/>
      <c r="G43" s="3" t="s">
        <v>38</v>
      </c>
      <c r="H43" s="3" t="s">
        <v>263</v>
      </c>
      <c r="I43" s="30" t="s">
        <v>266</v>
      </c>
      <c r="J43" s="2" t="s">
        <v>267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268</v>
      </c>
      <c r="Q43" t="s">
        <v>269</v>
      </c>
      <c r="R43" t="s">
        <v>270</v>
      </c>
      <c r="S43" t="s">
        <v>271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49" si="15">IF(NOT(I44=""),A44&amp;","&amp;I44,"")</f>
        <v>1,MPXH6115A6U-ND</v>
      </c>
      <c r="Q44" t="str">
        <f>A44&amp;"x "&amp;C44</f>
        <v>1x Baro sensor</v>
      </c>
      <c r="R44" t="str">
        <f t="shared" ref="R44:R49" si="16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5"/>
        <v>1,MPX4250AP-ND</v>
      </c>
      <c r="Q45" t="str">
        <f>A45&amp;"x "&amp;C45</f>
        <v>1x 2.5-Bar MAP sensor</v>
      </c>
      <c r="R45" t="str">
        <f t="shared" si="16"/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5"/>
        <v>2,TC4424EPA-ND</v>
      </c>
      <c r="Q46" t="str">
        <f>A46&amp;"x "&amp;C46</f>
        <v>2x TC4424EPA</v>
      </c>
      <c r="R46" t="str">
        <f t="shared" si="16"/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5"/>
        <v>1,F2720-ND</v>
      </c>
      <c r="Q47" t="str">
        <f>A47&amp;"x "&amp;C47</f>
        <v>1x SP721APP</v>
      </c>
      <c r="R47" t="str">
        <f t="shared" si="16"/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5"/>
        <v/>
      </c>
      <c r="R48" t="str">
        <f t="shared" si="16"/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5"/>
        <v/>
      </c>
      <c r="R49" t="str">
        <f t="shared" si="16"/>
        <v/>
      </c>
    </row>
    <row r="50" spans="1:19" ht="25.5" customHeight="1" thickBot="1">
      <c r="A50" s="17">
        <v>1</v>
      </c>
      <c r="B50" s="11" t="s">
        <v>249</v>
      </c>
      <c r="C50" s="12" t="s">
        <v>250</v>
      </c>
      <c r="D50" s="3" t="s">
        <v>248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234</v>
      </c>
      <c r="C51" s="12" t="s">
        <v>242</v>
      </c>
      <c r="D51" s="3" t="s">
        <v>241</v>
      </c>
      <c r="E51" s="3"/>
      <c r="F51" s="12"/>
      <c r="G51" s="12" t="s">
        <v>196</v>
      </c>
      <c r="H51" s="12" t="s">
        <v>243</v>
      </c>
      <c r="I51" s="12" t="s">
        <v>245</v>
      </c>
      <c r="J51" s="2" t="s">
        <v>244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235</v>
      </c>
      <c r="C52" s="12" t="s">
        <v>236</v>
      </c>
      <c r="D52" s="3" t="s">
        <v>237</v>
      </c>
      <c r="E52" s="3"/>
      <c r="F52" s="12"/>
      <c r="G52" s="12" t="s">
        <v>196</v>
      </c>
      <c r="H52" s="12" t="s">
        <v>238</v>
      </c>
      <c r="I52" s="12" t="s">
        <v>239</v>
      </c>
      <c r="J52" s="2" t="s">
        <v>240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281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1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1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6.2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29"/>
      <c r="K57" s="1" t="s">
        <v>67</v>
      </c>
      <c r="L57" s="1"/>
      <c r="M57" s="10">
        <f>SUM(M3:M52)</f>
        <v>104.71000000000001</v>
      </c>
      <c r="N57" s="10">
        <f>SUM(N3:N52)</f>
        <v>123.61200000000002</v>
      </c>
      <c r="O57" s="9" t="s">
        <v>68</v>
      </c>
    </row>
    <row r="61" spans="1:19">
      <c r="B61" t="s">
        <v>224</v>
      </c>
    </row>
    <row r="62" spans="1:19">
      <c r="B62" t="s">
        <v>279</v>
      </c>
    </row>
    <row r="63" spans="1:19">
      <c r="B63" t="s">
        <v>251</v>
      </c>
    </row>
    <row r="64" spans="1:19">
      <c r="B64" t="s">
        <v>280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2020-04-07T06:37:40Z</dcterms:modified>
</cp:coreProperties>
</file>