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E9786299-481A-49AE-A0C6-94545F470FE7}" xr6:coauthVersionLast="41" xr6:coauthVersionMax="43" xr10:uidLastSave="{00000000-0000-0000-0000-000000000000}"/>
  <bookViews>
    <workbookView xWindow="4290" yWindow="2505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T22" i="1" l="1"/>
  <c r="S22" i="1"/>
  <c r="R22" i="1"/>
  <c r="Q22" i="1"/>
  <c r="O22" i="1"/>
  <c r="N22" i="1"/>
  <c r="A10" i="1" l="1"/>
  <c r="S10" i="1" s="1"/>
  <c r="A11" i="1"/>
  <c r="R11" i="1" s="1"/>
  <c r="B11" i="1"/>
  <c r="N10" i="1" l="1"/>
  <c r="R10" i="1"/>
  <c r="Q10" i="1"/>
  <c r="T10" i="1"/>
  <c r="O10" i="1"/>
  <c r="Q11" i="1"/>
  <c r="O11" i="1"/>
  <c r="N11" i="1"/>
  <c r="T11" i="1"/>
  <c r="S11" i="1"/>
  <c r="T56" i="1" l="1"/>
  <c r="S56" i="1"/>
  <c r="R56" i="1"/>
  <c r="Q56" i="1"/>
  <c r="O56" i="1"/>
  <c r="N56" i="1"/>
  <c r="T55" i="1"/>
  <c r="S55" i="1"/>
  <c r="R55" i="1"/>
  <c r="Q55" i="1"/>
  <c r="O55" i="1"/>
  <c r="N55" i="1"/>
  <c r="N51" i="1" l="1"/>
  <c r="O51" i="1"/>
  <c r="Q51" i="1"/>
  <c r="R51" i="1"/>
  <c r="S51" i="1"/>
  <c r="T51" i="1"/>
  <c r="B28" i="1" l="1"/>
  <c r="A28" i="1"/>
  <c r="T28" i="1" s="1"/>
  <c r="O28" i="1" l="1"/>
  <c r="R28" i="1"/>
  <c r="S28" i="1"/>
  <c r="N28" i="1"/>
  <c r="Q28" i="1"/>
  <c r="T52" i="1"/>
  <c r="S52" i="1"/>
  <c r="R52" i="1"/>
  <c r="Q52" i="1"/>
  <c r="O52" i="1"/>
  <c r="N52" i="1"/>
  <c r="S49" i="1"/>
  <c r="Q49" i="1"/>
  <c r="T44" i="1" l="1"/>
  <c r="S44" i="1"/>
  <c r="R44" i="1"/>
  <c r="Q44" i="1"/>
  <c r="O44" i="1"/>
  <c r="N44" i="1"/>
  <c r="B44" i="1"/>
  <c r="T24" i="1" l="1"/>
  <c r="S24" i="1"/>
  <c r="R24" i="1"/>
  <c r="Q24" i="1"/>
  <c r="O24" i="1"/>
  <c r="N24" i="1"/>
  <c r="T23" i="1"/>
  <c r="S23" i="1"/>
  <c r="R23" i="1"/>
  <c r="Q23" i="1"/>
  <c r="O23" i="1"/>
  <c r="N23" i="1"/>
  <c r="A29" i="1"/>
  <c r="S29" i="1" s="1"/>
  <c r="B29" i="1"/>
  <c r="A27" i="1"/>
  <c r="S27" i="1" s="1"/>
  <c r="T21" i="1"/>
  <c r="S21" i="1"/>
  <c r="R21" i="1"/>
  <c r="Q21" i="1"/>
  <c r="O21" i="1"/>
  <c r="N21" i="1"/>
  <c r="B27" i="1"/>
  <c r="A40" i="1"/>
  <c r="T40" i="1" s="1"/>
  <c r="B40" i="1"/>
  <c r="Q40" i="1"/>
  <c r="A4" i="1"/>
  <c r="S4" i="1" s="1"/>
  <c r="A5" i="1"/>
  <c r="N5" i="1" s="1"/>
  <c r="A6" i="1"/>
  <c r="R6" i="1" s="1"/>
  <c r="A7" i="1"/>
  <c r="S7" i="1" s="1"/>
  <c r="A8" i="1"/>
  <c r="N8" i="1" s="1"/>
  <c r="A9" i="1"/>
  <c r="N9" i="1" s="1"/>
  <c r="T12" i="1"/>
  <c r="A13" i="1"/>
  <c r="T13" i="1" s="1"/>
  <c r="A14" i="1"/>
  <c r="R14" i="1" s="1"/>
  <c r="A15" i="1"/>
  <c r="T15" i="1" s="1"/>
  <c r="A16" i="1"/>
  <c r="N16" i="1" s="1"/>
  <c r="T17" i="1"/>
  <c r="T18" i="1"/>
  <c r="T19" i="1"/>
  <c r="T20" i="1"/>
  <c r="T25" i="1"/>
  <c r="A26" i="1"/>
  <c r="T26" i="1" s="1"/>
  <c r="T30" i="1"/>
  <c r="A31" i="1"/>
  <c r="T31" i="1" s="1"/>
  <c r="A33" i="1"/>
  <c r="O33" i="1" s="1"/>
  <c r="A34" i="1"/>
  <c r="T34" i="1" s="1"/>
  <c r="A35" i="1"/>
  <c r="S35" i="1" s="1"/>
  <c r="A36" i="1"/>
  <c r="T36" i="1" s="1"/>
  <c r="T37" i="1"/>
  <c r="A38" i="1"/>
  <c r="Q38" i="1" s="1"/>
  <c r="A39" i="1"/>
  <c r="Q39" i="1" s="1"/>
  <c r="T41" i="1"/>
  <c r="T42" i="1"/>
  <c r="T45" i="1"/>
  <c r="T46" i="1"/>
  <c r="T47" i="1"/>
  <c r="A3" i="1"/>
  <c r="T3" i="1" s="1"/>
  <c r="N4" i="1"/>
  <c r="N18" i="1"/>
  <c r="N20" i="1"/>
  <c r="N37" i="1"/>
  <c r="N42" i="1"/>
  <c r="N45" i="1"/>
  <c r="N46" i="1"/>
  <c r="N47" i="1"/>
  <c r="S47" i="1"/>
  <c r="R47" i="1"/>
  <c r="Q47" i="1"/>
  <c r="O47" i="1"/>
  <c r="S12" i="1"/>
  <c r="S17" i="1"/>
  <c r="S18" i="1"/>
  <c r="S19" i="1"/>
  <c r="S20" i="1"/>
  <c r="S25" i="1"/>
  <c r="S30" i="1"/>
  <c r="S37" i="1"/>
  <c r="S41" i="1"/>
  <c r="S42" i="1"/>
  <c r="S45" i="1"/>
  <c r="S46" i="1"/>
  <c r="S48" i="1"/>
  <c r="B31" i="1"/>
  <c r="B33" i="1"/>
  <c r="B34" i="1"/>
  <c r="B35" i="1"/>
  <c r="B36" i="1"/>
  <c r="B37" i="1"/>
  <c r="B38" i="1"/>
  <c r="B39" i="1"/>
  <c r="B42" i="1"/>
  <c r="B45" i="1"/>
  <c r="B46" i="1"/>
  <c r="B4" i="1"/>
  <c r="B5" i="1"/>
  <c r="B6" i="1"/>
  <c r="B7" i="1"/>
  <c r="B8" i="1"/>
  <c r="B9" i="1"/>
  <c r="B13" i="1"/>
  <c r="B14" i="1"/>
  <c r="B15" i="1"/>
  <c r="B16" i="1"/>
  <c r="B18" i="1"/>
  <c r="B26" i="1"/>
  <c r="B3" i="1"/>
  <c r="O18" i="1"/>
  <c r="O20" i="1"/>
  <c r="O37" i="1"/>
  <c r="O42" i="1"/>
  <c r="O45" i="1"/>
  <c r="O46" i="1"/>
  <c r="R46" i="1"/>
  <c r="Q46" i="1"/>
  <c r="R45" i="1"/>
  <c r="R42" i="1"/>
  <c r="R37" i="1"/>
  <c r="R17" i="1"/>
  <c r="R18" i="1"/>
  <c r="R19" i="1"/>
  <c r="R20" i="1"/>
  <c r="R25" i="1"/>
  <c r="R2" i="1"/>
  <c r="Q7" i="1"/>
  <c r="Q12" i="1"/>
  <c r="Q17" i="1"/>
  <c r="Q18" i="1"/>
  <c r="Q19" i="1"/>
  <c r="Q20" i="1"/>
  <c r="Q25" i="1"/>
  <c r="Q30" i="1"/>
  <c r="Q37" i="1"/>
  <c r="Q41" i="1"/>
  <c r="Q42" i="1"/>
  <c r="Q45" i="1"/>
  <c r="Q48" i="1"/>
  <c r="Q2" i="1"/>
  <c r="R7" i="1" l="1"/>
  <c r="O31" i="1"/>
  <c r="O4" i="1"/>
  <c r="O15" i="1"/>
  <c r="O6" i="1"/>
  <c r="R4" i="1"/>
  <c r="Q4" i="1"/>
  <c r="Q9" i="1"/>
  <c r="Q26" i="1"/>
  <c r="R5" i="1"/>
  <c r="O9" i="1"/>
  <c r="O38" i="1"/>
  <c r="O26" i="1"/>
  <c r="O14" i="1"/>
  <c r="S5" i="1"/>
  <c r="Q5" i="1"/>
  <c r="R38" i="1"/>
  <c r="R9" i="1"/>
  <c r="O5" i="1"/>
  <c r="S9" i="1"/>
  <c r="N38" i="1"/>
  <c r="N7" i="1"/>
  <c r="O27" i="1"/>
  <c r="T27" i="1"/>
  <c r="R26" i="1"/>
  <c r="S26" i="1"/>
  <c r="N26" i="1"/>
  <c r="S38" i="1"/>
  <c r="S6" i="1"/>
  <c r="N39" i="1"/>
  <c r="N6" i="1"/>
  <c r="T6" i="1"/>
  <c r="T4" i="1"/>
  <c r="Q34" i="1"/>
  <c r="Q15" i="1"/>
  <c r="Q6" i="1"/>
  <c r="O7" i="1"/>
  <c r="S34" i="1"/>
  <c r="N13" i="1"/>
  <c r="N3" i="1"/>
  <c r="T38" i="1"/>
  <c r="T7" i="1"/>
  <c r="T5" i="1"/>
  <c r="N40" i="1"/>
  <c r="S40" i="1"/>
  <c r="R27" i="1"/>
  <c r="T8" i="1"/>
  <c r="S36" i="1"/>
  <c r="N33" i="1"/>
  <c r="T9" i="1"/>
  <c r="R8" i="1"/>
  <c r="O8" i="1"/>
  <c r="S8" i="1"/>
  <c r="Q8" i="1"/>
  <c r="Q36" i="1"/>
  <c r="S39" i="1"/>
  <c r="Q3" i="1"/>
  <c r="O36" i="1"/>
  <c r="O13" i="1"/>
  <c r="O3" i="1"/>
  <c r="Q31" i="1"/>
  <c r="Q16" i="1"/>
  <c r="R39" i="1"/>
  <c r="R34" i="1"/>
  <c r="R15" i="1"/>
  <c r="O39" i="1"/>
  <c r="O34" i="1"/>
  <c r="N15" i="1"/>
  <c r="T39" i="1"/>
  <c r="Q13" i="1"/>
  <c r="R31" i="1"/>
  <c r="R36" i="1"/>
  <c r="R3" i="1"/>
  <c r="R13" i="1"/>
  <c r="S31" i="1"/>
  <c r="S16" i="1"/>
  <c r="N29" i="1"/>
  <c r="R29" i="1"/>
  <c r="O29" i="1"/>
  <c r="T29" i="1"/>
  <c r="Q14" i="1"/>
  <c r="O16" i="1"/>
  <c r="N35" i="1"/>
  <c r="S14" i="1"/>
  <c r="Q33" i="1"/>
  <c r="R33" i="1"/>
  <c r="R16" i="1"/>
  <c r="O35" i="1"/>
  <c r="S3" i="1"/>
  <c r="S33" i="1"/>
  <c r="S13" i="1"/>
  <c r="N34" i="1"/>
  <c r="N14" i="1"/>
  <c r="T35" i="1"/>
  <c r="T33" i="1"/>
  <c r="T16" i="1"/>
  <c r="T14" i="1"/>
  <c r="O40" i="1"/>
  <c r="R40" i="1"/>
  <c r="N27" i="1"/>
  <c r="Q35" i="1"/>
  <c r="R35" i="1"/>
  <c r="S15" i="1"/>
  <c r="N36" i="1"/>
  <c r="N31" i="1"/>
  <c r="Q27" i="1"/>
  <c r="Q29" i="1"/>
  <c r="O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I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I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I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I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<sst xmlns="http://schemas.openxmlformats.org/spreadsheetml/2006/main" count="354" uniqueCount="292">
  <si>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</si>
  <si>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</si>
  <si>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</si>
  <si>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</si>
  <si>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</si>
  <si>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</si>
  <si>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</si>
  <si>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</si>
  <si>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</si>
  <si>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</si>
  <si>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</si>
  <si>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</si>
  <si>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</si>
  <si>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</si>
  <si>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</si>
  <si>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</si>
  <si>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</si>
  <si>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</si>
  <si>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</si>
  <si>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</si>
  <si>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</si>
  <si>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</si>
  <si>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</si>
  <si>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</si>
  <si>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</si>
  <si>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</si>
  <si>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</si>
  <si>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</si>
  <si>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</si>
  <si>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</si>
  <si>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</si>
  <si>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</si>
  <si>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</si>
  <si>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</si>
  <si>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</si>
  <si>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</si>
  <si>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</si>
  <si>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</si>
  <si>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</si>
  <si>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</si>
  <si>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</si>
  <si>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</si>
  <si>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</si>
  <si>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</si>
  <si>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</si>
  <si>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</si>
  <si>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</si>
  <si>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</si>
  <si>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</si>
  <si>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</si>
  <si>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</si>
  <si>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</si>
  <si>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</si>
  <si>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</si>
  <si>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</si>
  <si>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</si>
  <si>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</si>
  <si>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</si>
  <si>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</si>
  <si>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</si>
  <si>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</si>
  <si>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</si>
  <si>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</si>
  <si>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</si>
  <si>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</si>
  <si>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</si>
  <si>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</si>
  <si>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</si>
  <si>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</si>
  <si>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</si>
  <si>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</si>
  <si>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</si>
  <si>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</si>
  <si>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</si>
  <si>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</si>
  <si>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</si>
  <si>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</si>
  <si>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</si>
  <si>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</si>
  <si>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</si>
  <si>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</si>
  <si>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</si>
  <si>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</si>
  <si>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</si>
  <si>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</si>
  <si>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</si>
  <si>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</si>
  <si>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</si>
  <si>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</si>
  <si>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</si>
  <si>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</si>
  <si>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</si>
  <si>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</si>
  <si>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</si>
  <si>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</si>
  <si>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</si>
  <si>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</si>
  <si>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</si>
  <si>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</si>
  <si>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</si>
  <si>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</si>
  <si>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</si>
  <si>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</si>
  <si>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</si>
  <si>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</si>
  <si>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</si>
  <si>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</si>
  <si>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</si>
  <si>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</si>
  <si>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</si>
  <si>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</si>
  <si>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</si>
  <si>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</si>
  <si>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</si>
  <si>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</si>
  <si>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</si>
  <si>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</si>
  <si>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</si>
  <si>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</si>
  <si>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</si>
  <si>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</si>
  <si>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</si>
  <si>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</si>
  <si>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</si>
  <si>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</si>
  <si>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Qty 2 Channel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</si>
  <si>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</si>
  <si>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</si>
  <si>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</si>
  <si>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</si>
  <si>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</si>
  <si>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</si>
  <si>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</si>
  <si>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</si>
  <si>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</si>
  <si>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</si>
  <si>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</si>
  <si>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</si>
  <si>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</si>
  <si>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</si>
  <si>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</si>
  <si>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</si>
  <si>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</si>
  <si>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</si>
  <si>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</si>
  <si>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</si>
  <si>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</si>
  <si>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</si>
  <si>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</si>
  <si>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</si>
  <si>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</si>
  <si>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</si>
  <si>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</si>
  <si>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</si>
  <si>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</si>
  <si>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</si>
  <si>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</si>
  <si>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</si>
  <si>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</si>
  <si>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</si>
  <si>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</si>
  <si>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</si>
  <si>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</si>
  <si>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</si>
  <si>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</si>
  <si>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</si>
  <si>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</si>
  <si>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</si>
  <si>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</si>
  <si>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</si>
  <si>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</si>
  <si>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</si>
  <si>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</si>
  <si>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</si>
  <si>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</si>
  <si>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</si>
  <si>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</si>
  <si>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</si>
  <si>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</si>
  <si>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</si>
  <si>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</si>
  <si>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</si>
  <si>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</si>
  <si>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</si>
  <si>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</si>
  <si>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</si>
  <si>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</si>
  <si>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</si>
  <si>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</si>
  <si>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</si>
  <si>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</si>
  <si>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</si>
  <si>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</si>
  <si>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</si>
  <si>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</si>
  <si>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</si>
  <si>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</si>
  <si>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</si>
  <si>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</si>
  <si>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</si>
  <si>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</si>
  <si>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</si>
  <si>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</si>
  <si>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</si>
  <si>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</si>
  <si>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</si>
  <si>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</si>
  <si>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</si>
  <si>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</si>
  <si>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</si>
  <si>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</si>
  <si>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</si>
  <si>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</si>
  <si>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</si>
  <si>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</si>
  <si>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</si>
  <si>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</si>
  <si>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</si>
  <si>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</si>
  <si>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</si>
  <si>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</si>
  <si>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</si>
  <si>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</si>
  <si>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</si>
  <si>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</si>
  <si>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</si>
  <si>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</si>
  <si>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</si>
  <si>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</si>
  <si>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</si>
  <si>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</si>
  <si>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</si>
  <si>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</si>
  <si>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</si>
  <si>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</si>
  <si>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</si>
  <si>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</si>
  <si>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</si>
  <si>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</si>
  <si>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</si>
  <si>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</si>
  <si>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</si>
  <si>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</si>
  <si>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</si>
  <si>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</si>
  <si>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</si>
  <si>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</si>
  <si>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</si>
  <si>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</si>
  <si>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</si>
  <si>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</si>
  <si>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</si>
  <si>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</si>
  <si>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</si>
  <si>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</si>
  <si>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</si>
  <si>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</si>
  <si>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</si>
  <si>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</si>
  <si>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</si>
  <si>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</si>
  <si>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</si>
  <si>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</si>
  <si>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</si>
  <si>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</si>
  <si>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</si>
  <si>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</si>
  <si>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</si>
  <si>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</si>
  <si>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</si>
  <si>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</si>
  <si>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</si>
  <si>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</si>
  <si>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</si>
  <si>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</si>
  <si>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</si>
  <si>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</si>
  <si>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</si>
  <si>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</si>
  <si>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</si>
  <si>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</si>
  <si>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</si>
  <si>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</si>
  <si>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</si>
  <si>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</t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</si>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</sst>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tabSelected="1" topLeftCell="M31" zoomScale="113" workbookViewId="0">
      <selection activeCell="R31" sqref="R1:R1048576"/>
    </sheetView>
  </sheetViews>
  <sheetFormatPr defaultColWidth="11" defaultRowHeight="15.75"/>
  <cols>
    <col min="1" max="1" width="18.875" style="16" customWidth="1"/>
    <col min="2" max="2" width="18.875" style="16" hidden="1" customWidth="1"/>
    <col min="3" max="3" width="48.5" customWidth="1"/>
    <col min="4" max="4" width="15" customWidth="1"/>
    <col min="5" max="5" width="53.125" customWidth="1"/>
    <col min="8" max="8" width="15.5" customWidth="1"/>
    <col min="9" max="9" width="19" customWidth="1"/>
    <col min="10" max="11" width="28" customWidth="1"/>
    <col min="16" max="16" width="47.875" customWidth="1"/>
    <col min="17" max="17" width="27.375" customWidth="1"/>
    <col min="18" max="18" width="28" customWidth="1"/>
    <col min="19" max="19" width="22.375" customWidth="1"/>
  </cols>
  <sheetData>
    <row r="1" spans="1:20" ht="26.25" thickBot="1">
      <c r="A1" s="14" t="s">
        <v>124</v>
      </c>
      <c r="B1" s="14" t="s">
        <v>125</v>
      </c>
      <c r="C1" s="1" t="s">
        <v>126</v>
      </c>
      <c r="D1" s="1" t="s">
        <v>0</v>
      </c>
      <c r="E1" s="1" t="s">
        <v>1</v>
      </c>
      <c r="F1" s="1" t="s">
        <v>2</v>
      </c>
      <c r="G1" s="1" t="s">
        <v>101</v>
      </c>
      <c r="H1" s="1" t="s">
        <v>3</v>
      </c>
      <c r="I1" s="1" t="s">
        <v>4</v>
      </c>
      <c r="J1" s="1" t="s">
        <v>5</v>
      </c>
      <c r="K1" s="1" t="s">
        <v>130</v>
      </c>
      <c r="L1" s="1" t="s">
        <v>131</v>
      </c>
      <c r="M1" s="1" t="s">
        <v>132</v>
      </c>
      <c r="N1" s="1" t="s">
        <v>152</v>
      </c>
      <c r="O1" s="1" t="s">
        <v>153</v>
      </c>
      <c r="P1" s="1" t="s">
        <v>6</v>
      </c>
      <c r="Q1" s="18" t="s">
        <v>128</v>
      </c>
      <c r="R1" s="18" t="s">
        <v>93</v>
      </c>
      <c r="S1" s="18" t="s">
        <v>129</v>
      </c>
    </row>
    <row r="2" spans="1:20" ht="16.5" thickBot="1">
      <c r="A2" s="15"/>
      <c r="B2" s="15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 t="str">
        <f>IF(NOT(J2=""),A2&amp;","&amp;J2,"")</f>
        <v/>
      </c>
      <c r="R2" t="str">
        <f>A2&amp;"x "&amp;D2</f>
        <v xml:space="preserve">x </v>
      </c>
    </row>
    <row r="3" spans="1:20" ht="16.5" thickBot="1">
      <c r="A3" s="17">
        <f>LEN(C3)-LEN(SUBSTITUTE(C3,",",""))+1</f>
        <v>1</v>
      </c>
      <c r="B3" s="17" t="e">
        <f>LEN(#REF!)-LEN(SUBSTITUTE(#REF!,",",""))+1</f>
        <v>#REF!</v>
      </c>
      <c r="C3" s="4" t="s">
        <v>70</v>
      </c>
      <c r="D3" s="3" t="s">
        <v>7</v>
      </c>
      <c r="E3" s="3" t="s">
        <v>112</v>
      </c>
      <c r="F3" s="3" t="s">
        <v>8</v>
      </c>
      <c r="G3" s="3"/>
      <c r="H3" s="3" t="s">
        <v>12</v>
      </c>
      <c r="I3" s="3" t="s">
        <v>113</v>
      </c>
      <c r="J3" s="2" t="s">
        <v>114</v>
      </c>
      <c r="K3" s="2" t="s">
        <v>136</v>
      </c>
      <c r="L3" s="5">
        <v>1.7</v>
      </c>
      <c r="M3" s="5">
        <v>1.7</v>
      </c>
      <c r="N3" s="6">
        <f>L3*A3</f>
        <v>1.7</v>
      </c>
      <c r="O3" s="6">
        <f>M3*A3</f>
        <v>1.7</v>
      </c>
      <c r="P3" s="4"/>
      <c r="Q3" s="4" t="str">
        <f>IF(NOT(J3=""),A3&amp;","&amp;J3,"")</f>
        <v>1,399-3654-ND</v>
      </c>
      <c r="R3" t="str">
        <f>"Capacitor - " &amp;A3&amp;"x "&amp;D3</f>
        <v>Capacitor - 1x 10uF</v>
      </c>
      <c r="S3" t="str">
        <f>IF(NOT(K3=""),K3&amp;"|"&amp;A3,"")</f>
        <v>80-T356G106K035AT|1</v>
      </c>
      <c r="T3" t="str">
        <f>I3&amp;" "&amp;A3</f>
        <v>T356G106K035AT 1</v>
      </c>
    </row>
    <row r="4" spans="1:20" ht="16.5" thickBot="1">
      <c r="A4" s="17">
        <f>LEN(C4)-LEN(SUBSTITUTE(C4,",",""))+1</f>
        <v>5</v>
      </c>
      <c r="B4" s="17" t="e">
        <f>LEN(#REF!)-LEN(SUBSTITUTE(#REF!,",",""))+1</f>
        <v>#REF!</v>
      </c>
      <c r="C4" s="4" t="s">
        <v>205</v>
      </c>
      <c r="D4" s="3" t="s">
        <v>10</v>
      </c>
      <c r="E4" s="2" t="s">
        <v>111</v>
      </c>
      <c r="F4" s="3" t="s">
        <v>11</v>
      </c>
      <c r="G4" s="3"/>
      <c r="H4" s="3" t="s">
        <v>12</v>
      </c>
      <c r="I4" s="3" t="s">
        <v>175</v>
      </c>
      <c r="J4" s="2" t="s">
        <v>176</v>
      </c>
      <c r="K4" s="2" t="s">
        <v>177</v>
      </c>
      <c r="L4" s="5">
        <v>0.66</v>
      </c>
      <c r="M4" s="5">
        <v>0.66</v>
      </c>
      <c r="N4" s="6">
        <f>L4*A4</f>
        <v>3.3000000000000003</v>
      </c>
      <c r="O4" s="6">
        <f>M4*A4</f>
        <v>3.3000000000000003</v>
      </c>
      <c r="P4" s="4"/>
      <c r="Q4" s="4" t="str">
        <f>IF(NOT(J4=""),A4&amp;","&amp;J4,"")</f>
        <v>5,BC2678CT-ND</v>
      </c>
      <c r="R4" t="str">
        <f>"Capacitor - " &amp;A4&amp;"x "&amp;D4</f>
        <v>Capacitor - 5x 0.22uF</v>
      </c>
      <c r="S4" t="str">
        <f>IF(NOT(K4=""),K4&amp;"|"&amp;A4,"")</f>
        <v>594-K224K20X7RF5UH5|5</v>
      </c>
      <c r="T4" t="str">
        <f>I4&amp;" "&amp;A4</f>
        <v>K224K20X7RF5UH5 5</v>
      </c>
    </row>
    <row r="5" spans="1:20" ht="16.5" thickBot="1">
      <c r="A5" s="17">
        <f>LEN(C5)-LEN(SUBSTITUTE(C5,",",""))+1</f>
        <v>7</v>
      </c>
      <c r="B5" s="17" t="e">
        <f>LEN(#REF!)-LEN(SUBSTITUTE(#REF!,",",""))+1</f>
        <v>#REF!</v>
      </c>
      <c r="C5" s="4" t="s">
        <v>162</v>
      </c>
      <c r="D5" s="3" t="s">
        <v>13</v>
      </c>
      <c r="E5" s="3" t="s">
        <v>108</v>
      </c>
      <c r="F5" s="3" t="s">
        <v>11</v>
      </c>
      <c r="G5" s="3"/>
      <c r="H5" s="3" t="s">
        <v>12</v>
      </c>
      <c r="I5" s="3" t="s">
        <v>109</v>
      </c>
      <c r="J5" s="2" t="s">
        <v>110</v>
      </c>
      <c r="K5" s="2" t="s">
        <v>137</v>
      </c>
      <c r="L5" s="5">
        <v>0.32</v>
      </c>
      <c r="M5" s="5">
        <v>0.32</v>
      </c>
      <c r="N5" s="6">
        <f>L5*A5</f>
        <v>2.2400000000000002</v>
      </c>
      <c r="O5" s="6">
        <f>M5*A5</f>
        <v>2.2400000000000002</v>
      </c>
      <c r="P5" s="4"/>
      <c r="Q5" s="4" t="str">
        <f>IF(NOT(J5=""),A5&amp;","&amp;J5,"")</f>
        <v>7,399-9879-1-ND</v>
      </c>
      <c r="R5" t="str">
        <f>"Capacitor - " &amp;A5&amp;"x "&amp;D5</f>
        <v>Capacitor - 7x 0.1uF / 100nF</v>
      </c>
      <c r="S5" t="str">
        <f>IF(NOT(K5=""),K5&amp;"|"&amp;A5,"")</f>
        <v>80-C322C104M5R-TR|7</v>
      </c>
      <c r="T5" t="str">
        <f>I5&amp;" "&amp;A5</f>
        <v>C322C104M5R5TA7301 7</v>
      </c>
    </row>
    <row r="6" spans="1:20" ht="16.5" thickBot="1">
      <c r="A6" s="17">
        <f>LEN(C6)-LEN(SUBSTITUTE(C6,",",""))+1</f>
        <v>1</v>
      </c>
      <c r="B6" s="17" t="e">
        <f>LEN(#REF!)-LEN(SUBSTITUTE(#REF!,",",""))+1</f>
        <v>#REF!</v>
      </c>
      <c r="C6" s="4" t="s">
        <v>71</v>
      </c>
      <c r="D6" s="3" t="s">
        <v>14</v>
      </c>
      <c r="E6" s="3" t="s">
        <v>115</v>
      </c>
      <c r="F6" s="3" t="s">
        <v>8</v>
      </c>
      <c r="G6" s="3"/>
      <c r="H6" s="3" t="s">
        <v>12</v>
      </c>
      <c r="I6" s="3" t="s">
        <v>116</v>
      </c>
      <c r="J6" s="2" t="s">
        <v>117</v>
      </c>
      <c r="K6" s="2" t="s">
        <v>138</v>
      </c>
      <c r="L6" s="5">
        <v>1.57</v>
      </c>
      <c r="M6" s="5">
        <v>1.57</v>
      </c>
      <c r="N6" s="6">
        <f>L6*A6</f>
        <v>1.57</v>
      </c>
      <c r="O6" s="6">
        <f>M6*A6</f>
        <v>1.57</v>
      </c>
      <c r="P6" s="4"/>
      <c r="Q6" s="4" t="str">
        <f>IF(NOT(J6=""),A6&amp;","&amp;J6,"")</f>
        <v>1,399-3652-ND</v>
      </c>
      <c r="R6" t="str">
        <f>"Capacitor - " &amp;A6&amp;"x "&amp;D6</f>
        <v>Capacitor - 1x 47uF</v>
      </c>
      <c r="S6" t="str">
        <f>IF(NOT(K6=""),K6&amp;"|"&amp;A6,"")</f>
        <v>80-T356F476K6AT|1</v>
      </c>
      <c r="T6" t="str">
        <f>I6&amp;" "&amp;A6</f>
        <v>T356F476K006AT 1</v>
      </c>
    </row>
    <row r="7" spans="1:20" ht="16.5" thickBot="1">
      <c r="A7" s="17">
        <f t="shared" ref="A7:A10" si="0">LEN(C7)-LEN(SUBSTITUTE(C7,",",""))+1</f>
        <v>2</v>
      </c>
      <c r="B7" s="17" t="e">
        <f>LEN(#REF!)-LEN(SUBSTITUTE(#REF!,",",""))+1</f>
        <v>#REF!</v>
      </c>
      <c r="C7" s="4" t="s">
        <v>223</v>
      </c>
      <c r="D7" s="3" t="s">
        <v>15</v>
      </c>
      <c r="E7" s="2" t="s">
        <v>120</v>
      </c>
      <c r="F7" s="3" t="s">
        <v>11</v>
      </c>
      <c r="G7" s="3"/>
      <c r="H7" s="3" t="s">
        <v>9</v>
      </c>
      <c r="I7" s="3" t="s">
        <v>118</v>
      </c>
      <c r="J7" s="2" t="s">
        <v>119</v>
      </c>
      <c r="K7" s="2" t="s">
        <v>139</v>
      </c>
      <c r="L7" s="5">
        <v>0.62</v>
      </c>
      <c r="M7" s="5">
        <v>0.43</v>
      </c>
      <c r="N7" s="6">
        <f>L7*A7</f>
        <v>1.24</v>
      </c>
      <c r="O7" s="6">
        <f>M7*A7</f>
        <v>0.86</v>
      </c>
      <c r="P7" s="4"/>
      <c r="Q7" s="4" t="str">
        <f>IF(NOT(J7=""),A7&amp;","&amp;J7,"")</f>
        <v>2,478-5120-ND</v>
      </c>
      <c r="R7" t="str">
        <f>"Capacitor - " &amp;A7&amp;"x "&amp;D7</f>
        <v>Capacitor - 2x 0.33uF</v>
      </c>
      <c r="S7" t="str">
        <f>IF(NOT(K7=""),K7&amp;"|"&amp;A7,"")</f>
        <v>581-AR215F334K4R|2</v>
      </c>
      <c r="T7" t="str">
        <f>I7&amp;" "&amp;A7</f>
        <v>AR215F334K4R 2</v>
      </c>
    </row>
    <row r="8" spans="1:20" ht="16.5" thickBot="1">
      <c r="A8" s="17">
        <f t="shared" si="0"/>
        <v>3</v>
      </c>
      <c r="B8" s="17" t="e">
        <f>LEN(#REF!)-LEN(SUBSTITUTE(#REF!,",",""))+1</f>
        <v>#REF!</v>
      </c>
      <c r="C8" s="4" t="s">
        <v>272</v>
      </c>
      <c r="D8" s="3" t="s">
        <v>16</v>
      </c>
      <c r="E8" s="2" t="s">
        <v>121</v>
      </c>
      <c r="F8" s="3" t="s">
        <v>11</v>
      </c>
      <c r="G8" s="3"/>
      <c r="H8" s="3" t="s">
        <v>12</v>
      </c>
      <c r="I8" s="3" t="s">
        <v>122</v>
      </c>
      <c r="J8" s="2" t="s">
        <v>123</v>
      </c>
      <c r="K8" s="2" t="s">
        <v>140</v>
      </c>
      <c r="L8" s="5">
        <v>0.24</v>
      </c>
      <c r="M8" s="5">
        <v>0.24</v>
      </c>
      <c r="N8" s="6">
        <f>L8*A8</f>
        <v>0.72</v>
      </c>
      <c r="O8" s="6">
        <f>M8*A8</f>
        <v>0.72</v>
      </c>
      <c r="P8" s="4"/>
      <c r="Q8" s="4" t="str">
        <f>IF(NOT(J8=""),A8&amp;","&amp;J8,"")</f>
        <v>3,399-4206-ND</v>
      </c>
      <c r="R8" t="str">
        <f>"Capacitor - " &amp;A8&amp;"x "&amp;D8</f>
        <v>Capacitor - 3x 0.01uF</v>
      </c>
      <c r="S8" t="str">
        <f>IF(NOT(K8=""),K8&amp;"|"&amp;A8,"")</f>
        <v>80-C317C103K5R|3</v>
      </c>
      <c r="T8" t="str">
        <f>I8&amp;" "&amp;A8</f>
        <v>C317C103K5R5TA 3</v>
      </c>
    </row>
    <row r="9" spans="1:20" ht="16.5" thickBot="1">
      <c r="A9" s="17">
        <f t="shared" si="0"/>
        <v>4</v>
      </c>
      <c r="B9" s="17" t="e">
        <f>LEN(#REF!)-LEN(SUBSTITUTE(#REF!,",",""))+1</f>
        <v>#REF!</v>
      </c>
      <c r="C9" s="4" t="s">
        <v>224</v>
      </c>
      <c r="D9" s="3" t="s">
        <v>17</v>
      </c>
      <c r="E9" s="3" t="s">
        <v>105</v>
      </c>
      <c r="F9" s="3" t="s">
        <v>11</v>
      </c>
      <c r="G9" s="3"/>
      <c r="H9" s="3" t="s">
        <v>12</v>
      </c>
      <c r="I9" s="3" t="s">
        <v>106</v>
      </c>
      <c r="J9" s="2" t="s">
        <v>107</v>
      </c>
      <c r="K9" s="2" t="s">
        <v>141</v>
      </c>
      <c r="L9" s="5">
        <v>0.66</v>
      </c>
      <c r="M9" s="5">
        <v>0.66</v>
      </c>
      <c r="N9" s="6">
        <f>L9*A9</f>
        <v>2.64</v>
      </c>
      <c r="O9" s="6">
        <f>M9*A9</f>
        <v>2.64</v>
      </c>
      <c r="P9" s="4"/>
      <c r="Q9" s="4" t="str">
        <f>IF(NOT(J9=""),A9&amp;","&amp;J9,"")</f>
        <v>4,399-4390-ND</v>
      </c>
      <c r="R9" t="str">
        <f>"Capacitor - " &amp;A9&amp;"x "&amp;D9</f>
        <v>Capacitor - 4x 1uF</v>
      </c>
      <c r="S9" t="str">
        <f>IF(NOT(K9=""),K9&amp;"|"&amp;A9,"")</f>
        <v>80-C330C105M5U|4</v>
      </c>
      <c r="T9" t="str">
        <f>I9&amp;" "&amp;A9</f>
        <v>C330C105M5U5TA 4</v>
      </c>
    </row>
    <row r="10" spans="1:20" ht="16.5" thickBot="1">
      <c r="A10" s="17">
        <f t="shared" si="0"/>
        <v>1</v>
      </c>
      <c r="B10" s="17"/>
      <c r="C10" s="4" t="s">
        <v>286</v>
      </c>
      <c r="D10" s="3" t="s">
        <v>287</v>
      </c>
      <c r="E10" s="3" t="s">
        <v>288</v>
      </c>
      <c r="F10" s="3" t="s">
        <v>11</v>
      </c>
      <c r="G10" s="3"/>
      <c r="H10" s="3" t="s">
        <v>9</v>
      </c>
      <c r="I10" s="3" t="s">
        <v>289</v>
      </c>
      <c r="J10" s="2" t="s">
        <v>290</v>
      </c>
      <c r="K10" s="35" t="s">
        <v>291</v>
      </c>
      <c r="L10" s="5">
        <v>0.3</v>
      </c>
      <c r="M10" s="5">
        <v>0.13</v>
      </c>
      <c r="N10" s="6">
        <f>L10*A10</f>
        <v>0.3</v>
      </c>
      <c r="O10" s="6">
        <f>M10*A10</f>
        <v>0.13</v>
      </c>
      <c r="P10" s="4"/>
      <c r="Q10" s="4" t="str">
        <f>IF(NOT(J10=""),A10&amp;","&amp;J10,"")</f>
        <v>1,478-11030-1-ND</v>
      </c>
      <c r="R10" t="str">
        <f>"Capacitor - " &amp;A10&amp;"x "&amp;D10</f>
        <v>Capacitor - 1x 1nF</v>
      </c>
      <c r="S10" t="str">
        <f>IF(NOT(K10=""),K10&amp;"|"&amp;A10,"")</f>
        <v>581-SR211C102KARTR1|1</v>
      </c>
      <c r="T10" t="str">
        <f>I10&amp;" "&amp;A10</f>
        <v>SR211C102KARTR1 1</v>
      </c>
    </row>
    <row r="11" spans="1:20" ht="16.5" thickBot="1">
      <c r="A11" s="17">
        <f>LEN(C11)-LEN(SUBSTITUTE(C11,",",""))+1</f>
        <v>1</v>
      </c>
      <c r="B11" s="17" t="e">
        <f>LEN(#REF!)-LEN(SUBSTITUTE(#REF!,",",""))+1</f>
        <v>#REF!</v>
      </c>
      <c r="C11" s="4" t="s">
        <v>86</v>
      </c>
      <c r="D11" s="3" t="s">
        <v>87</v>
      </c>
      <c r="E11" s="3" t="s">
        <v>90</v>
      </c>
      <c r="F11" s="3" t="s">
        <v>11</v>
      </c>
      <c r="G11" s="3"/>
      <c r="H11" s="3" t="s">
        <v>12</v>
      </c>
      <c r="I11" s="3" t="s">
        <v>89</v>
      </c>
      <c r="J11" s="2" t="s">
        <v>88</v>
      </c>
      <c r="K11" s="2" t="s">
        <v>142</v>
      </c>
      <c r="L11" s="5">
        <v>0.25</v>
      </c>
      <c r="M11" s="5">
        <v>0.25</v>
      </c>
      <c r="N11" s="6">
        <f>L11*A11</f>
        <v>0.25</v>
      </c>
      <c r="O11" s="6">
        <f>M11*A11</f>
        <v>0.25</v>
      </c>
      <c r="P11" s="4"/>
      <c r="Q11" s="4" t="str">
        <f>IF(NOT(J11=""),A11&amp;","&amp;J11,"")</f>
        <v>1,399-4243-ND</v>
      </c>
      <c r="R11" t="str">
        <f>"Capacitor - " &amp;A11&amp;"x "&amp;D11</f>
        <v>Capacitor - 1x 4.7nF</v>
      </c>
      <c r="S11" t="str">
        <f>IF(NOT(K11=""),K11&amp;"|"&amp;A11,"")</f>
        <v>80-C317C472K1R|1</v>
      </c>
      <c r="T11" t="str">
        <f>I11&amp;" "&amp;A11</f>
        <v>C317C472K1R5TA 1</v>
      </c>
    </row>
    <row r="12" spans="1:20" ht="16.5" thickBot="1">
      <c r="A12" s="15"/>
      <c r="B12" s="15"/>
      <c r="C12" s="4"/>
      <c r="D12" s="3"/>
      <c r="E12" s="3"/>
      <c r="F12" s="3"/>
      <c r="G12" s="3"/>
      <c r="H12" s="3"/>
      <c r="I12" s="3"/>
      <c r="J12" s="2"/>
      <c r="K12" s="2"/>
      <c r="L12" s="3"/>
      <c r="M12" s="3"/>
      <c r="N12" s="3"/>
      <c r="O12" s="6"/>
      <c r="P12" s="4"/>
      <c r="Q12" s="4" t="str">
        <f>IF(NOT(J12=""),A12&amp;","&amp;J12,"")</f>
        <v/>
      </c>
      <c r="S12" t="str">
        <f>IF(NOT(K12=""),K12&amp;"|"&amp;A12,"")</f>
        <v/>
      </c>
      <c r="T12" t="str">
        <f>I12&amp;" "&amp;A12</f>
        <v xml:space="preserve"> </v>
      </c>
    </row>
    <row r="13" spans="1:20" ht="16.5" thickBot="1">
      <c r="A13" s="17">
        <f>LEN(C13)-LEN(SUBSTITUTE(C13,",",""))+1</f>
        <v>2</v>
      </c>
      <c r="B13" s="17" t="e">
        <f>LEN(#REF!)-LEN(SUBSTITUTE(#REF!,",",""))+1</f>
        <v>#REF!</v>
      </c>
      <c r="C13" s="4" t="s">
        <v>252</v>
      </c>
      <c r="D13" s="3" t="s">
        <v>95</v>
      </c>
      <c r="E13" s="7" t="s">
        <v>18</v>
      </c>
      <c r="F13" s="3" t="s">
        <v>19</v>
      </c>
      <c r="G13" s="3"/>
      <c r="H13" s="3" t="s">
        <v>20</v>
      </c>
      <c r="I13" s="7" t="s">
        <v>21</v>
      </c>
      <c r="J13" s="2" t="s">
        <v>22</v>
      </c>
      <c r="K13" s="2" t="s">
        <v>156</v>
      </c>
      <c r="L13" s="5">
        <v>0.34</v>
      </c>
      <c r="M13" s="5">
        <v>0.43</v>
      </c>
      <c r="N13" s="6">
        <f>L13*A13</f>
        <v>0.68</v>
      </c>
      <c r="O13" s="6">
        <f>M13*A13</f>
        <v>0.86</v>
      </c>
      <c r="P13" s="4"/>
      <c r="Q13" s="4" t="str">
        <f>IF(NOT(J13=""),A13&amp;","&amp;J13,"")</f>
        <v>2,1N5919BGOS-ND</v>
      </c>
      <c r="R13" t="str">
        <f>"Diode - " &amp;A13&amp;"x "&amp;D13</f>
        <v>Diode - 2x 1N5919BG Zener</v>
      </c>
      <c r="S13" t="str">
        <f>IF(NOT(K13=""),K13&amp;"|"&amp;A13,"")</f>
        <v>863-1N5919BRLG|2</v>
      </c>
      <c r="T13" t="str">
        <f>I13&amp;" "&amp;A13</f>
        <v>1N5919BG 2</v>
      </c>
    </row>
    <row r="14" spans="1:20" ht="26.25" thickBot="1">
      <c r="A14" s="17">
        <f>LEN(C14)-LEN(SUBSTITUTE(C14,",",""))+1</f>
        <v>3</v>
      </c>
      <c r="B14" s="17" t="e">
        <f>LEN(#REF!)-LEN(SUBSTITUTE(#REF!,",",""))+1</f>
        <v>#REF!</v>
      </c>
      <c r="C14" s="4" t="s">
        <v>255</v>
      </c>
      <c r="D14" s="3" t="s">
        <v>96</v>
      </c>
      <c r="E14" s="3" t="s">
        <v>24</v>
      </c>
      <c r="F14" s="3" t="s">
        <v>19</v>
      </c>
      <c r="G14" s="3"/>
      <c r="H14" s="3" t="s">
        <v>25</v>
      </c>
      <c r="I14" s="3" t="s">
        <v>23</v>
      </c>
      <c r="J14" s="2" t="s">
        <v>26</v>
      </c>
      <c r="K14" s="2" t="s">
        <v>143</v>
      </c>
      <c r="L14" s="5">
        <v>0.39</v>
      </c>
      <c r="M14" s="5">
        <v>0.39</v>
      </c>
      <c r="N14" s="6">
        <f>L14*A14</f>
        <v>1.17</v>
      </c>
      <c r="O14" s="6">
        <f>M14*A14</f>
        <v>1.17</v>
      </c>
      <c r="P14" s="4"/>
      <c r="Q14" s="4" t="str">
        <f>IF(NOT(J14=""),A14&amp;","&amp;J14,"")</f>
        <v>3,1N5818-TPCT-ND</v>
      </c>
      <c r="R14" t="str">
        <f>"Diode - " &amp;A14&amp;"x "&amp;D14</f>
        <v>Diode - 3x 1N5818-TP Schottky</v>
      </c>
      <c r="S14" t="str">
        <f>IF(NOT(K14=""),K14&amp;"|"&amp;A14,"")</f>
        <v>833-1N5818-TP|3</v>
      </c>
      <c r="T14" t="str">
        <f>I14&amp;" "&amp;A14</f>
        <v>1N5818-TP 3</v>
      </c>
    </row>
    <row r="15" spans="1:20" ht="16.5" thickBot="1">
      <c r="A15" s="17">
        <f>LEN(C15)-LEN(SUBSTITUTE(C15,",",""))+1</f>
        <v>6</v>
      </c>
      <c r="B15" s="17" t="e">
        <f>LEN(#REF!)-LEN(SUBSTITUTE(#REF!,",",""))+1</f>
        <v>#REF!</v>
      </c>
      <c r="C15" s="4" t="s">
        <v>280</v>
      </c>
      <c r="D15" s="3" t="s">
        <v>27</v>
      </c>
      <c r="E15" s="3" t="s">
        <v>79</v>
      </c>
      <c r="F15" s="3" t="s">
        <v>72</v>
      </c>
      <c r="G15" s="3"/>
      <c r="H15" s="3"/>
      <c r="I15" s="3" t="s">
        <v>166</v>
      </c>
      <c r="J15" s="2" t="s">
        <v>80</v>
      </c>
      <c r="K15" s="2" t="s">
        <v>154</v>
      </c>
      <c r="L15" s="5">
        <v>0.47</v>
      </c>
      <c r="M15" s="5">
        <v>0.1</v>
      </c>
      <c r="N15" s="6">
        <f>L15*A15</f>
        <v>2.82</v>
      </c>
      <c r="O15" s="6">
        <f>M15*A15</f>
        <v>0.60000000000000009</v>
      </c>
      <c r="P15" s="4"/>
      <c r="Q15" s="4" t="str">
        <f>IF(NOT(J15=""),A15&amp;","&amp;J15,"")</f>
        <v>6,160-1139-ND</v>
      </c>
      <c r="R15" t="str">
        <f>"Diode - " &amp;A15&amp;"x "&amp;D15</f>
        <v>Diode - 6x LED-Red</v>
      </c>
      <c r="S15" t="str">
        <f>IF(NOT(K15=""),K15&amp;"|"&amp;A15,"")</f>
        <v>859-LTL-4221N|6</v>
      </c>
      <c r="T15" t="str">
        <f>I15&amp;" "&amp;A15</f>
        <v>LTL-4221N 6</v>
      </c>
    </row>
    <row r="16" spans="1:20" ht="26.25" thickBot="1">
      <c r="A16" s="17">
        <f>LEN(C16)-LEN(SUBSTITUTE(C16,",",""))+1</f>
        <v>4</v>
      </c>
      <c r="B16" s="17" t="e">
        <f>LEN(#REF!)-LEN(SUBSTITUTE(#REF!,",",""))+1</f>
        <v>#REF!</v>
      </c>
      <c r="C16" s="4" t="s">
        <v>282</v>
      </c>
      <c r="D16" s="3" t="s">
        <v>28</v>
      </c>
      <c r="E16" s="3" t="s">
        <v>29</v>
      </c>
      <c r="F16" s="3" t="s">
        <v>19</v>
      </c>
      <c r="G16" s="3"/>
      <c r="H16" s="3" t="s">
        <v>25</v>
      </c>
      <c r="I16" s="3" t="s">
        <v>30</v>
      </c>
      <c r="J16" s="2" t="s">
        <v>31</v>
      </c>
      <c r="K16" s="2" t="s">
        <v>144</v>
      </c>
      <c r="L16" s="5">
        <v>0.11</v>
      </c>
      <c r="M16" s="5">
        <v>0.11</v>
      </c>
      <c r="N16" s="6">
        <f>L16*A16</f>
        <v>0.44</v>
      </c>
      <c r="O16" s="6">
        <f>M16*A16</f>
        <v>0.44</v>
      </c>
      <c r="P16" s="4"/>
      <c r="Q16" s="4" t="str">
        <f>IF(NOT(J16=""),A16&amp;","&amp;J16,"")</f>
        <v>4,1N4004-TPMSCT-ND</v>
      </c>
      <c r="R16" t="str">
        <f>"Diode - " &amp;A16&amp;"x "&amp;D16</f>
        <v>Diode - 4x 1N4004</v>
      </c>
      <c r="S16" t="str">
        <f>IF(NOT(K16=""),K16&amp;"|"&amp;A16,"")</f>
        <v>833-1N4004-TP|4</v>
      </c>
      <c r="T16" t="str">
        <f>I16&amp;" "&amp;A16</f>
        <v>1N4004-TP 4</v>
      </c>
    </row>
    <row r="17" spans="1:20" ht="16.5" thickBot="1">
      <c r="A17" s="15"/>
      <c r="B17" s="15"/>
      <c r="C17" s="4"/>
      <c r="D17" s="3"/>
      <c r="E17" s="3"/>
      <c r="F17" s="3"/>
      <c r="G17" s="3"/>
      <c r="H17" s="3"/>
      <c r="I17" s="3"/>
      <c r="J17" s="2"/>
      <c r="K17" s="2"/>
      <c r="L17" s="3"/>
      <c r="M17" s="3"/>
      <c r="N17" s="3"/>
      <c r="O17" s="6"/>
      <c r="P17" s="4"/>
      <c r="Q17" s="4" t="str">
        <f>IF(NOT(J17=""),A17&amp;","&amp;J17,"")</f>
        <v/>
      </c>
      <c r="R17" t="str">
        <f>A17&amp;"x "&amp;D17</f>
        <v xml:space="preserve">x </v>
      </c>
      <c r="S17" t="str">
        <f>IF(NOT(K17=""),K17&amp;"|"&amp;A17,"")</f>
        <v/>
      </c>
      <c r="T17" t="str">
        <f>I17&amp;" "&amp;A17</f>
        <v xml:space="preserve"> </v>
      </c>
    </row>
    <row r="18" spans="1:20" ht="16.5" thickBot="1">
      <c r="A18" s="17">
        <v>1</v>
      </c>
      <c r="B18" s="17" t="e">
        <f>LEN(#REF!)-LEN(SUBSTITUTE(#REF!,",",""))+1</f>
        <v>#REF!</v>
      </c>
      <c r="C18" s="4" t="s">
        <v>78</v>
      </c>
      <c r="D18" s="3" t="s">
        <v>32</v>
      </c>
      <c r="E18" s="3" t="s">
        <v>33</v>
      </c>
      <c r="F18" s="3" t="s">
        <v>34</v>
      </c>
      <c r="G18" s="3"/>
      <c r="H18" s="3" t="s">
        <v>35</v>
      </c>
      <c r="I18" s="3" t="s">
        <v>36</v>
      </c>
      <c r="J18" s="2" t="s">
        <v>37</v>
      </c>
      <c r="K18" s="2" t="s">
        <v>145</v>
      </c>
      <c r="L18" s="5">
        <v>0.72</v>
      </c>
      <c r="M18" s="5">
        <v>0.72</v>
      </c>
      <c r="N18" s="6">
        <f>L18*A18</f>
        <v>0.72</v>
      </c>
      <c r="O18" s="6">
        <f>M18*A18</f>
        <v>0.72</v>
      </c>
      <c r="P18" s="4"/>
      <c r="Q18" s="4" t="str">
        <f>IF(NOT(J18=""),A18&amp;","&amp;J18,"")</f>
        <v>1,P7307-ND</v>
      </c>
      <c r="R18" t="str">
        <f>A18&amp;"x "&amp;D18</f>
        <v>1x Surge Protection</v>
      </c>
      <c r="S18" t="str">
        <f>IF(NOT(K18=""),K18&amp;"|"&amp;A18,"")</f>
        <v>667-ERZ-V14D220|1</v>
      </c>
      <c r="T18" t="str">
        <f>I18&amp;" "&amp;A18</f>
        <v>ERZ-V14D220 1</v>
      </c>
    </row>
    <row r="19" spans="1:20" ht="16.5" thickBot="1">
      <c r="A19" s="15"/>
      <c r="B19" s="15"/>
      <c r="C19" s="4"/>
      <c r="D19" s="3"/>
      <c r="E19" s="3"/>
      <c r="F19" s="3"/>
      <c r="G19" s="3"/>
      <c r="H19" s="3"/>
      <c r="I19" s="3"/>
      <c r="J19" s="2"/>
      <c r="K19" s="2"/>
      <c r="L19" s="3"/>
      <c r="M19" s="3"/>
      <c r="N19" s="3"/>
      <c r="O19" s="6"/>
      <c r="P19" s="4"/>
      <c r="Q19" s="4" t="str">
        <f>IF(NOT(J19=""),A19&amp;","&amp;J19,"")</f>
        <v/>
      </c>
      <c r="R19" t="str">
        <f>A19&amp;"x "&amp;D19</f>
        <v xml:space="preserve">x </v>
      </c>
      <c r="S19" t="str">
        <f>IF(NOT(K19=""),K19&amp;"|"&amp;A19,"")</f>
        <v/>
      </c>
      <c r="T19" t="str">
        <f>I19&amp;" "&amp;A19</f>
        <v xml:space="preserve"> </v>
      </c>
    </row>
    <row r="20" spans="1:20" ht="26.25" thickBot="1">
      <c r="A20" s="17">
        <v>4</v>
      </c>
      <c r="B20" s="17">
        <v>4</v>
      </c>
      <c r="C20" s="4" t="s">
        <v>77</v>
      </c>
      <c r="D20" s="3" t="s">
        <v>91</v>
      </c>
      <c r="E20" s="3" t="s">
        <v>85</v>
      </c>
      <c r="F20" s="3"/>
      <c r="G20" s="3"/>
      <c r="H20" s="3" t="s">
        <v>84</v>
      </c>
      <c r="I20" s="3" t="s">
        <v>181</v>
      </c>
      <c r="J20" s="2" t="s">
        <v>83</v>
      </c>
      <c r="K20" s="2" t="s">
        <v>182</v>
      </c>
      <c r="L20" s="6">
        <v>0.56000000000000005</v>
      </c>
      <c r="M20" s="22">
        <v>2.95</v>
      </c>
      <c r="N20" s="6">
        <f>L20*A20</f>
        <v>2.2400000000000002</v>
      </c>
      <c r="O20" s="6">
        <f>M20*A20</f>
        <v>11.8</v>
      </c>
      <c r="P20" s="4" t="s">
        <v>155</v>
      </c>
      <c r="Q20" s="4" t="str">
        <f>IF(NOT(J20=""),A20&amp;","&amp;J20,"")</f>
        <v>4,S1012EC-40-ND</v>
      </c>
      <c r="R20" t="str">
        <f>A20&amp;"x "&amp;D20</f>
        <v>4x 40 POS 0.100 Pin Header</v>
      </c>
      <c r="S20" t="str">
        <f>IF(NOT(K20=""),K20&amp;"|"&amp;A20,"")</f>
        <v>571-41037410|4</v>
      </c>
      <c r="T20" t="str">
        <f>I20&amp;" "&amp;A20</f>
        <v>PREC040SAAN-RC.. 4</v>
      </c>
    </row>
    <row r="21" spans="1:20" ht="16.5" thickBot="1">
      <c r="A21" s="17">
        <v>1</v>
      </c>
      <c r="B21" s="17">
        <v>4</v>
      </c>
      <c r="C21" s="4" t="s">
        <v>195</v>
      </c>
      <c r="D21" s="3" t="s">
        <v>233</v>
      </c>
      <c r="E21" s="3" t="s">
        <v>234</v>
      </c>
      <c r="F21" s="3"/>
      <c r="G21" s="3"/>
      <c r="H21" s="3" t="s">
        <v>197</v>
      </c>
      <c r="I21" s="24" t="s">
        <v>230</v>
      </c>
      <c r="J21" s="27" t="s">
        <v>232</v>
      </c>
      <c r="K21" s="2" t="s">
        <v>231</v>
      </c>
      <c r="L21" s="6">
        <v>1</v>
      </c>
      <c r="M21" s="25">
        <v>0.88200000000000001</v>
      </c>
      <c r="N21" s="6">
        <f>L21*A21</f>
        <v>1</v>
      </c>
      <c r="O21" s="6">
        <f>M21*A21</f>
        <v>0.88200000000000001</v>
      </c>
      <c r="P21" s="4"/>
      <c r="Q21" s="4" t="str">
        <f>IF(NOT(J21=""),A21&amp;","&amp;J21,"")</f>
        <v>1,WM1353-ND</v>
      </c>
      <c r="R21" t="str">
        <f>A21&amp;"x "&amp;D21</f>
        <v>1x 6 POS Header</v>
      </c>
      <c r="S21" t="str">
        <f>IF(NOT(K21=""),K21&amp;"|"&amp;A21,"")</f>
        <v>538-39-30-1060|1</v>
      </c>
      <c r="T21" t="str">
        <f>I21&amp;" "&amp;A21</f>
        <v>39-30-1060 1</v>
      </c>
    </row>
    <row r="22" spans="1:20" ht="16.5" thickBot="1">
      <c r="A22" s="17">
        <v>1</v>
      </c>
      <c r="B22" s="17">
        <v>4</v>
      </c>
      <c r="C22" s="32" t="s">
        <v>195</v>
      </c>
      <c r="D22" s="3" t="s">
        <v>233</v>
      </c>
      <c r="E22" s="3" t="s">
        <v>234</v>
      </c>
      <c r="F22" s="3"/>
      <c r="G22" s="3"/>
      <c r="H22" s="3" t="s">
        <v>197</v>
      </c>
      <c r="I22" s="24" t="s">
        <v>230</v>
      </c>
      <c r="J22" s="27" t="s">
        <v>232</v>
      </c>
      <c r="K22" s="2" t="s">
        <v>231</v>
      </c>
      <c r="L22" s="6">
        <v>1</v>
      </c>
      <c r="M22" s="25">
        <v>0.88200000000000001</v>
      </c>
      <c r="N22" s="6">
        <f>L22*A22</f>
        <v>1</v>
      </c>
      <c r="O22" s="6">
        <f>M22*A22</f>
        <v>0.88200000000000001</v>
      </c>
      <c r="P22" s="4"/>
      <c r="Q22" s="4" t="str">
        <f>IF(NOT(J22=""),A22&amp;","&amp;J22,"")</f>
        <v>1,WM1353-ND</v>
      </c>
      <c r="R22" t="str">
        <f>A22&amp;"x "&amp;D22</f>
        <v>1x 6 POS Header</v>
      </c>
      <c r="S22" t="str">
        <f>IF(NOT(K22=""),K22&amp;"|"&amp;A22,"")</f>
        <v>538-39-30-1060|1</v>
      </c>
      <c r="T22" t="str">
        <f>I22&amp;" "&amp;A22</f>
        <v>39-30-1060 1</v>
      </c>
    </row>
    <row r="23" spans="1:20" ht="16.5" thickBot="1">
      <c r="A23" s="17">
        <v>1</v>
      </c>
      <c r="B23" s="17">
        <v>4</v>
      </c>
      <c r="C23" s="4" t="s">
        <v>206</v>
      </c>
      <c r="D23" s="3" t="s">
        <v>196</v>
      </c>
      <c r="E23" s="3" t="s">
        <v>208</v>
      </c>
      <c r="F23" s="3"/>
      <c r="G23" s="3"/>
      <c r="H23" s="3" t="s">
        <v>210</v>
      </c>
      <c r="I23" s="24" t="s">
        <v>211</v>
      </c>
      <c r="J23" s="27" t="s">
        <v>216</v>
      </c>
      <c r="K23" s="2" t="s">
        <v>215</v>
      </c>
      <c r="L23" s="6">
        <v>0.38</v>
      </c>
      <c r="M23" s="25">
        <v>0.76</v>
      </c>
      <c r="N23" s="6">
        <f>L23*A23</f>
        <v>0.38</v>
      </c>
      <c r="O23" s="6">
        <f>M23*A23</f>
        <v>0.76</v>
      </c>
      <c r="P23" s="4"/>
      <c r="Q23" s="4" t="str">
        <f>IF(NOT(J23=""),A23&amp;","&amp;J23,"")</f>
        <v>1,SAM1213-04-ND</v>
      </c>
      <c r="R23" t="str">
        <f>A23&amp;"x "&amp;D23</f>
        <v>1x 4 POS Header</v>
      </c>
      <c r="S23" t="str">
        <f>IF(NOT(K23=""),K23&amp;"|"&amp;A23,"")</f>
        <v>200-SSW10401TS|1</v>
      </c>
      <c r="T23" t="str">
        <f>I23&amp;" "&amp;A23</f>
        <v>SSW-104-01-T-S 1</v>
      </c>
    </row>
    <row r="24" spans="1:20" ht="16.5" thickBot="1">
      <c r="A24" s="17">
        <v>1</v>
      </c>
      <c r="B24" s="17">
        <v>4</v>
      </c>
      <c r="C24" s="4" t="s">
        <v>206</v>
      </c>
      <c r="D24" s="3" t="s">
        <v>207</v>
      </c>
      <c r="E24" s="3" t="s">
        <v>209</v>
      </c>
      <c r="F24" s="3"/>
      <c r="G24" s="3"/>
      <c r="H24" s="3" t="s">
        <v>210</v>
      </c>
      <c r="I24" s="24" t="s">
        <v>212</v>
      </c>
      <c r="J24" s="27" t="s">
        <v>214</v>
      </c>
      <c r="K24" s="2" t="s">
        <v>213</v>
      </c>
      <c r="L24" s="6">
        <v>0.23</v>
      </c>
      <c r="M24" s="25">
        <v>0.49</v>
      </c>
      <c r="N24" s="6">
        <f>L24*A24</f>
        <v>0.23</v>
      </c>
      <c r="O24" s="6">
        <f>M24*A24</f>
        <v>0.49</v>
      </c>
      <c r="P24" s="4"/>
      <c r="Q24" s="4" t="str">
        <f>IF(NOT(J24=""),A24&amp;","&amp;J24,"")</f>
        <v>1,SAM1213-02-ND</v>
      </c>
      <c r="R24" t="str">
        <f>A24&amp;"x "&amp;D24</f>
        <v>1x 2 POS Header</v>
      </c>
      <c r="S24" t="str">
        <f>IF(NOT(K24=""),K24&amp;"|"&amp;A24,"")</f>
        <v>200-SSW10201TS|1</v>
      </c>
      <c r="T24" t="str">
        <f>I24&amp;" "&amp;A24</f>
        <v>SSW-102-01-T-S 1</v>
      </c>
    </row>
    <row r="25" spans="1:20" ht="16.5" thickBot="1">
      <c r="A25" s="15"/>
      <c r="B25" s="15"/>
      <c r="C25" s="4"/>
      <c r="D25" s="3"/>
      <c r="E25" s="3"/>
      <c r="F25" s="3"/>
      <c r="G25" s="3"/>
      <c r="H25" s="3"/>
      <c r="I25" s="3"/>
      <c r="J25" s="2"/>
      <c r="K25" s="2"/>
      <c r="L25" s="3"/>
      <c r="M25" s="3"/>
      <c r="N25" s="6"/>
      <c r="O25" s="6"/>
      <c r="P25" s="4"/>
      <c r="Q25" s="4" t="str">
        <f>IF(NOT(J25=""),A25&amp;","&amp;J25,"")</f>
        <v/>
      </c>
      <c r="R25" t="str">
        <f>A25&amp;"x "&amp;D25</f>
        <v xml:space="preserve">x </v>
      </c>
      <c r="S25" t="str">
        <f>IF(NOT(K25=""),K25&amp;"|"&amp;A25,"")</f>
        <v/>
      </c>
      <c r="T25" t="str">
        <f>I25&amp;" "&amp;A25</f>
        <v xml:space="preserve"> </v>
      </c>
    </row>
    <row r="26" spans="1:20" ht="26.25" thickBot="1">
      <c r="A26" s="17">
        <f>LEN(C26)-LEN(SUBSTITUTE(C26,",",""))+1</f>
        <v>5</v>
      </c>
      <c r="B26" s="17" t="e">
        <f>LEN(#REF!)-LEN(SUBSTITUTE(#REF!,",",""))+1</f>
        <v>#REF!</v>
      </c>
      <c r="C26" s="4" t="s">
        <v>279</v>
      </c>
      <c r="D26" s="3" t="s">
        <v>92</v>
      </c>
      <c r="E26" s="3" t="s">
        <v>180</v>
      </c>
      <c r="F26" s="3" t="s">
        <v>64</v>
      </c>
      <c r="G26" s="3"/>
      <c r="H26" s="3" t="s">
        <v>38</v>
      </c>
      <c r="I26" s="3" t="s">
        <v>178</v>
      </c>
      <c r="J26" s="2" t="s">
        <v>179</v>
      </c>
      <c r="K26" s="2" t="s">
        <v>146</v>
      </c>
      <c r="L26" s="6">
        <v>1.51</v>
      </c>
      <c r="M26" s="6">
        <v>1.51</v>
      </c>
      <c r="N26" s="6">
        <f>L26*A26</f>
        <v>7.55</v>
      </c>
      <c r="O26" s="6">
        <f>M26*A26</f>
        <v>7.55</v>
      </c>
      <c r="P26" s="4"/>
      <c r="Q26" s="4" t="str">
        <f>IF(NOT(J26=""),A26&amp;","&amp;J26,"")</f>
        <v>5,497-5981-5-ND</v>
      </c>
      <c r="R26" t="str">
        <f>A26&amp;"x "&amp;D26</f>
        <v>5x 62A MOSFET N-CH</v>
      </c>
      <c r="S26" t="str">
        <f>IF(NOT(K26=""),K26&amp;"|"&amp;A26,"")</f>
        <v>511-STP62NS04Z|5</v>
      </c>
      <c r="T26" t="str">
        <f>I26&amp;" "&amp;A26</f>
        <v>STP75NS04Z 5</v>
      </c>
    </row>
    <row r="27" spans="1:20" ht="26.25" thickBot="1">
      <c r="A27" s="17">
        <f>LEN(C27)-LEN(SUBSTITUTE(C27,",",""))+1</f>
        <v>4</v>
      </c>
      <c r="B27" s="17" t="e">
        <f>LEN(#REF!)-LEN(SUBSTITUTE(#REF!,",",""))+1</f>
        <v>#REF!</v>
      </c>
      <c r="C27" s="4" t="s">
        <v>275</v>
      </c>
      <c r="D27" s="3" t="s">
        <v>190</v>
      </c>
      <c r="E27" s="3" t="s">
        <v>191</v>
      </c>
      <c r="F27" s="3" t="s">
        <v>192</v>
      </c>
      <c r="G27" s="3"/>
      <c r="H27" s="3" t="s">
        <v>20</v>
      </c>
      <c r="I27" s="3" t="s">
        <v>193</v>
      </c>
      <c r="J27" s="26" t="s">
        <v>203</v>
      </c>
      <c r="K27" s="2" t="s">
        <v>194</v>
      </c>
      <c r="L27" s="6">
        <v>2.62</v>
      </c>
      <c r="M27" s="6">
        <v>2.9</v>
      </c>
      <c r="N27" s="6">
        <f>L27*A27</f>
        <v>10.48</v>
      </c>
      <c r="O27" s="6">
        <f>M27*A27</f>
        <v>11.6</v>
      </c>
      <c r="P27" s="4"/>
      <c r="Q27" s="4" t="str">
        <f>IF(NOT(J27=""),A27&amp;","&amp;J27,"")</f>
        <v>4,ISL9V5036P3-F085-ND</v>
      </c>
      <c r="R27" t="str">
        <f>A27&amp;"x "&amp;D27</f>
        <v>4x Ignition IGBT</v>
      </c>
      <c r="S27" t="str">
        <f>IF(NOT(K27=""),K27&amp;"|"&amp;A27,"")</f>
        <v>512-ISL9V5036P3-F085
|4</v>
      </c>
      <c r="T27" t="str">
        <f>I27&amp;" "&amp;A27</f>
        <v>ISL9V5036P3-F085 4</v>
      </c>
    </row>
    <row r="28" spans="1:20" ht="16.5" thickBot="1">
      <c r="A28" s="17">
        <f>LEN(C28)-LEN(SUBSTITUTE(C28,",",""))+1</f>
        <v>1</v>
      </c>
      <c r="B28" s="17" t="e">
        <f>LEN(#REF!)-LEN(SUBSTITUTE(#REF!,",",""))+1</f>
        <v>#REF!</v>
      </c>
      <c r="C28" s="29" t="s">
        <v>256</v>
      </c>
      <c r="D28" s="3" t="s">
        <v>257</v>
      </c>
      <c r="E28" s="3" t="s">
        <v>258</v>
      </c>
      <c r="F28" s="3" t="s">
        <v>200</v>
      </c>
      <c r="G28" s="3"/>
      <c r="H28" s="3" t="s">
        <v>20</v>
      </c>
      <c r="I28" s="3" t="s">
        <v>259</v>
      </c>
      <c r="J28" s="27" t="s">
        <v>261</v>
      </c>
      <c r="K28" s="2" t="s">
        <v>260</v>
      </c>
      <c r="L28" s="6">
        <v>0.25</v>
      </c>
      <c r="M28" s="6">
        <v>0.28999999999999998</v>
      </c>
      <c r="N28" s="6">
        <f>L28*A28</f>
        <v>0.25</v>
      </c>
      <c r="O28" s="6">
        <f>M28*A28</f>
        <v>0.28999999999999998</v>
      </c>
      <c r="P28" s="4"/>
      <c r="Q28" s="4" t="str">
        <f>IF(NOT(J29=""),A28&amp;","&amp;J29,"")</f>
        <v>1,PN2222AFS-ND</v>
      </c>
      <c r="R28" t="str">
        <f>A28&amp;"x "&amp;D28</f>
        <v>1x PNP transistor</v>
      </c>
      <c r="S28" t="str">
        <f>IF(NOT(K29=""),K29&amp;"|"&amp;A28,"")</f>
        <v>512-PN2222ABU|1</v>
      </c>
      <c r="T28" t="str">
        <f>I29&amp;" "&amp;A28</f>
        <v>PN2222ABU 1</v>
      </c>
    </row>
    <row r="29" spans="1:20" ht="16.5" thickBot="1">
      <c r="A29" s="17">
        <f>LEN(C29)-LEN(SUBSTITUTE(C29,",",""))+1</f>
        <v>1</v>
      </c>
      <c r="B29" s="17" t="e">
        <f>LEN(#REF!)-LEN(SUBSTITUTE(#REF!,",",""))+1</f>
        <v>#REF!</v>
      </c>
      <c r="C29" s="4" t="s">
        <v>217</v>
      </c>
      <c r="D29" s="3" t="s">
        <v>199</v>
      </c>
      <c r="E29" s="3" t="s">
        <v>198</v>
      </c>
      <c r="F29" s="3" t="s">
        <v>200</v>
      </c>
      <c r="G29" s="3"/>
      <c r="H29" s="3" t="s">
        <v>20</v>
      </c>
      <c r="I29" s="3" t="s">
        <v>201</v>
      </c>
      <c r="J29" s="27" t="s">
        <v>204</v>
      </c>
      <c r="K29" s="2" t="s">
        <v>202</v>
      </c>
      <c r="L29" s="6">
        <v>0.25</v>
      </c>
      <c r="M29" s="6">
        <v>0.28999999999999998</v>
      </c>
      <c r="N29" s="6">
        <f>L29*A29</f>
        <v>0.25</v>
      </c>
      <c r="O29" s="6">
        <f>M29*A29</f>
        <v>0.28999999999999998</v>
      </c>
      <c r="P29" s="4"/>
      <c r="Q29" s="4" t="str">
        <f>IF(NOT(J28=""),A29&amp;","&amp;J28,"")</f>
        <v>1,PN2907ABUFS-ND</v>
      </c>
      <c r="R29" t="str">
        <f>A29&amp;"x "&amp;D29</f>
        <v>1x NPN transistor</v>
      </c>
      <c r="S29" t="str">
        <f>IF(NOT(K28=""),K28&amp;"|"&amp;A29,"")</f>
        <v>512-PN2907ABU|1</v>
      </c>
      <c r="T29" t="str">
        <f>I28&amp;" "&amp;A29</f>
        <v>PN2907ABU 1</v>
      </c>
    </row>
    <row r="30" spans="1:20" ht="16.5" thickBot="1">
      <c r="A30" s="15"/>
      <c r="B30" s="15"/>
      <c r="C30" s="4"/>
      <c r="D30" s="3"/>
      <c r="E30" s="3"/>
      <c r="F30" s="3"/>
      <c r="G30" s="3"/>
      <c r="H30" s="3"/>
      <c r="L30" s="3"/>
      <c r="M30" s="3"/>
      <c r="N30" s="3"/>
      <c r="O30" s="6"/>
      <c r="P30" s="4"/>
      <c r="Q30" s="4" t="e">
        <f>IF(NOT(#REF!=""),A30&amp;","&amp;#REF!,"")</f>
        <v>#REF!</v>
      </c>
      <c r="S30" t="e">
        <f>IF(NOT(#REF!=""),#REF!&amp;"|"&amp;A30,"")</f>
        <v>#REF!</v>
      </c>
      <c r="T30" t="e">
        <f>#REF!&amp;" "&amp;A30</f>
        <v>#REF!</v>
      </c>
    </row>
    <row r="31" spans="1:20" ht="16.5" thickBot="1">
      <c r="A31" s="17">
        <f>LEN(C31)-LEN(SUBSTITUTE(C31,",",""))+1</f>
        <v>1</v>
      </c>
      <c r="B31" s="17" t="e">
        <f>LEN(#REF!)-LEN(SUBSTITUTE(#REF!,",",""))+1</f>
        <v>#REF!</v>
      </c>
      <c r="C31" s="4" t="s">
        <v>174</v>
      </c>
      <c r="D31" s="3" t="s">
        <v>39</v>
      </c>
      <c r="E31" s="3" t="s">
        <v>40</v>
      </c>
      <c r="F31" s="3"/>
      <c r="G31" s="3"/>
      <c r="H31" s="3" t="s">
        <v>41</v>
      </c>
      <c r="I31" s="3" t="s">
        <v>168</v>
      </c>
      <c r="J31" s="2" t="s">
        <v>42</v>
      </c>
      <c r="K31" s="2" t="s">
        <v>218</v>
      </c>
      <c r="L31" s="5">
        <v>0.08</v>
      </c>
      <c r="M31" s="5">
        <v>0.11</v>
      </c>
      <c r="N31" s="6">
        <f>L31*A31</f>
        <v>0.08</v>
      </c>
      <c r="O31" s="6">
        <f>M31*A31</f>
        <v>0.11</v>
      </c>
      <c r="P31" s="4"/>
      <c r="Q31" s="4" t="str">
        <f>IF(NOT(J31=""),A31&amp;","&amp;J31,"")</f>
        <v>1,10.0KXBK-ND</v>
      </c>
      <c r="R31" t="str">
        <f>"Resistor - " &amp; A31&amp;"x "&amp;D31</f>
        <v>Resistor - 1x 10k</v>
      </c>
      <c r="S31" t="str">
        <f>IF(NOT(K31=""),K31&amp;"|"&amp;A31,"")</f>
        <v>603-MFR-25FBF52-10K|1</v>
      </c>
      <c r="T31" t="str">
        <f>I31&amp;" "&amp;A31</f>
        <v>MFR-25FBF52-10K 1</v>
      </c>
    </row>
    <row r="32" spans="1:20" ht="39" thickBot="1">
      <c r="A32" s="17"/>
      <c r="B32" s="17"/>
      <c r="C32" s="34" t="s">
        <v>285</v>
      </c>
      <c r="D32" s="3"/>
      <c r="E32" s="3"/>
      <c r="F32" s="3"/>
      <c r="G32" s="3"/>
      <c r="H32" s="3"/>
      <c r="I32" s="3"/>
      <c r="J32" s="2"/>
      <c r="K32" s="2"/>
      <c r="L32" s="5"/>
      <c r="M32" s="5"/>
      <c r="N32" s="6"/>
      <c r="O32" s="6"/>
      <c r="P32" s="4"/>
      <c r="Q32" s="4"/>
    </row>
    <row r="33" spans="1:20" ht="26.25" thickBot="1">
      <c r="A33" s="17">
        <f>LEN(C33)-LEN(SUBSTITUTE(C33,",",""))+1</f>
        <v>16</v>
      </c>
      <c r="B33" s="17" t="e">
        <f>LEN(#REF!)-LEN(SUBSTITUTE(#REF!,",",""))+1</f>
        <v>#REF!</v>
      </c>
      <c r="C33" s="4" t="s">
        <v>283</v>
      </c>
      <c r="D33" s="3" t="s">
        <v>43</v>
      </c>
      <c r="E33" s="3" t="s">
        <v>44</v>
      </c>
      <c r="F33" s="3"/>
      <c r="G33" s="3"/>
      <c r="H33" s="3" t="s">
        <v>41</v>
      </c>
      <c r="I33" s="3" t="s">
        <v>167</v>
      </c>
      <c r="J33" s="2" t="s">
        <v>45</v>
      </c>
      <c r="K33" s="2" t="s">
        <v>219</v>
      </c>
      <c r="L33" s="5">
        <v>0.06</v>
      </c>
      <c r="M33" s="5">
        <v>0.11</v>
      </c>
      <c r="N33" s="6">
        <f>L33*A33</f>
        <v>0.96</v>
      </c>
      <c r="O33" s="6">
        <f>M33*A33</f>
        <v>1.76</v>
      </c>
      <c r="P33" s="4"/>
      <c r="Q33" s="4" t="str">
        <f>IF(NOT(J33=""),A33&amp;","&amp;J33,"")</f>
        <v>16,1.00KXBK-ND</v>
      </c>
      <c r="R33" t="str">
        <f>"Resistor - " &amp; A33&amp;"x "&amp;D33</f>
        <v>Resistor - 16x 1k</v>
      </c>
      <c r="S33" t="str">
        <f>IF(NOT(K33=""),K33&amp;"|"&amp;A33,"")</f>
        <v>603-MFR-25FBF52-1K|16</v>
      </c>
      <c r="T33" t="str">
        <f>I33&amp;" "&amp;A33</f>
        <v>MFR-25FBF52-1K 16</v>
      </c>
    </row>
    <row r="34" spans="1:20" ht="16.5" thickBot="1">
      <c r="A34" s="17">
        <f>LEN(C34)-LEN(SUBSTITUTE(C34,",",""))+1</f>
        <v>2</v>
      </c>
      <c r="B34" s="17" t="e">
        <f>LEN(#REF!)-LEN(SUBSTITUTE(#REF!,",",""))+1</f>
        <v>#REF!</v>
      </c>
      <c r="C34" s="11" t="s">
        <v>281</v>
      </c>
      <c r="D34" s="12">
        <v>680</v>
      </c>
      <c r="E34" s="7" t="s">
        <v>103</v>
      </c>
      <c r="F34" s="3"/>
      <c r="G34" s="12"/>
      <c r="H34" s="12" t="s">
        <v>104</v>
      </c>
      <c r="I34" s="7" t="s">
        <v>165</v>
      </c>
      <c r="J34" s="2" t="s">
        <v>102</v>
      </c>
      <c r="K34" s="2" t="s">
        <v>148</v>
      </c>
      <c r="L34" s="13">
        <v>0.22</v>
      </c>
      <c r="M34" s="13">
        <v>0.15</v>
      </c>
      <c r="N34" s="6">
        <f>L34*A34</f>
        <v>0.44</v>
      </c>
      <c r="O34" s="6">
        <f>M34*A34</f>
        <v>0.3</v>
      </c>
      <c r="P34" s="11" t="s">
        <v>82</v>
      </c>
      <c r="Q34" s="4" t="str">
        <f>IF(NOT(J34=""),A34&amp;","&amp;J34,"")</f>
        <v>2,A105963CT-ND</v>
      </c>
      <c r="R34" t="str">
        <f>"Resistor - " &amp; A34&amp;"x "&amp;D34</f>
        <v>Resistor - 2x 680</v>
      </c>
      <c r="S34" t="str">
        <f>IF(NOT(K34=""),K34&amp;"|"&amp;A34,"")</f>
        <v>279-LR1F680R|2</v>
      </c>
      <c r="T34" t="str">
        <f>I34&amp;" "&amp;A34</f>
        <v>1622545-1 2</v>
      </c>
    </row>
    <row r="35" spans="1:20" ht="26.25" thickBot="1">
      <c r="A35" s="17">
        <f>LEN(C35)-LEN(SUBSTITUTE(C35,",",""))+1</f>
        <v>6</v>
      </c>
      <c r="B35" s="17" t="e">
        <f>LEN(#REF!)-LEN(SUBSTITUTE(#REF!,",",""))+1</f>
        <v>#REF!</v>
      </c>
      <c r="C35" s="4" t="s">
        <v>163</v>
      </c>
      <c r="D35" s="3">
        <v>470</v>
      </c>
      <c r="E35" s="3" t="s">
        <v>46</v>
      </c>
      <c r="F35" s="3"/>
      <c r="G35" s="3"/>
      <c r="H35" s="3" t="s">
        <v>47</v>
      </c>
      <c r="I35" s="7" t="s">
        <v>48</v>
      </c>
      <c r="J35" s="2" t="s">
        <v>49</v>
      </c>
      <c r="K35" s="2" t="s">
        <v>149</v>
      </c>
      <c r="L35" s="5">
        <v>0.11</v>
      </c>
      <c r="M35" s="13">
        <v>0.15</v>
      </c>
      <c r="N35" s="6">
        <f>L35*A35</f>
        <v>0.66</v>
      </c>
      <c r="O35" s="6">
        <f>M35*A35</f>
        <v>0.89999999999999991</v>
      </c>
      <c r="P35" s="4"/>
      <c r="Q35" s="4" t="str">
        <f>IF(NOT(J35=""),A35&amp;","&amp;J35,"")</f>
        <v>6,RNF14FTD470RCT-ND</v>
      </c>
      <c r="R35" t="str">
        <f>"Resistor - " &amp; A35&amp;"x "&amp;D35</f>
        <v>Resistor - 6x 470</v>
      </c>
      <c r="S35" t="str">
        <f>IF(NOT(K35=""),K35&amp;"|"&amp;A35,"")</f>
        <v>279-LR1F470R|6</v>
      </c>
      <c r="T35" t="str">
        <f>I35&amp;" "&amp;A35</f>
        <v>RNF14FTD470R 6</v>
      </c>
    </row>
    <row r="36" spans="1:20" ht="26.25" thickBot="1">
      <c r="A36" s="17">
        <f t="shared" ref="A36:A37" si="1">LEN(C36)-LEN(SUBSTITUTE(C36,",",""))+1</f>
        <v>7</v>
      </c>
      <c r="B36" s="17" t="e">
        <f>LEN(#REF!)-LEN(SUBSTITUTE(#REF!,",",""))+1</f>
        <v>#REF!</v>
      </c>
      <c r="C36" s="4" t="s">
        <v>273</v>
      </c>
      <c r="D36" s="3" t="s">
        <v>170</v>
      </c>
      <c r="E36" s="3" t="s">
        <v>171</v>
      </c>
      <c r="F36" s="3" t="s">
        <v>50</v>
      </c>
      <c r="G36" s="3"/>
      <c r="H36" s="3" t="s">
        <v>41</v>
      </c>
      <c r="I36" s="3" t="s">
        <v>172</v>
      </c>
      <c r="J36" s="2" t="s">
        <v>169</v>
      </c>
      <c r="K36" s="2" t="s">
        <v>173</v>
      </c>
      <c r="L36" s="5">
        <v>0.14000000000000001</v>
      </c>
      <c r="M36" s="5">
        <v>0.16</v>
      </c>
      <c r="N36" s="6">
        <f>L36*A36</f>
        <v>0.98000000000000009</v>
      </c>
      <c r="O36" s="6">
        <f>M36*A36</f>
        <v>1.1200000000000001</v>
      </c>
      <c r="P36" s="4"/>
      <c r="Q36" s="4" t="str">
        <f>IF(NOT(J36=""),A36&amp;","&amp;J36,"")</f>
        <v>7,2.49KXBK-ND</v>
      </c>
      <c r="R36" t="str">
        <f>"Resistor - " &amp; A36&amp;"x "&amp;D36</f>
        <v>Resistor - 7x 1% 2.49k</v>
      </c>
      <c r="S36" t="str">
        <f>IF(NOT(K36=""),K36&amp;"|"&amp;A36,"")</f>
        <v>603-MFR-25FBF52-2K49|7</v>
      </c>
      <c r="T36" t="str">
        <f>I36&amp;" "&amp;A36</f>
        <v>MFR-25FBF52-2K49 7</v>
      </c>
    </row>
    <row r="37" spans="1:20" ht="16.5" thickBot="1">
      <c r="A37" s="17">
        <f t="shared" si="1"/>
        <v>3</v>
      </c>
      <c r="B37" s="17" t="e">
        <f>LEN(#REF!)-LEN(SUBSTITUTE(#REF!,",",""))+1</f>
        <v>#REF!</v>
      </c>
      <c r="C37" s="4" t="s">
        <v>253</v>
      </c>
      <c r="D37" s="3" t="s">
        <v>94</v>
      </c>
      <c r="E37" s="3" t="s">
        <v>51</v>
      </c>
      <c r="F37" s="3"/>
      <c r="G37" s="3"/>
      <c r="H37" s="3" t="s">
        <v>41</v>
      </c>
      <c r="I37" s="3" t="s">
        <v>52</v>
      </c>
      <c r="J37" s="2" t="s">
        <v>53</v>
      </c>
      <c r="K37" s="2" t="s">
        <v>150</v>
      </c>
      <c r="L37" s="5">
        <v>0.46</v>
      </c>
      <c r="M37" s="5">
        <v>1.1000000000000001</v>
      </c>
      <c r="N37" s="6">
        <f>L37*A37</f>
        <v>1.3800000000000001</v>
      </c>
      <c r="O37" s="6">
        <f>M37*A37</f>
        <v>3.3000000000000003</v>
      </c>
      <c r="P37" s="4" t="s">
        <v>81</v>
      </c>
      <c r="Q37" s="4" t="str">
        <f>IF(NOT(J37=""),A37&amp;","&amp;J37,"")</f>
        <v>3,3.9KADCT-ND</v>
      </c>
      <c r="R37" t="str">
        <f>"Resistor - " &amp; A37&amp;"x "&amp;D37</f>
        <v>Resistor - 3x 0.1% 3.9k</v>
      </c>
      <c r="S37" t="str">
        <f>IF(NOT(K37=""),K37&amp;"|"&amp;A37,"")</f>
        <v>279-H83K9BDA|3</v>
      </c>
      <c r="T37" t="str">
        <f>I37&amp;" "&amp;A37</f>
        <v>MFP-25BRD52-3K9 3</v>
      </c>
    </row>
    <row r="38" spans="1:20" ht="16.5" thickBot="1">
      <c r="A38" s="17">
        <f t="shared" ref="A38" si="2">LEN(C38)-LEN(SUBSTITUTE(C38,",",""))+1</f>
        <v>9</v>
      </c>
      <c r="B38" s="17" t="e">
        <f>LEN(#REF!)-LEN(SUBSTITUTE(#REF!,",",""))+1</f>
        <v>#REF!</v>
      </c>
      <c r="C38" s="4" t="s">
        <v>284</v>
      </c>
      <c r="D38" s="3" t="s">
        <v>54</v>
      </c>
      <c r="E38" s="3" t="s">
        <v>55</v>
      </c>
      <c r="F38" s="3"/>
      <c r="G38" s="3"/>
      <c r="H38" s="3" t="s">
        <v>41</v>
      </c>
      <c r="I38" s="3" t="s">
        <v>183</v>
      </c>
      <c r="J38" s="2" t="s">
        <v>56</v>
      </c>
      <c r="K38" s="2" t="s">
        <v>184</v>
      </c>
      <c r="L38" s="5">
        <v>0.1</v>
      </c>
      <c r="M38" s="5">
        <v>0.1</v>
      </c>
      <c r="N38" s="6">
        <f>L38*A38</f>
        <v>0.9</v>
      </c>
      <c r="O38" s="6">
        <f>M38*A38</f>
        <v>0.9</v>
      </c>
      <c r="P38" s="4"/>
      <c r="Q38" s="4" t="str">
        <f>IF(NOT(J38=""),A38&amp;","&amp;J38,"")</f>
        <v>9,100KXBK-ND</v>
      </c>
      <c r="R38" t="str">
        <f>"Resistor - " &amp; A38&amp;"x "&amp;D38</f>
        <v>Resistor - 9x 100k</v>
      </c>
      <c r="S38" t="str">
        <f>IF(NOT(K38=""),K38&amp;"|"&amp;A38,"")</f>
        <v>603-FMF-25FTF52100K|9</v>
      </c>
      <c r="T38" t="str">
        <f>I38&amp;" "&amp;A38</f>
        <v>MFR-25FBF52-100K 9</v>
      </c>
    </row>
    <row r="39" spans="1:20" ht="16.5" thickBot="1">
      <c r="A39" s="17">
        <f>LEN(C39)-LEN(SUBSTITUTE(C39,",",""))+1</f>
        <v>4</v>
      </c>
      <c r="B39" s="17" t="e">
        <f>LEN(#REF!)-LEN(SUBSTITUTE(#REF!,",",""))+1</f>
        <v>#REF!</v>
      </c>
      <c r="C39" s="4" t="s">
        <v>274</v>
      </c>
      <c r="D39" s="3">
        <v>160</v>
      </c>
      <c r="E39" s="3" t="s">
        <v>57</v>
      </c>
      <c r="F39" s="3"/>
      <c r="G39" s="3"/>
      <c r="H39" s="3" t="s">
        <v>41</v>
      </c>
      <c r="I39" s="3" t="s">
        <v>58</v>
      </c>
      <c r="J39" s="2" t="s">
        <v>59</v>
      </c>
      <c r="K39" s="2" t="s">
        <v>151</v>
      </c>
      <c r="L39" s="5">
        <v>0.27</v>
      </c>
      <c r="M39" s="5">
        <v>0.23</v>
      </c>
      <c r="N39" s="6">
        <f>L39*A39</f>
        <v>1.08</v>
      </c>
      <c r="O39" s="6">
        <f>M39*A39</f>
        <v>0.92</v>
      </c>
      <c r="P39" s="4"/>
      <c r="Q39" s="4" t="str">
        <f>IF(NOT(J39=""),A39&amp;","&amp;J39,"")</f>
        <v>4,160YCT-ND</v>
      </c>
      <c r="R39" t="str">
        <f>"Resistor - " &amp; A39&amp;"x "&amp;D39</f>
        <v>Resistor - 4x 160</v>
      </c>
      <c r="S39" t="str">
        <f>IF(NOT(K39=""),K39&amp;"|"&amp;A39,"")</f>
        <v>594-5083NW160R0J|4</v>
      </c>
      <c r="T39" t="str">
        <f>I39&amp;" "&amp;A39</f>
        <v>FMP200FRF52-160R 4</v>
      </c>
    </row>
    <row r="40" spans="1:20" ht="26.25" thickBot="1">
      <c r="A40" s="17">
        <f>LEN(C40)-LEN(SUBSTITUTE(C40,",",""))+1</f>
        <v>2</v>
      </c>
      <c r="B40" s="17" t="e">
        <f>LEN(#REF!)-LEN(SUBSTITUTE(#REF!,",",""))+1</f>
        <v>#REF!</v>
      </c>
      <c r="C40" s="4" t="s">
        <v>254</v>
      </c>
      <c r="D40" s="3" t="s">
        <v>186</v>
      </c>
      <c r="E40" s="3" t="s">
        <v>187</v>
      </c>
      <c r="F40" s="3"/>
      <c r="G40" s="3"/>
      <c r="H40" s="3" t="s">
        <v>41</v>
      </c>
      <c r="I40" s="3" t="s">
        <v>188</v>
      </c>
      <c r="J40" s="2"/>
      <c r="K40" s="2" t="s">
        <v>189</v>
      </c>
      <c r="L40" s="5"/>
      <c r="M40" s="5">
        <v>0.1</v>
      </c>
      <c r="N40" s="6">
        <f>L40*A40</f>
        <v>0</v>
      </c>
      <c r="O40" s="6">
        <f>M40*A40</f>
        <v>0.2</v>
      </c>
      <c r="P40" s="4"/>
      <c r="Q40" s="4" t="str">
        <f>IF(NOT(J40=""),A40&amp;","&amp;J40,"")</f>
        <v/>
      </c>
      <c r="R40" t="str">
        <f>"Resistor - " &amp; A40&amp;"x "&amp;D40</f>
        <v>Resistor - 2x 7.5k</v>
      </c>
      <c r="S40" t="str">
        <f>IF(NOT(K40=""),K40&amp;"|"&amp;A40,"")</f>
        <v>603-MFR-25FBF52-7K5
|2</v>
      </c>
      <c r="T40" t="str">
        <f>I40&amp;" "&amp;A40</f>
        <v>MFR-25FBF52-7K5 2</v>
      </c>
    </row>
    <row r="41" spans="1:20" ht="16.5" thickBot="1">
      <c r="A41" s="15"/>
      <c r="B41" s="15"/>
      <c r="C41" s="4"/>
      <c r="D41" s="3"/>
      <c r="E41" s="3"/>
      <c r="F41" s="3"/>
      <c r="G41" s="3"/>
      <c r="H41" s="3"/>
      <c r="I41" s="3"/>
      <c r="J41" s="2"/>
      <c r="K41" s="2"/>
      <c r="L41" s="3"/>
      <c r="M41" s="3"/>
      <c r="N41" s="3"/>
      <c r="O41" s="6"/>
      <c r="P41" s="4"/>
      <c r="Q41" s="4" t="str">
        <f>IF(NOT(J41=""),A41&amp;","&amp;J41,"")</f>
        <v/>
      </c>
      <c r="S41" t="str">
        <f>IF(NOT(K41=""),K41&amp;"|"&amp;A41,"")</f>
        <v/>
      </c>
      <c r="T41" t="str">
        <f>I41&amp;" "&amp;A41</f>
        <v xml:space="preserve"> </v>
      </c>
    </row>
    <row r="42" spans="1:20" ht="26.25" thickBot="1">
      <c r="A42" s="17">
        <v>1</v>
      </c>
      <c r="B42" s="17" t="e">
        <f>LEN(#REF!)-LEN(SUBSTITUTE(#REF!,",",""))+1</f>
        <v>#REF!</v>
      </c>
      <c r="C42" s="4" t="s">
        <v>60</v>
      </c>
      <c r="D42" s="3" t="s">
        <v>62</v>
      </c>
      <c r="E42" s="3" t="s">
        <v>63</v>
      </c>
      <c r="F42" s="3" t="s">
        <v>64</v>
      </c>
      <c r="G42" s="3"/>
      <c r="H42" s="3" t="s">
        <v>65</v>
      </c>
      <c r="I42" s="3" t="s">
        <v>62</v>
      </c>
      <c r="J42" s="2" t="s">
        <v>62</v>
      </c>
      <c r="K42" s="2" t="s">
        <v>147</v>
      </c>
      <c r="L42" s="5">
        <v>1.68</v>
      </c>
      <c r="M42" s="5">
        <v>1.67</v>
      </c>
      <c r="N42" s="6">
        <f>L42*A42</f>
        <v>1.68</v>
      </c>
      <c r="O42" s="6">
        <f>M42*A42</f>
        <v>1.67</v>
      </c>
      <c r="P42" s="4"/>
      <c r="Q42" s="4" t="str">
        <f>IF(NOT(J42=""),A42&amp;","&amp;J42,"")</f>
        <v>1,LM2940T-5.0/NOPB</v>
      </c>
      <c r="R42" t="str">
        <f>A42&amp;"x "&amp;D42</f>
        <v>1x LM2940T-5.0/NOPB</v>
      </c>
      <c r="S42" t="str">
        <f>IF(NOT(K42=""),K42&amp;"|"&amp;A42,"")</f>
        <v>926-LM2940T-5.0/NOPB|1</v>
      </c>
      <c r="T42" t="str">
        <f>I42&amp;" "&amp;A42</f>
        <v>LM2940T-5.0/NOPB 1</v>
      </c>
    </row>
    <row r="43" spans="1:20" ht="16.5" thickBot="1">
      <c r="A43" s="17">
        <v>1</v>
      </c>
      <c r="B43" s="17">
        <v>1</v>
      </c>
      <c r="C43" s="4" t="s">
        <v>262</v>
      </c>
      <c r="D43" s="3" t="s">
        <v>263</v>
      </c>
      <c r="E43" s="3" t="s">
        <v>264</v>
      </c>
      <c r="F43" s="3" t="s">
        <v>265</v>
      </c>
      <c r="G43" s="3"/>
      <c r="H43" s="3" t="s">
        <v>38</v>
      </c>
      <c r="I43" s="3" t="s">
        <v>263</v>
      </c>
      <c r="J43" s="30" t="s">
        <v>266</v>
      </c>
      <c r="K43" s="2" t="s">
        <v>267</v>
      </c>
      <c r="L43" s="5">
        <v>0.59</v>
      </c>
      <c r="M43" s="5">
        <v>0.56999999999999995</v>
      </c>
      <c r="N43" s="6">
        <v>0.59</v>
      </c>
      <c r="O43" s="6">
        <v>0.56999999999999995</v>
      </c>
      <c r="P43" s="4"/>
      <c r="Q43" s="4" t="s">
        <v>268</v>
      </c>
      <c r="R43" t="s">
        <v>269</v>
      </c>
      <c r="S43" t="s">
        <v>270</v>
      </c>
      <c r="T43" t="s">
        <v>271</v>
      </c>
    </row>
    <row r="44" spans="1:20" ht="26.25" thickBot="1">
      <c r="A44" s="17">
        <v>1</v>
      </c>
      <c r="B44" s="17" t="e">
        <f>LEN(#REF!)-LEN(SUBSTITUTE(#REF!,",",""))+1</f>
        <v>#REF!</v>
      </c>
      <c r="C44" s="21" t="s">
        <v>229</v>
      </c>
      <c r="D44" s="3" t="s">
        <v>220</v>
      </c>
      <c r="E44" s="3" t="s">
        <v>221</v>
      </c>
      <c r="F44" s="3" t="s">
        <v>222</v>
      </c>
      <c r="G44" s="3"/>
      <c r="H44" s="3" t="s">
        <v>61</v>
      </c>
      <c r="I44" s="3" t="s">
        <v>226</v>
      </c>
      <c r="J44" s="28" t="s">
        <v>227</v>
      </c>
      <c r="K44" s="2" t="s">
        <v>228</v>
      </c>
      <c r="L44" s="6">
        <v>12.79</v>
      </c>
      <c r="M44" s="6">
        <v>19.739999999999998</v>
      </c>
      <c r="N44" s="6">
        <f>L44*A44</f>
        <v>12.79</v>
      </c>
      <c r="O44" s="6">
        <f>M44*A44</f>
        <v>19.739999999999998</v>
      </c>
      <c r="P44" s="4"/>
      <c r="Q44" s="4" t="str">
        <f>IF(NOT(J44=""),A44&amp;","&amp;J44,"")</f>
        <v>1,MPXH6115A6U-ND</v>
      </c>
      <c r="R44" t="str">
        <f>A44&amp;"x "&amp;D44</f>
        <v>1x Baro sensor</v>
      </c>
      <c r="S44" t="str">
        <f>IF(NOT(K44=""),K44&amp;"|"&amp;A44,"")</f>
        <v>841-MPXH6115A6U|1</v>
      </c>
      <c r="T44" t="str">
        <f>I44&amp;" "&amp;A44</f>
        <v>MPXH6115A6U 1</v>
      </c>
    </row>
    <row r="45" spans="1:20" ht="26.25" thickBot="1">
      <c r="A45" s="17">
        <v>1</v>
      </c>
      <c r="B45" s="17" t="e">
        <f>LEN(#REF!)-LEN(SUBSTITUTE(#REF!,",",""))+1</f>
        <v>#REF!</v>
      </c>
      <c r="C45" s="4" t="s">
        <v>76</v>
      </c>
      <c r="D45" s="3" t="s">
        <v>185</v>
      </c>
      <c r="E45" s="3" t="s">
        <v>75</v>
      </c>
      <c r="F45" s="3" t="s">
        <v>74</v>
      </c>
      <c r="G45" s="3"/>
      <c r="H45" s="3" t="s">
        <v>61</v>
      </c>
      <c r="I45" s="3" t="s">
        <v>133</v>
      </c>
      <c r="J45" s="2" t="s">
        <v>73</v>
      </c>
      <c r="K45" s="2" t="s">
        <v>134</v>
      </c>
      <c r="L45" s="6">
        <v>15.41</v>
      </c>
      <c r="M45" s="6">
        <v>15.37</v>
      </c>
      <c r="N45" s="6">
        <f>L45*A45</f>
        <v>15.41</v>
      </c>
      <c r="O45" s="6">
        <f>M45*A45</f>
        <v>15.37</v>
      </c>
      <c r="P45" s="4"/>
      <c r="Q45" s="4" t="str">
        <f>IF(NOT(J45=""),A45&amp;","&amp;J45,"")</f>
        <v>1,MPX4250AP-ND</v>
      </c>
      <c r="R45" t="str">
        <f>A45&amp;"x "&amp;D45</f>
        <v>1x 2.5-Bar MAP sensor</v>
      </c>
      <c r="S45" t="str">
        <f>IF(NOT(K45=""),K45&amp;"|"&amp;A45,"")</f>
        <v>841-MPX4250AP|1</v>
      </c>
      <c r="T45" t="str">
        <f>I45&amp;" "&amp;A45</f>
        <v>MPX4250AP 1</v>
      </c>
    </row>
    <row r="46" spans="1:20" ht="26.25" thickBot="1">
      <c r="A46" s="17">
        <v>2</v>
      </c>
      <c r="B46" s="17" t="e">
        <f>LEN(#REF!)-LEN(SUBSTITUTE(#REF!,",",""))+1</f>
        <v>#REF!</v>
      </c>
      <c r="C46" s="11" t="s">
        <v>164</v>
      </c>
      <c r="D46" s="12" t="s">
        <v>97</v>
      </c>
      <c r="E46" s="12" t="s">
        <v>98</v>
      </c>
      <c r="F46" s="3" t="s">
        <v>99</v>
      </c>
      <c r="G46" s="12"/>
      <c r="H46" s="12" t="s">
        <v>66</v>
      </c>
      <c r="I46" s="12" t="s">
        <v>97</v>
      </c>
      <c r="J46" s="12" t="s">
        <v>100</v>
      </c>
      <c r="K46" s="12" t="s">
        <v>135</v>
      </c>
      <c r="L46" s="19">
        <v>2.92</v>
      </c>
      <c r="M46" s="19">
        <v>2.92</v>
      </c>
      <c r="N46" s="6">
        <f>L46*A46</f>
        <v>5.84</v>
      </c>
      <c r="O46" s="6">
        <f>M46*A46</f>
        <v>5.84</v>
      </c>
      <c r="P46" s="11"/>
      <c r="Q46" s="4" t="str">
        <f>IF(NOT(J46=""),A46&amp;","&amp;J46,"")</f>
        <v>2,TC4424EPA-ND</v>
      </c>
      <c r="R46" t="str">
        <f>A46&amp;"x "&amp;D46</f>
        <v>2x TC4424EPA</v>
      </c>
      <c r="S46" t="str">
        <f>IF(NOT(K46=""),K46&amp;"|"&amp;A46,"")</f>
        <v>579-TC4424EPA|2</v>
      </c>
      <c r="T46" t="str">
        <f>I46&amp;" "&amp;A46</f>
        <v>TC4424EPA 2</v>
      </c>
    </row>
    <row r="47" spans="1:20" ht="16.5" thickBot="1">
      <c r="A47" s="17">
        <v>1</v>
      </c>
      <c r="B47" s="23">
        <v>1</v>
      </c>
      <c r="C47" s="11" t="s">
        <v>127</v>
      </c>
      <c r="D47" s="12" t="s">
        <v>157</v>
      </c>
      <c r="E47" s="3" t="s">
        <v>158</v>
      </c>
      <c r="F47" s="3" t="s">
        <v>99</v>
      </c>
      <c r="G47" s="12"/>
      <c r="H47" s="12" t="s">
        <v>159</v>
      </c>
      <c r="I47" s="12" t="s">
        <v>157</v>
      </c>
      <c r="J47" s="12" t="s">
        <v>160</v>
      </c>
      <c r="K47" s="2" t="s">
        <v>161</v>
      </c>
      <c r="L47" s="6">
        <v>2.4</v>
      </c>
      <c r="M47" s="6">
        <v>2.4</v>
      </c>
      <c r="N47" s="6">
        <f>L47*A47</f>
        <v>2.4</v>
      </c>
      <c r="O47" s="6">
        <f>M47*A47</f>
        <v>2.4</v>
      </c>
      <c r="P47" s="4"/>
      <c r="Q47" s="4" t="str">
        <f>IF(NOT(J47=""),A47&amp;","&amp;J47,"")</f>
        <v>1,F2720-ND</v>
      </c>
      <c r="R47" t="str">
        <f>A47&amp;"x "&amp;D47</f>
        <v>1x SP721APP</v>
      </c>
      <c r="S47" t="str">
        <f>IF(NOT(K47=""),K47&amp;"|"&amp;A47,"")</f>
        <v>576-SP721APP|1</v>
      </c>
      <c r="T47" t="str">
        <f>I47&amp;" "&amp;A47</f>
        <v>SP721APP 1</v>
      </c>
    </row>
    <row r="48" spans="1:20" ht="16.5" thickBot="1">
      <c r="A48" s="15"/>
      <c r="B48" s="15"/>
      <c r="C48" s="4"/>
      <c r="D48" s="3"/>
      <c r="E48" s="3"/>
      <c r="F48" s="3"/>
      <c r="G48" s="3"/>
      <c r="H48" s="4"/>
      <c r="I48" s="8"/>
      <c r="J48" s="3"/>
      <c r="K48" s="3"/>
      <c r="L48" s="1"/>
      <c r="M48" s="1"/>
      <c r="N48" s="9"/>
      <c r="O48" s="6"/>
      <c r="P48" s="9"/>
      <c r="Q48" s="4" t="str">
        <f>IF(NOT(J48=""),A48&amp;","&amp;J48,"")</f>
        <v/>
      </c>
      <c r="S48" t="str">
        <f>IF(NOT(K48=""),K48&amp;"|"&amp;A48,"")</f>
        <v/>
      </c>
    </row>
    <row r="49" spans="1:20" ht="16.5" thickBot="1">
      <c r="A49" s="15"/>
      <c r="B49" s="15"/>
      <c r="C49" s="4" t="s">
        <v>247</v>
      </c>
      <c r="D49" s="3"/>
      <c r="E49" s="3"/>
      <c r="F49" s="3"/>
      <c r="G49" s="3"/>
      <c r="H49" s="4"/>
      <c r="I49" s="8"/>
      <c r="J49" s="3"/>
      <c r="K49" s="3"/>
      <c r="L49" s="1"/>
      <c r="M49" s="1"/>
      <c r="N49" s="9"/>
      <c r="O49" s="6"/>
      <c r="P49" s="9"/>
      <c r="Q49" s="4" t="str">
        <f>IF(NOT(J49=""),A49&amp;","&amp;J49,"")</f>
        <v/>
      </c>
      <c r="S49" t="str">
        <f>IF(NOT(K49=""),K49&amp;"|"&amp;A49,"")</f>
        <v/>
      </c>
    </row>
    <row r="50" spans="1:20" ht="25.5" customHeight="1" thickBot="1">
      <c r="A50" s="17">
        <v>1</v>
      </c>
      <c r="B50" s="23"/>
      <c r="C50" s="11" t="s">
        <v>249</v>
      </c>
      <c r="D50" s="12" t="s">
        <v>250</v>
      </c>
      <c r="E50" s="3" t="s">
        <v>248</v>
      </c>
      <c r="F50" s="3" t="s">
        <v>99</v>
      </c>
      <c r="G50" s="12"/>
      <c r="H50" s="12"/>
      <c r="I50" s="12"/>
      <c r="J50" s="12"/>
      <c r="K50" s="2"/>
      <c r="L50" s="6"/>
      <c r="M50" s="6"/>
      <c r="N50" s="6"/>
      <c r="O50" s="6"/>
      <c r="P50" s="4"/>
      <c r="Q50" s="4"/>
    </row>
    <row r="51" spans="1:20" ht="16.5" thickBot="1">
      <c r="A51" s="17">
        <v>6</v>
      </c>
      <c r="B51" s="23">
        <v>1</v>
      </c>
      <c r="C51" s="11" t="s">
        <v>236</v>
      </c>
      <c r="D51" s="12" t="s">
        <v>237</v>
      </c>
      <c r="E51" s="3" t="s">
        <v>238</v>
      </c>
      <c r="F51" s="3"/>
      <c r="G51" s="12"/>
      <c r="H51" s="12" t="s">
        <v>197</v>
      </c>
      <c r="I51" s="12" t="s">
        <v>239</v>
      </c>
      <c r="J51" s="12" t="s">
        <v>240</v>
      </c>
      <c r="K51" s="2" t="s">
        <v>241</v>
      </c>
      <c r="L51" s="6">
        <v>0.16</v>
      </c>
      <c r="M51" s="6">
        <v>0.18099999999999999</v>
      </c>
      <c r="N51" s="6">
        <f>L51*A51</f>
        <v>0.96</v>
      </c>
      <c r="O51" s="6">
        <f>M51*A51</f>
        <v>1.0859999999999999</v>
      </c>
      <c r="P51" s="4"/>
      <c r="Q51" s="4" t="str">
        <f>IF(NOT(J51=""),A51&amp;","&amp;J51,"")</f>
        <v>6,WM9154-ND</v>
      </c>
      <c r="R51" t="str">
        <f>A51&amp;"x "&amp;D51</f>
        <v>6x Female pin</v>
      </c>
      <c r="S51" t="str">
        <f>IF(NOT(K51=""),K51&amp;"|"&amp;A51,"")</f>
        <v>538-39-00-0078|6</v>
      </c>
      <c r="T51" t="str">
        <f>I51&amp;" "&amp;A51</f>
        <v>39-00-0078 6</v>
      </c>
    </row>
    <row r="52" spans="1:20" ht="16.5" thickBot="1">
      <c r="A52" s="17">
        <v>1</v>
      </c>
      <c r="B52" s="23">
        <v>1</v>
      </c>
      <c r="C52" s="11" t="s">
        <v>235</v>
      </c>
      <c r="D52" s="12" t="s">
        <v>243</v>
      </c>
      <c r="E52" s="3" t="s">
        <v>242</v>
      </c>
      <c r="F52" s="3"/>
      <c r="G52" s="12"/>
      <c r="H52" s="12" t="s">
        <v>197</v>
      </c>
      <c r="I52" s="12" t="s">
        <v>244</v>
      </c>
      <c r="J52" s="12" t="s">
        <v>246</v>
      </c>
      <c r="K52" s="2" t="s">
        <v>245</v>
      </c>
      <c r="L52" s="6">
        <v>0.33</v>
      </c>
      <c r="M52" s="6">
        <v>0.38200000000000001</v>
      </c>
      <c r="N52" s="6">
        <f>L52*A52</f>
        <v>0.33</v>
      </c>
      <c r="O52" s="6">
        <f>M52*A52</f>
        <v>0.38200000000000001</v>
      </c>
      <c r="P52" s="4"/>
      <c r="Q52" s="4" t="str">
        <f>IF(NOT(J52=""),A52&amp;","&amp;J52,"")</f>
        <v>1,WM3702-ND</v>
      </c>
      <c r="R52" t="str">
        <f>A52&amp;"x "&amp;D52</f>
        <v>1x 6-POS connector</v>
      </c>
      <c r="S52" t="str">
        <f>IF(NOT(K52=""),K52&amp;"|"&amp;A52,"")</f>
        <v>538-39-01-2060|1</v>
      </c>
      <c r="T52" t="str">
        <f>I52&amp;" "&amp;A52</f>
        <v>39-01-2060 1</v>
      </c>
    </row>
    <row r="53" spans="1:20" ht="16.5" thickBot="1">
      <c r="A53" s="15"/>
      <c r="B53" s="23"/>
      <c r="C53" s="11"/>
      <c r="D53" s="12"/>
      <c r="E53" s="3"/>
      <c r="F53" s="3"/>
      <c r="G53" s="12"/>
      <c r="H53" s="12"/>
      <c r="I53" s="12"/>
      <c r="J53" s="12"/>
      <c r="K53" s="2"/>
      <c r="L53" s="6"/>
      <c r="M53" s="6"/>
      <c r="N53" s="6"/>
      <c r="O53" s="6"/>
      <c r="P53" s="4"/>
      <c r="Q53" s="4"/>
    </row>
    <row r="54" spans="1:20" ht="16.5" thickBot="1">
      <c r="A54" s="15"/>
      <c r="B54" s="23"/>
      <c r="C54" s="11" t="s">
        <v>277</v>
      </c>
      <c r="D54" s="12"/>
      <c r="E54" s="3"/>
      <c r="F54" s="3"/>
      <c r="G54" s="12"/>
      <c r="H54" s="12"/>
      <c r="I54" s="12"/>
      <c r="J54" s="12"/>
      <c r="K54" s="2"/>
      <c r="L54" s="6"/>
      <c r="M54" s="6"/>
      <c r="N54" s="6"/>
      <c r="O54" s="6"/>
      <c r="P54" s="4"/>
      <c r="Q54" s="4"/>
    </row>
    <row r="55" spans="1:20" ht="16.5" thickBot="1">
      <c r="A55" s="17">
        <v>1</v>
      </c>
      <c r="B55" s="23">
        <v>1</v>
      </c>
      <c r="C55" s="33" t="s">
        <v>235</v>
      </c>
      <c r="D55" s="12" t="s">
        <v>243</v>
      </c>
      <c r="E55" s="3" t="s">
        <v>242</v>
      </c>
      <c r="F55" s="3"/>
      <c r="G55" s="12"/>
      <c r="H55" s="12" t="s">
        <v>197</v>
      </c>
      <c r="I55" s="12" t="s">
        <v>244</v>
      </c>
      <c r="J55" s="12" t="s">
        <v>246</v>
      </c>
      <c r="K55" s="2" t="s">
        <v>245</v>
      </c>
      <c r="L55" s="6">
        <v>0.33</v>
      </c>
      <c r="M55" s="6">
        <v>0.38200000000000001</v>
      </c>
      <c r="N55" s="6">
        <f>L55*A55</f>
        <v>0.33</v>
      </c>
      <c r="O55" s="6">
        <f>M55*A55</f>
        <v>0.38200000000000001</v>
      </c>
      <c r="P55" s="4"/>
      <c r="Q55" s="4" t="str">
        <f>IF(NOT(J55=""),A55&amp;","&amp;J55,"")</f>
        <v>1,WM3702-ND</v>
      </c>
      <c r="R55" t="str">
        <f>A55&amp;"x "&amp;D55</f>
        <v>1x 6-POS connector</v>
      </c>
      <c r="S55" t="str">
        <f>IF(NOT(K55=""),K55&amp;"|"&amp;A55,"")</f>
        <v>538-39-01-2060|1</v>
      </c>
      <c r="T55" t="str">
        <f>I55&amp;" "&amp;A55</f>
        <v>39-01-2060 1</v>
      </c>
    </row>
    <row r="56" spans="1:20" ht="16.5" thickBot="1">
      <c r="A56" s="17">
        <v>6</v>
      </c>
      <c r="B56" s="23">
        <v>1</v>
      </c>
      <c r="C56" s="33" t="s">
        <v>236</v>
      </c>
      <c r="D56" s="12" t="s">
        <v>237</v>
      </c>
      <c r="E56" s="3" t="s">
        <v>238</v>
      </c>
      <c r="F56" s="3"/>
      <c r="G56" s="12"/>
      <c r="H56" s="12" t="s">
        <v>197</v>
      </c>
      <c r="I56" s="12" t="s">
        <v>239</v>
      </c>
      <c r="J56" s="12" t="s">
        <v>240</v>
      </c>
      <c r="K56" s="2" t="s">
        <v>241</v>
      </c>
      <c r="L56" s="6">
        <v>0.16</v>
      </c>
      <c r="M56" s="6">
        <v>0.18099999999999999</v>
      </c>
      <c r="N56" s="6">
        <f>L56*A56</f>
        <v>0.96</v>
      </c>
      <c r="O56" s="6">
        <f>M56*A56</f>
        <v>1.0859999999999999</v>
      </c>
      <c r="P56" s="4"/>
      <c r="Q56" s="4" t="str">
        <f>IF(NOT(J56=""),A56&amp;","&amp;J56,"")</f>
        <v>6,WM9154-ND</v>
      </c>
      <c r="R56" t="str">
        <f>A56&amp;"x "&amp;D56</f>
        <v>6x Female pin</v>
      </c>
      <c r="S56" t="str">
        <f>IF(NOT(K56=""),K56&amp;"|"&amp;A56,"")</f>
        <v>538-39-00-0078|6</v>
      </c>
      <c r="T56" t="str">
        <f>I56&amp;" "&amp;A56</f>
        <v>39-00-0078 6</v>
      </c>
    </row>
    <row r="57" spans="1:20" ht="16.5" thickBot="1">
      <c r="A57" s="15"/>
      <c r="B57" s="15"/>
      <c r="C57" s="4"/>
      <c r="D57" s="3"/>
      <c r="E57" s="3"/>
      <c r="F57" s="3"/>
      <c r="G57" s="20"/>
      <c r="H57" s="4"/>
      <c r="I57" s="36" t="s">
        <v>69</v>
      </c>
      <c r="J57" s="37"/>
      <c r="K57" s="31"/>
      <c r="L57" s="1" t="s">
        <v>67</v>
      </c>
      <c r="M57" s="1"/>
      <c r="N57" s="10">
        <f>SUM(N3:N56)</f>
        <v>90.939999999999984</v>
      </c>
      <c r="O57" s="10">
        <f>SUM(O3:O56)</f>
        <v>109.78000000000002</v>
      </c>
      <c r="P57" s="9" t="s">
        <v>68</v>
      </c>
    </row>
    <row r="61" spans="1:20">
      <c r="C61" t="s">
        <v>225</v>
      </c>
    </row>
    <row r="62" spans="1:20">
      <c r="C62" t="s">
        <v>276</v>
      </c>
    </row>
    <row r="63" spans="1:20">
      <c r="C63" t="s">
        <v>251</v>
      </c>
    </row>
    <row r="64" spans="1:20">
      <c r="C64" t="s">
        <v>278</v>
      </c>
    </row>
  </sheetData>
  <mergeCells count="1">
    <mergeCell ref="I57:J57"/>
  </mergeCells>
  <phoneticPr fontId="5" type="noConversion"/>
  <hyperlinks>
    <hyperlink ref="J6" r:id="rId1" display="478-1910-ND" xr:uid="{00000000-0004-0000-0000-000000000000}"/>
    <hyperlink ref="J14" r:id="rId2" xr:uid="{00000000-0004-0000-0000-000001000000}"/>
    <hyperlink ref="J18" r:id="rId3" xr:uid="{00000000-0004-0000-0000-000002000000}"/>
    <hyperlink ref="J31" r:id="rId4" xr:uid="{00000000-0004-0000-0000-000003000000}"/>
    <hyperlink ref="J36" r:id="rId5" display="985-1047-1-ND" xr:uid="{00000000-0004-0000-0000-000004000000}"/>
    <hyperlink ref="J37" r:id="rId6" xr:uid="{00000000-0004-0000-0000-000005000000}"/>
    <hyperlink ref="J45" r:id="rId7" xr:uid="{00000000-0004-0000-0000-000006000000}"/>
    <hyperlink ref="J3" r:id="rId8" display="478-1842-ND" xr:uid="{00000000-0004-0000-0000-000007000000}"/>
    <hyperlink ref="J7" r:id="rId9" display="445-5312-ND" xr:uid="{00000000-0004-0000-0000-000008000000}"/>
    <hyperlink ref="J8" r:id="rId10" display="399-4148-ND" xr:uid="{00000000-0004-0000-0000-000009000000}"/>
    <hyperlink ref="J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2020-01-03T10:40:52Z</dcterms:modified>
</cp:coreProperties>
</file>