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0\"/>
    </mc:Choice>
  </mc:AlternateContent>
  <xr:revisionPtr revIDLastSave="0" documentId="13_ncr:1_{749ABF93-9177-4436-80BB-5BE0CF8C8583}" xr6:coauthVersionLast="41" xr6:coauthVersionMax="43" xr10:uidLastSave="{00000000-0000-0000-0000-000000000000}"/>
  <bookViews>
    <workbookView xWindow="32280" yWindow="1920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" l="1"/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S28" i="1" s="1"/>
  <c r="N28" i="1" l="1"/>
  <c r="Q28" i="1"/>
  <c r="R28" i="1"/>
  <c r="M28" i="1"/>
  <c r="P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R29" i="1" s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S30" i="1"/>
  <c r="A31" i="1"/>
  <c r="S31" i="1" s="1"/>
  <c r="N33" i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0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7" i="1"/>
  <c r="Q18" i="1"/>
  <c r="Q19" i="1"/>
  <c r="Q20" i="1"/>
  <c r="Q25" i="1"/>
  <c r="Q2" i="1"/>
  <c r="P12" i="1"/>
  <c r="P17" i="1"/>
  <c r="P18" i="1"/>
  <c r="P19" i="1"/>
  <c r="P20" i="1"/>
  <c r="P25" i="1"/>
  <c r="P30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S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P29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<sst xmlns="http://schemas.openxmlformats.org/spreadsheetml/2006/main" count="362" uniqueCount="298">
  <si>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</si>
  <si>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</si>
  <si>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</si>
  <si>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</si>
  <si>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</si>
  <si>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</si>
  <si>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</si>
  <si>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</si>
  <si>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</si>
  <si>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</si>
  <si>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</si>
  <si>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</si>
  <si>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</si>
  <si>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</si>
  <si>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</si>
  <si>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</si>
  <si>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</si>
  <si>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</si>
  <si>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</si>
  <si>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</si>
  <si>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</si>
  <si>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</si>
  <si>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</si>
  <si>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</si>
  <si>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</si>
  <si>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</si>
  <si>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</si>
  <si>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</si>
  <si>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</si>
  <si>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</si>
  <si>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</si>
  <si>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</si>
  <si>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</si>
  <si>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</si>
  <si>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</si>
  <si>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</si>
  <si>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</si>
  <si>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</si>
  <si>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</si>
  <si>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</si>
  <si>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</si>
  <si>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</si>
  <si>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</si>
  <si>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</si>
  <si>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</si>
  <si>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</si>
  <si>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</si>
  <si>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</si>
  <si>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</si>
  <si>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</si>
  <si>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</si>
  <si>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</si>
  <si>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</si>
  <si>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</si>
  <si>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</si>
  <si>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</si>
  <si>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</si>
  <si>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</si>
  <si>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</si>
  <si>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</si>
  <si>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</si>
  <si>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</si>
  <si>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</si>
  <si>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</si>
  <si>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</si>
  <si>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</si>
  <si>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</si>
  <si>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</si>
  <si>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</si>
  <si>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</si>
  <si>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</si>
  <si>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</si>
  <si>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</si>
  <si>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</si>
  <si>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</si>
  <si>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</si>
  <si>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</si>
  <si>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</si>
  <si>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</si>
  <si>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</si>
  <si>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</si>
  <si>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</si>
  <si>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</si>
  <si>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</si>
  <si>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</si>
  <si>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</si>
  <si>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</si>
  <si>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</si>
  <si>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</si>
  <si>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</si>
  <si>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</si>
  <si>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</si>
  <si>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</si>
  <si>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</si>
  <si>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</si>
  <si>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</si>
  <si>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</si>
  <si>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</si>
  <si>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</si>
  <si>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</si>
  <si>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</si>
  <si>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</si>
  <si>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</si>
  <si>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</si>
  <si>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</si>
  <si>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</si>
  <si>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</si>
  <si>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</si>
  <si>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</si>
  <si>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</si>
  <si>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</si>
  <si>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</si>
  <si>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</si>
  <si>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</si>
  <si>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</si>
  <si>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</si>
  <si>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</si>
  <si>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</si>
  <si>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</si>
  <si>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</si>
  <si>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</si>
  <si>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</si>
  <si>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</si>
  <si>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</si>
  <si>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</si>
  <si>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</si>
  <si>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</si>
  <si>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</si>
  <si>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</si>
  <si>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</si>
  <si>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</si>
  <si>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</si>
  <si>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</si>
  <si>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</si>
  <si>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</si>
  <si>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</si>
  <si>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</si>
  <si>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</si>
  <si>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</si>
  <si>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</si>
  <si>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</si>
  <si>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</si>
  <si>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</si>
  <si>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</si>
  <si>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</si>
  <si>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</si>
  <si>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</si>
  <si>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</si>
  <si>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</si>
  <si>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</si>
  <si>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</si>
  <si>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</si>
  <si>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</si>
  <si>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</si>
  <si>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</si>
  <si>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</si>
  <si>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</si>
  <si>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</si>
  <si>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</si>
  <si>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</si>
  <si>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</si>
  <si>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</si>
  <si>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</si>
  <si>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</si>
  <si>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</si>
  <si>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</si>
  <si>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</si>
  <si>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</si>
  <si>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</si>
  <si>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</si>
  <si>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</si>
  <si>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</si>
  <si>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</si>
  <si>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</si>
  <si>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</si>
  <si>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</si>
  <si>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</si>
  <si>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</si>
  <si>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</si>
  <si>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</si>
  <si>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</si>
  <si>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</si>
  <si>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</si>
  <si>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</si>
  <si>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</si>
  <si>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</si>
  <si>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</si>
  <si>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</si>
  <si>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</si>
  <si>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</si>
  <si>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</si>
  <si>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</si>
  <si>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</si>
  <si>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</si>
  <si>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</si>
  <si>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</si>
  <si>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</si>
  <si>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</si>
  <si>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</si>
  <si>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</si>
  <si>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</si>
  <si>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</si>
  <si>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</si>
  <si>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</si>
  <si>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</si>
  <si>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</si>
  <si>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</si>
  <si>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</si>
  <si>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</si>
  <si>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</si>
  <si>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</si>
  <si>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</si>
  <si>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</si>
  <si>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</si>
  <si>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</si>
  <si>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</si>
  <si>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</si>
  <si>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</si>
  <si>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</si>
  <si>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</si>
  <si>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</si>
  <si>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</si>
  <si>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</si>
  <si>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</si>
  <si>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</si>
  <si>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</si>
  <si>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</si>
  <si>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</si>
  <si>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</si>
  <si>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</si>
  <si>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</si>
  <si>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</si>
  <si>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</si>
  <si>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</si>
  <si>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</si>
  <si>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</si>
  <si>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</si>
  <si>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</si>
  <si>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</si>
  <si>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</si>
  <si>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</si>
  <si>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</si>
  <si>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</si>
  <si>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</si>
  <si>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</si>
  <si>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</si>
  <si>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</si>
  <si>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</si>
  <si>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</si>
  <si>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</si>
  <si>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</si>
  <si>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</si>
  <si>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</si>
  <si>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</si>
  <si>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</si>
  <si>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</si>
  <si>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</si>
  <si>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</si>
  <si>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</si>
  <si>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</si>
  <si>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</si>
  <si>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</si>
  <si>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</si>
  <si>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</si>
  <si>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</si>
  <si>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</si>
  <si>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</si>
  <si>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</si>
  <si>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</si>
  <si>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</si>
  <si>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</si>
  <si>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</si>
  <si>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</si>
  <si>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</si>
  <si>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</si>
  <si>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</si>
  <si>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</si>
  <si>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</si>
  <si>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</si>
  <si>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</si>
  <si>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</si>
  <si>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</si>
  <si>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</si>
  <si>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</si>
  <si>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</si>
  <si>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</si>
  <si>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</si>
  <si>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</t>
  </si>
  <si>
    <t>IC1,IC2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</si>
  <si>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</si>
  <si>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</si>
  <si>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R25,R27,R31,R32</t>
  </si>
  <si>
    <t>R11,R14,R17,R20,R35,R36,R37,R38,R48,R49,R55,R56</t>
  </si>
  <si>
    <t>R1,R3,R26,R28,R33,R34,R61</t>
  </si>
  <si>
    <t>LED1,LED2,LED3,LED4,LED5,LED6,LED7,LED10</t>
  </si>
  <si>
    <t>Q11,Q12,Q13,Q14</t>
  </si>
  <si>
    <t>NOTE! Do not install R39,R40,R60 and R59 unless you plan to use Hall type crank/cam sensor. Stock sensors are VR-type.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</si>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</sst>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A19" zoomScale="113" zoomScaleNormal="113" workbookViewId="0">
      <selection activeCell="B26" sqref="B26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7" si="0"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7" si="4">IF(NOT(J3=""),J3&amp;"|"&amp;A3,"")</f>
        <v>80-T356G106K035AT|1</v>
      </c>
      <c r="S3" t="str">
        <f t="shared" ref="S3:S27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199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217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286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269</v>
      </c>
      <c r="C10" s="3" t="s">
        <v>270</v>
      </c>
      <c r="D10" s="3" t="s">
        <v>272</v>
      </c>
      <c r="E10" s="3" t="s">
        <v>11</v>
      </c>
      <c r="F10" s="3"/>
      <c r="G10" s="3" t="s">
        <v>9</v>
      </c>
      <c r="H10" s="3" t="s">
        <v>271</v>
      </c>
      <c r="I10" s="2" t="s">
        <v>274</v>
      </c>
      <c r="J10" s="34" t="s">
        <v>273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294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6</v>
      </c>
      <c r="B16" s="4" t="s">
        <v>290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 t="shared" si="0"/>
        <v>6,1N4004-TPMSCT-ND</v>
      </c>
      <c r="Q16" t="str">
        <f>"Diode - " &amp;A16&amp;"x "&amp;C16</f>
        <v>Diode - 6x 1N4004</v>
      </c>
      <c r="R16" t="str">
        <f t="shared" si="4"/>
        <v>833-1N4004-TP|6</v>
      </c>
      <c r="S16" t="str">
        <f t="shared" si="5"/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Q17" t="str">
        <f t="shared" ref="Q17:Q29" si="7">A17&amp;"x "&amp;C17</f>
        <v xml:space="preserve">x </v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si="7"/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Q19" t="str">
        <f t="shared" si="7"/>
        <v xml:space="preserve">x </v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189</v>
      </c>
      <c r="C21" s="3" t="s">
        <v>226</v>
      </c>
      <c r="D21" s="3" t="s">
        <v>227</v>
      </c>
      <c r="E21" s="3"/>
      <c r="F21" s="3"/>
      <c r="G21" s="3" t="s">
        <v>191</v>
      </c>
      <c r="H21" s="23" t="s">
        <v>223</v>
      </c>
      <c r="I21" s="26" t="s">
        <v>225</v>
      </c>
      <c r="J21" s="2" t="s">
        <v>224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189</v>
      </c>
      <c r="C22" s="3" t="s">
        <v>226</v>
      </c>
      <c r="D22" s="3" t="s">
        <v>227</v>
      </c>
      <c r="E22" s="3"/>
      <c r="F22" s="3"/>
      <c r="G22" s="3" t="s">
        <v>191</v>
      </c>
      <c r="H22" s="23" t="s">
        <v>223</v>
      </c>
      <c r="I22" s="26" t="s">
        <v>225</v>
      </c>
      <c r="J22" s="2" t="s">
        <v>224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200</v>
      </c>
      <c r="C23" s="3" t="s">
        <v>190</v>
      </c>
      <c r="D23" s="3" t="s">
        <v>202</v>
      </c>
      <c r="E23" s="3"/>
      <c r="F23" s="3"/>
      <c r="G23" s="3" t="s">
        <v>204</v>
      </c>
      <c r="H23" s="23" t="s">
        <v>205</v>
      </c>
      <c r="I23" s="26" t="s">
        <v>210</v>
      </c>
      <c r="J23" s="2" t="s">
        <v>209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1</v>
      </c>
      <c r="B24" s="4" t="s">
        <v>200</v>
      </c>
      <c r="C24" s="3" t="s">
        <v>201</v>
      </c>
      <c r="D24" s="3" t="s">
        <v>203</v>
      </c>
      <c r="E24" s="3"/>
      <c r="F24" s="3"/>
      <c r="G24" s="3" t="s">
        <v>204</v>
      </c>
      <c r="H24" s="23" t="s">
        <v>206</v>
      </c>
      <c r="I24" s="26" t="s">
        <v>208</v>
      </c>
      <c r="J24" s="2" t="s">
        <v>207</v>
      </c>
      <c r="K24" s="6">
        <v>0.23</v>
      </c>
      <c r="L24" s="24">
        <v>0.49</v>
      </c>
      <c r="M24" s="6">
        <f>K24*A24</f>
        <v>0.23</v>
      </c>
      <c r="N24" s="6">
        <f>L24*A24</f>
        <v>0.49</v>
      </c>
      <c r="O24" s="4"/>
      <c r="P24" s="4" t="str">
        <f t="shared" si="0"/>
        <v>1,SAM1213-02-ND</v>
      </c>
      <c r="Q24" t="str">
        <f t="shared" si="7"/>
        <v>1x 2 POS Header</v>
      </c>
      <c r="R24" t="str">
        <f t="shared" si="4"/>
        <v>200-SSW10201TS|1</v>
      </c>
      <c r="S24" t="str">
        <f t="shared" si="5"/>
        <v>SSW-102-01-T-S 1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Q25" t="str">
        <f t="shared" si="7"/>
        <v xml:space="preserve">x </v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4</v>
      </c>
      <c r="B26" s="4" t="s">
        <v>287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6.04</v>
      </c>
      <c r="N26" s="6">
        <f>L26*A26</f>
        <v>6.04</v>
      </c>
      <c r="O26" s="4"/>
      <c r="P26" s="4" t="str">
        <f t="shared" si="0"/>
        <v>4,497-5981-5-ND</v>
      </c>
      <c r="Q26" t="str">
        <f t="shared" si="7"/>
        <v>4x 62A MOSFET N-CH</v>
      </c>
      <c r="R26" t="str">
        <f t="shared" si="4"/>
        <v>511-STP62NS04Z|4</v>
      </c>
      <c r="S26" t="str">
        <f t="shared" si="5"/>
        <v>STP75NS04Z 4</v>
      </c>
    </row>
    <row r="27" spans="1:19" ht="26.25" thickBot="1">
      <c r="A27" s="17">
        <f>LEN(B27)-LEN(SUBSTITUTE(B27,",",""))+1</f>
        <v>4</v>
      </c>
      <c r="B27" s="4" t="s">
        <v>295</v>
      </c>
      <c r="C27" s="3" t="s">
        <v>184</v>
      </c>
      <c r="D27" s="3" t="s">
        <v>185</v>
      </c>
      <c r="E27" s="3" t="s">
        <v>186</v>
      </c>
      <c r="F27" s="3"/>
      <c r="G27" s="3" t="s">
        <v>20</v>
      </c>
      <c r="H27" s="3" t="s">
        <v>187</v>
      </c>
      <c r="I27" s="25" t="s">
        <v>197</v>
      </c>
      <c r="J27" s="2" t="s">
        <v>188</v>
      </c>
      <c r="K27" s="6">
        <v>2.62</v>
      </c>
      <c r="L27" s="6">
        <v>2.9</v>
      </c>
      <c r="M27" s="6">
        <f>K27*A27</f>
        <v>10.48</v>
      </c>
      <c r="N27" s="6">
        <f>L27*A27</f>
        <v>11.6</v>
      </c>
      <c r="O27" s="4"/>
      <c r="P27" s="4" t="str">
        <f t="shared" si="0"/>
        <v>4,ISL9V5036P3-F085-ND</v>
      </c>
      <c r="Q27" t="str">
        <f t="shared" si="7"/>
        <v>4x Ignition IGBT</v>
      </c>
      <c r="R27" t="str">
        <f t="shared" si="4"/>
        <v>512-ISL9V5036P3-F085
|4</v>
      </c>
      <c r="S27" t="str">
        <f t="shared" si="5"/>
        <v>ISL9V5036P3-F085 4</v>
      </c>
    </row>
    <row r="28" spans="1:19" ht="16.5" thickBot="1">
      <c r="A28" s="17">
        <f>LEN(B28)-LEN(SUBSTITUTE(B28,",",""))+1</f>
        <v>1</v>
      </c>
      <c r="B28" s="28" t="s">
        <v>250</v>
      </c>
      <c r="C28" s="3" t="s">
        <v>251</v>
      </c>
      <c r="D28" s="3" t="s">
        <v>252</v>
      </c>
      <c r="E28" s="3" t="s">
        <v>194</v>
      </c>
      <c r="F28" s="3"/>
      <c r="G28" s="3" t="s">
        <v>20</v>
      </c>
      <c r="H28" s="3" t="s">
        <v>253</v>
      </c>
      <c r="I28" s="26" t="s">
        <v>255</v>
      </c>
      <c r="J28" s="2" t="s">
        <v>254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IF(NOT(I29=""),A28&amp;","&amp;I29,"")</f>
        <v>1,PN2222AFS-ND</v>
      </c>
      <c r="Q28" t="str">
        <f t="shared" si="7"/>
        <v>1x PNP transistor</v>
      </c>
      <c r="R28" t="str">
        <f>IF(NOT(J29=""),J29&amp;"|"&amp;A28,"")</f>
        <v>512-PN2222ABU|1</v>
      </c>
      <c r="S28" t="str">
        <f>H29&amp;" "&amp;A28</f>
        <v>PN2222ABU 1</v>
      </c>
    </row>
    <row r="29" spans="1:19" ht="16.5" thickBot="1">
      <c r="A29" s="17">
        <f>LEN(B29)-LEN(SUBSTITUTE(B29,",",""))+1</f>
        <v>1</v>
      </c>
      <c r="B29" s="4" t="s">
        <v>211</v>
      </c>
      <c r="C29" s="3" t="s">
        <v>193</v>
      </c>
      <c r="D29" s="3" t="s">
        <v>192</v>
      </c>
      <c r="E29" s="3" t="s">
        <v>194</v>
      </c>
      <c r="F29" s="3"/>
      <c r="G29" s="3" t="s">
        <v>20</v>
      </c>
      <c r="H29" s="3" t="s">
        <v>195</v>
      </c>
      <c r="I29" s="26" t="s">
        <v>198</v>
      </c>
      <c r="J29" s="2" t="s">
        <v>196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>IF(NOT(I28=""),A29&amp;","&amp;I28,"")</f>
        <v>1,PN2907ABUFS-ND</v>
      </c>
      <c r="Q29" t="str">
        <f t="shared" si="7"/>
        <v>1x NPN transistor</v>
      </c>
      <c r="R29" t="str">
        <f>IF(NOT(J28=""),J28&amp;"|"&amp;A29,"")</f>
        <v>512-PN2907ABU|1</v>
      </c>
      <c r="S29" t="str">
        <f>H28&amp;" "&amp;A29</f>
        <v>PN2907ABU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 t="e">
        <f>IF(NOT(#REF!=""),A30&amp;","&amp;#REF!,"")</f>
        <v>#REF!</v>
      </c>
      <c r="R30" t="e">
        <f>IF(NOT(#REF!=""),#REF!&amp;"|"&amp;A30,"")</f>
        <v>#REF!</v>
      </c>
      <c r="S30" t="e">
        <f>#REF!&amp;" "&amp;A30</f>
        <v>#REF!</v>
      </c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212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296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19</v>
      </c>
      <c r="B33" s="4" t="s">
        <v>297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213</v>
      </c>
      <c r="K33" s="5">
        <v>0.06</v>
      </c>
      <c r="L33" s="5">
        <v>0.11</v>
      </c>
      <c r="M33" s="6">
        <f t="shared" ref="M33:M40" si="8">K33*A33</f>
        <v>1.1399999999999999</v>
      </c>
      <c r="N33" s="6">
        <f t="shared" ref="N33:N40" si="9">L33*A33</f>
        <v>2.09</v>
      </c>
      <c r="O33" s="4"/>
      <c r="P33" s="4" t="str">
        <f t="shared" ref="P33:P42" si="10">IF(NOT(I33=""),A33&amp;","&amp;I33,"")</f>
        <v>19,1.00KXBK-ND</v>
      </c>
      <c r="Q33" t="str">
        <f t="shared" ref="Q33:Q40" si="11">"Resistor - " &amp; A33&amp;"x "&amp;C33</f>
        <v>Resistor - 19x 1k</v>
      </c>
      <c r="R33" t="str">
        <f t="shared" ref="R33:R42" si="12">IF(NOT(J33=""),J33&amp;"|"&amp;A33,"")</f>
        <v>603-MFR-25FBF52-1K|19</v>
      </c>
      <c r="S33" t="str">
        <f t="shared" ref="S33:S42" si="13">H33&amp;" "&amp;A33</f>
        <v>MFR-25FBF52-1K 19</v>
      </c>
    </row>
    <row r="34" spans="1:19" ht="16.5" thickBot="1">
      <c r="A34" s="17">
        <f>LEN(B34)-LEN(SUBSTITUTE(B34,",",""))+1</f>
        <v>4</v>
      </c>
      <c r="B34" s="11" t="s">
        <v>289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0.88</v>
      </c>
      <c r="N34" s="6">
        <f t="shared" si="9"/>
        <v>0.6</v>
      </c>
      <c r="O34" s="11" t="s">
        <v>79</v>
      </c>
      <c r="P34" s="4" t="str">
        <f t="shared" si="10"/>
        <v>4,A105963CT-ND</v>
      </c>
      <c r="Q34" t="str">
        <f t="shared" si="11"/>
        <v>Resistor - 4x 680</v>
      </c>
      <c r="R34" t="str">
        <f t="shared" si="12"/>
        <v>279-LR1F680R|4</v>
      </c>
      <c r="S34" t="str">
        <f t="shared" si="13"/>
        <v>1622545-1 4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7</v>
      </c>
      <c r="B36" s="4" t="s">
        <v>293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0.98000000000000009</v>
      </c>
      <c r="N36" s="6">
        <f t="shared" si="9"/>
        <v>1.1200000000000001</v>
      </c>
      <c r="O36" s="4"/>
      <c r="P36" s="4" t="str">
        <f t="shared" si="10"/>
        <v>7,2.49KXBK-ND</v>
      </c>
      <c r="Q36" t="str">
        <f t="shared" si="11"/>
        <v>Resistor - 7x 1% 2.49k</v>
      </c>
      <c r="R36" t="str">
        <f t="shared" si="12"/>
        <v>603-MFR-25FBF52-2K49|7</v>
      </c>
      <c r="S36" t="str">
        <f t="shared" si="13"/>
        <v>MFR-25FBF52-2K49 7</v>
      </c>
    </row>
    <row r="37" spans="1:19" ht="16.5" thickBot="1">
      <c r="A37" s="17">
        <f t="shared" si="14"/>
        <v>3</v>
      </c>
      <c r="B37" s="4" t="s">
        <v>247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12</v>
      </c>
      <c r="B38" s="4" t="s">
        <v>292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1.2000000000000002</v>
      </c>
      <c r="N38" s="6">
        <f t="shared" si="9"/>
        <v>1.2000000000000002</v>
      </c>
      <c r="O38" s="4"/>
      <c r="P38" s="4" t="str">
        <f t="shared" si="10"/>
        <v>12,100KXBK-ND</v>
      </c>
      <c r="Q38" t="str">
        <f t="shared" si="11"/>
        <v>Resistor - 12x 100k</v>
      </c>
      <c r="R38" t="str">
        <f t="shared" si="12"/>
        <v>603-FMF-25FTF52100K|12</v>
      </c>
      <c r="S38" t="str">
        <f t="shared" si="13"/>
        <v>MFR-25FBF52-100K 12</v>
      </c>
    </row>
    <row r="39" spans="1:19" ht="16.5" thickBot="1">
      <c r="A39" s="17">
        <f>LEN(B39)-LEN(SUBSTITUTE(B39,",",""))+1</f>
        <v>4</v>
      </c>
      <c r="B39" s="4" t="s">
        <v>291</v>
      </c>
      <c r="C39" s="3">
        <v>150</v>
      </c>
      <c r="D39" s="3" t="s">
        <v>280</v>
      </c>
      <c r="E39" s="3"/>
      <c r="F39" s="3"/>
      <c r="G39" s="3" t="s">
        <v>281</v>
      </c>
      <c r="H39" s="3" t="s">
        <v>283</v>
      </c>
      <c r="I39" s="2" t="s">
        <v>284</v>
      </c>
      <c r="J39" s="2" t="s">
        <v>282</v>
      </c>
      <c r="K39" s="5">
        <v>0.27</v>
      </c>
      <c r="L39" s="5">
        <v>0.23</v>
      </c>
      <c r="M39" s="6">
        <f t="shared" si="8"/>
        <v>1.08</v>
      </c>
      <c r="N39" s="6">
        <f t="shared" si="9"/>
        <v>0.92</v>
      </c>
      <c r="O39" s="4"/>
      <c r="P39" s="4" t="str">
        <f t="shared" si="10"/>
        <v>4,PPC150W-1CT-ND</v>
      </c>
      <c r="Q39" t="str">
        <f t="shared" si="11"/>
        <v>Resistor - 4x 150</v>
      </c>
      <c r="R39" t="str">
        <f t="shared" si="12"/>
        <v>594-5073NW150R0J|4</v>
      </c>
      <c r="S39" t="str">
        <f t="shared" si="13"/>
        <v>PR01000101500JR500 4</v>
      </c>
    </row>
    <row r="40" spans="1:19" ht="26.25" thickBot="1">
      <c r="A40" s="17">
        <f>LEN(B40)-LEN(SUBSTITUTE(B40,",",""))+1</f>
        <v>2</v>
      </c>
      <c r="B40" s="4" t="s">
        <v>248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285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256</v>
      </c>
      <c r="C43" s="3" t="s">
        <v>257</v>
      </c>
      <c r="D43" s="3" t="s">
        <v>258</v>
      </c>
      <c r="E43" s="3" t="s">
        <v>259</v>
      </c>
      <c r="F43" s="3"/>
      <c r="G43" s="3" t="s">
        <v>38</v>
      </c>
      <c r="H43" s="3" t="s">
        <v>257</v>
      </c>
      <c r="I43" s="30" t="s">
        <v>260</v>
      </c>
      <c r="J43" s="2" t="s">
        <v>261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262</v>
      </c>
      <c r="Q43" t="s">
        <v>263</v>
      </c>
      <c r="R43" t="s">
        <v>264</v>
      </c>
      <c r="S43" t="s">
        <v>265</v>
      </c>
    </row>
    <row r="44" spans="1:19" ht="26.25" thickBot="1">
      <c r="A44" s="17">
        <f t="shared" si="16"/>
        <v>1</v>
      </c>
      <c r="B44" s="21" t="s">
        <v>222</v>
      </c>
      <c r="C44" s="3" t="s">
        <v>214</v>
      </c>
      <c r="D44" s="3" t="s">
        <v>215</v>
      </c>
      <c r="E44" s="3" t="s">
        <v>216</v>
      </c>
      <c r="F44" s="3"/>
      <c r="G44" s="3" t="s">
        <v>58</v>
      </c>
      <c r="H44" s="3" t="s">
        <v>219</v>
      </c>
      <c r="I44" s="27" t="s">
        <v>220</v>
      </c>
      <c r="J44" s="2" t="s">
        <v>221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288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279</v>
      </c>
      <c r="C48" s="12" t="s">
        <v>276</v>
      </c>
      <c r="D48" s="3" t="s">
        <v>275</v>
      </c>
      <c r="E48" s="3" t="s">
        <v>216</v>
      </c>
      <c r="F48" s="12"/>
      <c r="G48" s="12" t="s">
        <v>38</v>
      </c>
      <c r="H48" s="12" t="s">
        <v>276</v>
      </c>
      <c r="I48" s="12" t="s">
        <v>277</v>
      </c>
      <c r="J48" s="2" t="s">
        <v>278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240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243</v>
      </c>
      <c r="C51" s="12" t="s">
        <v>244</v>
      </c>
      <c r="D51" s="3" t="s">
        <v>242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228</v>
      </c>
      <c r="C52" s="12" t="s">
        <v>236</v>
      </c>
      <c r="D52" s="3" t="s">
        <v>235</v>
      </c>
      <c r="E52" s="3"/>
      <c r="F52" s="12"/>
      <c r="G52" s="12" t="s">
        <v>191</v>
      </c>
      <c r="H52" s="12" t="s">
        <v>237</v>
      </c>
      <c r="I52" s="12" t="s">
        <v>239</v>
      </c>
      <c r="J52" s="2" t="s">
        <v>238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229</v>
      </c>
      <c r="C53" s="12" t="s">
        <v>230</v>
      </c>
      <c r="D53" s="3" t="s">
        <v>231</v>
      </c>
      <c r="E53" s="3"/>
      <c r="F53" s="12"/>
      <c r="G53" s="12" t="s">
        <v>191</v>
      </c>
      <c r="H53" s="12" t="s">
        <v>232</v>
      </c>
      <c r="I53" s="12" t="s">
        <v>233</v>
      </c>
      <c r="J53" s="2" t="s">
        <v>234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266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228</v>
      </c>
      <c r="C56" s="12" t="s">
        <v>236</v>
      </c>
      <c r="D56" s="3" t="s">
        <v>235</v>
      </c>
      <c r="E56" s="3"/>
      <c r="F56" s="12"/>
      <c r="G56" s="12" t="s">
        <v>191</v>
      </c>
      <c r="H56" s="12" t="s">
        <v>237</v>
      </c>
      <c r="I56" s="12" t="s">
        <v>239</v>
      </c>
      <c r="J56" s="2" t="s">
        <v>238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229</v>
      </c>
      <c r="C57" s="12" t="s">
        <v>230</v>
      </c>
      <c r="D57" s="3" t="s">
        <v>231</v>
      </c>
      <c r="E57" s="3"/>
      <c r="F57" s="12"/>
      <c r="G57" s="12" t="s">
        <v>191</v>
      </c>
      <c r="H57" s="12" t="s">
        <v>232</v>
      </c>
      <c r="I57" s="12" t="s">
        <v>233</v>
      </c>
      <c r="J57" s="2" t="s">
        <v>234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93.45999999999998</v>
      </c>
      <c r="N58" s="10">
        <f>SUM(N3:N53)</f>
        <v>111.65200000000002</v>
      </c>
      <c r="O58" s="9" t="s">
        <v>65</v>
      </c>
    </row>
    <row r="62" spans="1:19">
      <c r="B62" t="s">
        <v>218</v>
      </c>
    </row>
    <row r="63" spans="1:19">
      <c r="B63" t="s">
        <v>268</v>
      </c>
    </row>
    <row r="64" spans="1:19">
      <c r="B64" t="s">
        <v>245</v>
      </c>
    </row>
    <row r="65" spans="2:2">
      <c r="B65" t="s">
        <v>267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2020-01-03T10:36:58Z</dcterms:modified>
</cp:coreProperties>
</file>