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1.0\"/>
    </mc:Choice>
  </mc:AlternateContent>
  <xr:revisionPtr revIDLastSave="0" documentId="13_ncr:1_{DE6320B2-E355-4F3D-8130-A6FFDA4F5FBC}" xr6:coauthVersionLast="43" xr6:coauthVersionMax="43" xr10:uidLastSave="{00000000-0000-0000-0000-000000000000}"/>
  <bookViews>
    <workbookView xWindow="29520" yWindow="1455" windowWidth="25575" windowHeight="14235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8" i="1" l="1"/>
  <c r="R48" i="1"/>
  <c r="T48" i="1"/>
  <c r="U48" i="1"/>
  <c r="V48" i="1"/>
  <c r="W48" i="1"/>
  <c r="X48" i="1"/>
  <c r="B26" i="1" l="1"/>
  <c r="U26" i="1" s="1"/>
  <c r="A26" i="1"/>
  <c r="X26" i="1" s="1"/>
  <c r="R26" i="1" l="1"/>
  <c r="V26" i="1"/>
  <c r="W26" i="1"/>
  <c r="Q26" i="1"/>
  <c r="T26" i="1"/>
  <c r="X49" i="1"/>
  <c r="W49" i="1"/>
  <c r="V49" i="1"/>
  <c r="U49" i="1"/>
  <c r="T49" i="1"/>
  <c r="R49" i="1"/>
  <c r="Q49" i="1"/>
  <c r="W46" i="1"/>
  <c r="U46" i="1"/>
  <c r="T46" i="1"/>
  <c r="X41" i="1" l="1"/>
  <c r="W41" i="1"/>
  <c r="V41" i="1"/>
  <c r="T41" i="1"/>
  <c r="R41" i="1"/>
  <c r="Q41" i="1"/>
  <c r="B41" i="1"/>
  <c r="U41" i="1" s="1"/>
  <c r="X22" i="1" l="1"/>
  <c r="W22" i="1"/>
  <c r="V22" i="1"/>
  <c r="U22" i="1"/>
  <c r="T22" i="1"/>
  <c r="R22" i="1"/>
  <c r="Q22" i="1"/>
  <c r="X21" i="1"/>
  <c r="W21" i="1"/>
  <c r="V21" i="1"/>
  <c r="U21" i="1"/>
  <c r="T21" i="1"/>
  <c r="R21" i="1"/>
  <c r="Q21" i="1"/>
  <c r="A27" i="1"/>
  <c r="W27" i="1" s="1"/>
  <c r="B27" i="1"/>
  <c r="U27" i="1" s="1"/>
  <c r="A25" i="1"/>
  <c r="W25" i="1" s="1"/>
  <c r="X20" i="1"/>
  <c r="W20" i="1"/>
  <c r="V20" i="1"/>
  <c r="U20" i="1"/>
  <c r="T20" i="1"/>
  <c r="R20" i="1"/>
  <c r="Q20" i="1"/>
  <c r="B25" i="1"/>
  <c r="U25" i="1" s="1"/>
  <c r="A37" i="1"/>
  <c r="X37" i="1" s="1"/>
  <c r="B37" i="1"/>
  <c r="U37" i="1"/>
  <c r="T37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0" i="1"/>
  <c r="X10" i="1" s="1"/>
  <c r="X11" i="1"/>
  <c r="A12" i="1"/>
  <c r="X12" i="1" s="1"/>
  <c r="A13" i="1"/>
  <c r="V13" i="1" s="1"/>
  <c r="A14" i="1"/>
  <c r="X14" i="1" s="1"/>
  <c r="A15" i="1"/>
  <c r="Q15" i="1" s="1"/>
  <c r="X16" i="1"/>
  <c r="X17" i="1"/>
  <c r="X18" i="1"/>
  <c r="X19" i="1"/>
  <c r="X23" i="1"/>
  <c r="A24" i="1"/>
  <c r="X24" i="1" s="1"/>
  <c r="X28" i="1"/>
  <c r="A29" i="1"/>
  <c r="X29" i="1" s="1"/>
  <c r="A30" i="1"/>
  <c r="R30" i="1" s="1"/>
  <c r="A31" i="1"/>
  <c r="X31" i="1" s="1"/>
  <c r="A32" i="1"/>
  <c r="W32" i="1" s="1"/>
  <c r="A33" i="1"/>
  <c r="X33" i="1" s="1"/>
  <c r="X34" i="1"/>
  <c r="A35" i="1"/>
  <c r="T35" i="1" s="1"/>
  <c r="A36" i="1"/>
  <c r="T36" i="1" s="1"/>
  <c r="X38" i="1"/>
  <c r="X39" i="1"/>
  <c r="X42" i="1"/>
  <c r="X43" i="1"/>
  <c r="X44" i="1"/>
  <c r="A3" i="1"/>
  <c r="X3" i="1" s="1"/>
  <c r="Q4" i="1"/>
  <c r="Q17" i="1"/>
  <c r="Q19" i="1"/>
  <c r="Q34" i="1"/>
  <c r="Q39" i="1"/>
  <c r="Q42" i="1"/>
  <c r="Q43" i="1"/>
  <c r="Q44" i="1"/>
  <c r="W44" i="1"/>
  <c r="V44" i="1"/>
  <c r="U44" i="1"/>
  <c r="T44" i="1"/>
  <c r="R44" i="1"/>
  <c r="W11" i="1"/>
  <c r="W16" i="1"/>
  <c r="W17" i="1"/>
  <c r="W18" i="1"/>
  <c r="W19" i="1"/>
  <c r="W23" i="1"/>
  <c r="W28" i="1"/>
  <c r="W34" i="1"/>
  <c r="W38" i="1"/>
  <c r="W39" i="1"/>
  <c r="W42" i="1"/>
  <c r="W43" i="1"/>
  <c r="W45" i="1"/>
  <c r="B29" i="1"/>
  <c r="U29" i="1" s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9" i="1"/>
  <c r="U39" i="1" s="1"/>
  <c r="B42" i="1"/>
  <c r="U42" i="1" s="1"/>
  <c r="B43" i="1"/>
  <c r="U43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0" i="1"/>
  <c r="U10" i="1" s="1"/>
  <c r="B12" i="1"/>
  <c r="U12" i="1" s="1"/>
  <c r="B13" i="1"/>
  <c r="U13" i="1" s="1"/>
  <c r="B14" i="1"/>
  <c r="U14" i="1" s="1"/>
  <c r="B15" i="1"/>
  <c r="U15" i="1" s="1"/>
  <c r="B17" i="1"/>
  <c r="U17" i="1" s="1"/>
  <c r="B24" i="1"/>
  <c r="U24" i="1" s="1"/>
  <c r="B3" i="1"/>
  <c r="U3" i="1" s="1"/>
  <c r="R4" i="1"/>
  <c r="R17" i="1"/>
  <c r="R19" i="1"/>
  <c r="R29" i="1"/>
  <c r="R34" i="1"/>
  <c r="R39" i="1"/>
  <c r="R42" i="1"/>
  <c r="R43" i="1"/>
  <c r="U28" i="1"/>
  <c r="U38" i="1"/>
  <c r="U45" i="1"/>
  <c r="U11" i="1"/>
  <c r="U16" i="1"/>
  <c r="U18" i="1"/>
  <c r="U19" i="1"/>
  <c r="U23" i="1"/>
  <c r="U2" i="1"/>
  <c r="V43" i="1"/>
  <c r="T43" i="1"/>
  <c r="V7" i="1"/>
  <c r="V42" i="1"/>
  <c r="V39" i="1"/>
  <c r="V34" i="1"/>
  <c r="V16" i="1"/>
  <c r="V17" i="1"/>
  <c r="V18" i="1"/>
  <c r="V19" i="1"/>
  <c r="V23" i="1"/>
  <c r="V2" i="1"/>
  <c r="T7" i="1"/>
  <c r="T11" i="1"/>
  <c r="T16" i="1"/>
  <c r="T17" i="1"/>
  <c r="T18" i="1"/>
  <c r="T19" i="1"/>
  <c r="T23" i="1"/>
  <c r="T28" i="1"/>
  <c r="T34" i="1"/>
  <c r="T38" i="1"/>
  <c r="T39" i="1"/>
  <c r="T42" i="1"/>
  <c r="T45" i="1"/>
  <c r="T2" i="1"/>
  <c r="R14" i="1" l="1"/>
  <c r="R6" i="1"/>
  <c r="V4" i="1"/>
  <c r="T4" i="1"/>
  <c r="T9" i="1"/>
  <c r="T24" i="1"/>
  <c r="V5" i="1"/>
  <c r="R9" i="1"/>
  <c r="R35" i="1"/>
  <c r="R24" i="1"/>
  <c r="R13" i="1"/>
  <c r="W5" i="1"/>
  <c r="T5" i="1"/>
  <c r="V35" i="1"/>
  <c r="V9" i="1"/>
  <c r="R5" i="1"/>
  <c r="W9" i="1"/>
  <c r="Q35" i="1"/>
  <c r="Q7" i="1"/>
  <c r="R25" i="1"/>
  <c r="X25" i="1"/>
  <c r="V24" i="1"/>
  <c r="W24" i="1"/>
  <c r="Q24" i="1"/>
  <c r="W35" i="1"/>
  <c r="W6" i="1"/>
  <c r="Q36" i="1"/>
  <c r="Q6" i="1"/>
  <c r="X6" i="1"/>
  <c r="X4" i="1"/>
  <c r="T31" i="1"/>
  <c r="T14" i="1"/>
  <c r="T6" i="1"/>
  <c r="R7" i="1"/>
  <c r="W31" i="1"/>
  <c r="Q12" i="1"/>
  <c r="Q3" i="1"/>
  <c r="X35" i="1"/>
  <c r="X7" i="1"/>
  <c r="X5" i="1"/>
  <c r="Q37" i="1"/>
  <c r="W37" i="1"/>
  <c r="V25" i="1"/>
  <c r="T10" i="1"/>
  <c r="R10" i="1"/>
  <c r="Q10" i="1"/>
  <c r="W10" i="1"/>
  <c r="V10" i="1"/>
  <c r="X8" i="1"/>
  <c r="W33" i="1"/>
  <c r="Q30" i="1"/>
  <c r="X9" i="1"/>
  <c r="V8" i="1"/>
  <c r="R8" i="1"/>
  <c r="W8" i="1"/>
  <c r="T8" i="1"/>
  <c r="T33" i="1"/>
  <c r="W36" i="1"/>
  <c r="T3" i="1"/>
  <c r="R33" i="1"/>
  <c r="R12" i="1"/>
  <c r="R3" i="1"/>
  <c r="T29" i="1"/>
  <c r="T15" i="1"/>
  <c r="V36" i="1"/>
  <c r="V31" i="1"/>
  <c r="V14" i="1"/>
  <c r="R36" i="1"/>
  <c r="R31" i="1"/>
  <c r="Q14" i="1"/>
  <c r="X36" i="1"/>
  <c r="T12" i="1"/>
  <c r="V29" i="1"/>
  <c r="V33" i="1"/>
  <c r="V3" i="1"/>
  <c r="V12" i="1"/>
  <c r="W29" i="1"/>
  <c r="W15" i="1"/>
  <c r="Q27" i="1"/>
  <c r="V27" i="1"/>
  <c r="R27" i="1"/>
  <c r="X27" i="1"/>
  <c r="T13" i="1"/>
  <c r="R15" i="1"/>
  <c r="Q32" i="1"/>
  <c r="W13" i="1"/>
  <c r="T30" i="1"/>
  <c r="V30" i="1"/>
  <c r="V15" i="1"/>
  <c r="R32" i="1"/>
  <c r="W3" i="1"/>
  <c r="W30" i="1"/>
  <c r="W12" i="1"/>
  <c r="Q31" i="1"/>
  <c r="Q13" i="1"/>
  <c r="X32" i="1"/>
  <c r="X30" i="1"/>
  <c r="X15" i="1"/>
  <c r="X13" i="1"/>
  <c r="R37" i="1"/>
  <c r="V37" i="1"/>
  <c r="Q25" i="1"/>
  <c r="T32" i="1"/>
  <c r="V32" i="1"/>
  <c r="W14" i="1"/>
  <c r="Q33" i="1"/>
  <c r="Q29" i="1"/>
  <c r="T25" i="1"/>
  <c r="T27" i="1"/>
  <c r="R50" i="1" l="1"/>
  <c r="Q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4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5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3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2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3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<sst xmlns="http://schemas.openxmlformats.org/spreadsheetml/2006/main" count="401" uniqueCount="308">
  <si>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</si>
  <si>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</si>
  <si>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</si>
  <si>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</si>
  <si>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</si>
  <si>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</si>
  <si>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</si>
  <si>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</si>
  <si>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</si>
  <si>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</si>
  <si>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</si>
  <si>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</si>
  <si>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</si>
  <si>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</si>
  <si>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</si>
  <si>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</si>
  <si>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</si>
  <si>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</si>
  <si>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</si>
  <si>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</si>
  <si>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</si>
  <si>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</si>
  <si>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</si>
  <si>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</si>
  <si>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</si>
  <si>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</si>
  <si>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</si>
  <si>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</si>
  <si>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</si>
  <si>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</si>
  <si>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</si>
  <si>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</si>
  <si>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</si>
  <si>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</si>
  <si>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</si>
  <si>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</si>
  <si>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</si>
  <si>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</si>
  <si>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</si>
  <si>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</si>
  <si>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</si>
  <si>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</si>
  <si>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</si>
  <si>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</si>
  <si>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</si>
  <si>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</si>
  <si>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</si>
  <si>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</si>
  <si>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</si>
  <si>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</si>
  <si>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</si>
  <si>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</si>
  <si>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</si>
  <si>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</si>
  <si>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</si>
  <si>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</si>
  <si>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</si>
  <si>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</si>
  <si>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</si>
  <si>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</si>
  <si>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</si>
  <si>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</si>
  <si>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</si>
  <si>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</si>
  <si>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</si>
  <si>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</si>
  <si>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</si>
  <si>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</si>
  <si>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</si>
  <si>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</si>
  <si>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</si>
  <si>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</si>
  <si>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</si>
  <si>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</si>
  <si>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</si>
  <si>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</si>
  <si>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</si>
  <si>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</si>
  <si>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</si>
  <si>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</si>
  <si>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</si>
  <si>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</si>
  <si>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</si>
  <si>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</si>
  <si>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</si>
  <si>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</si>
  <si>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</si>
  <si>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</si>
  <si>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</si>
  <si>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</si>
  <si>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</si>
  <si>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</si>
  <si>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</si>
  <si>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</si>
  <si>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</si>
  <si>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</si>
  <si>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</si>
  <si>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</si>
  <si>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</si>
  <si>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</si>
  <si>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</si>
  <si>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</si>
  <si>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</si>
  <si>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</si>
  <si>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</si>
  <si>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</si>
  <si>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</si>
  <si>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</si>
  <si>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</si>
  <si>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</si>
  <si>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</si>
  <si>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</si>
  <si>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</si>
  <si>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</si>
  <si>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</si>
  <si>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</si>
  <si>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</si>
  <si>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</si>
  <si>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</si>
  <si>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</si>
  <si>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</si>
  <si>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</si>
  <si>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</si>
  <si>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</si>
  <si>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</si>
  <si>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</si>
  <si>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</si>
  <si>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</si>
  <si>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</si>
  <si>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</si>
  <si>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</si>
  <si>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</si>
  <si>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</si>
  <si>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</si>
  <si>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</si>
  <si>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</si>
  <si>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</si>
  <si>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</si>
  <si>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</si>
  <si>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</si>
  <si>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</si>
  <si>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</si>
  <si>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</si>
  <si>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</si>
  <si>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</si>
  <si>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</si>
  <si>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</si>
  <si>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</si>
  <si>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</si>
  <si>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</si>
  <si>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</si>
  <si>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</si>
  <si>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</si>
  <si>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</si>
  <si>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</si>
  <si>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</si>
  <si>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</si>
  <si>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</si>
  <si>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</si>
  <si>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</si>
  <si>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</si>
  <si>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</si>
  <si>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</si>
  <si>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</si>
  <si>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</si>
  <si>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</si>
  <si>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</si>
  <si>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</si>
  <si>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</si>
  <si>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</si>
  <si>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</si>
  <si>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</si>
  <si>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</si>
  <si>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</si>
  <si>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</si>
  <si>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</si>
  <si>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</si>
  <si>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</si>
  <si>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</si>
  <si>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</si>
  <si>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</si>
  <si>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</si>
  <si>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</si>
  <si>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</si>
  <si>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</si>
  <si>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</si>
  <si>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</si>
  <si>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</si>
  <si>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</si>
  <si>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</si>
  <si>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</si>
  <si>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</si>
  <si>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</si>
  <si>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</si>
  <si>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</si>
  <si>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</si>
  <si>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</si>
  <si>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</si>
  <si>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</si>
  <si>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</si>
  <si>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</si>
  <si>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</si>
  <si>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</si>
  <si>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</si>
  <si>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</si>
  <si>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</si>
  <si>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</si>
  <si>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</si>
  <si>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</si>
  <si>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</si>
  <si>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</si>
  <si>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</si>
  <si>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</si>
  <si>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</si>
  <si>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</si>
  <si>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</si>
  <si>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</si>
  <si>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</si>
  <si>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</si>
  <si>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</si>
  <si>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</si>
  <si>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</si>
  <si>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</si>
  <si>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</si>
  <si>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</si>
  <si>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</si>
  <si>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</si>
  <si>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</si>
  <si>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</si>
  <si>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</si>
  <si>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</si>
  <si>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</si>
  <si>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</si>
  <si>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</si>
  <si>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</si>
  <si>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</si>
  <si>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</si>
  <si>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</si>
  <si>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</si>
  <si>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</si>
  <si>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</si>
  <si>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</si>
  <si>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</si>
  <si>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</si>
  <si>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</si>
  <si>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</si>
  <si>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</si>
  <si>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</si>
  <si>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</si>
  <si>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</si>
  <si>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</si>
  <si>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</si>
  <si>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</si>
  <si>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</si>
  <si>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</si>
  <si>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</si>
  <si>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</si>
  <si>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</si>
  <si>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</si>
  <si>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C23,C25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</si>
  <si>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</si>
  <si>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</si>
  <si>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</si>
  <si>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</si>
  <si>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</si>
  <si>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</si>
  <si>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</si>
  <si>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</si>
  <si>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</si>
  <si>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</si>
  <si>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</si>
  <si>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</si>
  <si>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</si>
  <si>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</si>
  <si>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</si>
  <si>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</si>
  <si>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</si>
  <si>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</si>
  <si>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</si>
  <si>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</si>
  <si>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</si>
  <si>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</si>
  <si>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</si>
  <si>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</si>
  <si>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</si>
  <si>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</si>
  <si>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</si>
  <si>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</si>
  <si>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</si>
  <si>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</si>
  <si>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</si>
  <si>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</si>
  <si>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</si>
  <si>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</si>
  <si>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</si>
  <si>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</si>
  <si>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</si>
  <si>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r>
      <t>C19,C24,</t>
    </r>
    <r>
      <rPr>
        <sz val="10"/>
        <color rgb="FFFF0000"/>
        <rFont val="Liberation Sans"/>
      </rPr>
      <t>C27</t>
    </r>
  </si>
  <si>
    <t>R1,R3,R26,R28,R33,R34,R61</t>
  </si>
  <si>
    <t>R25,R27,R31,R32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</si>
  <si>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</si>
  <si>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</si>
  <si>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Q1,Q3,Q5,Q7,Q8</t>
  </si>
  <si>
    <t>LED1,LED2,LED5,LED6,LED7,LED8</t>
  </si>
  <si>
    <t>R9,R12</t>
  </si>
  <si>
    <r>
      <t>D9,D10,D18,</t>
    </r>
    <r>
      <rPr>
        <sz val="10"/>
        <color rgb="FF0070C0"/>
        <rFont val="Liberation Sans"/>
      </rPr>
      <t>D20</t>
    </r>
  </si>
  <si>
    <t>R11,R14,R35,R36,R37,R38,R48,R49,R55</t>
  </si>
  <si>
    <r>
      <t>R10,R13,R21,R23,R24,R29,R30,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</si>
</sst>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6"/>
  <sheetViews>
    <sheetView tabSelected="1" topLeftCell="A22" zoomScale="113" workbookViewId="0">
      <selection activeCell="C32" sqref="C3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19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0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19" si="3">IF(NOT(M3=""),B3&amp;","&amp;M3,"")</f>
        <v>1,399-3654-ND</v>
      </c>
      <c r="V3" t="str">
        <f>"Capacitor - " &amp;A3&amp;"x "&amp;E3</f>
        <v>Capacitor - 1x 10uF</v>
      </c>
      <c r="W3" t="str">
        <f t="shared" ref="W3:W19" si="4">IF(NOT(N3=""),N3&amp;"|"&amp;A3,"")</f>
        <v>80-T356G106K035AT|1</v>
      </c>
      <c r="X3" t="str">
        <f t="shared" ref="X3:X19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3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0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9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>LEN(C10)-LEN(SUBSTITUTE(C10,",",""))+1</f>
        <v>2</v>
      </c>
      <c r="B10" s="18">
        <f t="shared" si="1"/>
        <v>1</v>
      </c>
      <c r="C10" s="4" t="s">
        <v>259</v>
      </c>
      <c r="D10" s="4" t="s">
        <v>91</v>
      </c>
      <c r="E10" s="3" t="s">
        <v>92</v>
      </c>
      <c r="F10" s="3" t="s">
        <v>95</v>
      </c>
      <c r="G10" s="3" t="s">
        <v>12</v>
      </c>
      <c r="H10" s="3"/>
      <c r="I10" s="3"/>
      <c r="J10" s="3" t="s">
        <v>13</v>
      </c>
      <c r="K10" s="3" t="s">
        <v>138</v>
      </c>
      <c r="L10" s="3" t="s">
        <v>94</v>
      </c>
      <c r="M10" s="2" t="s">
        <v>93</v>
      </c>
      <c r="N10" s="2" t="s">
        <v>160</v>
      </c>
      <c r="O10" s="5">
        <v>0.25</v>
      </c>
      <c r="P10" s="5">
        <v>0.25</v>
      </c>
      <c r="Q10" s="6">
        <f t="shared" si="2"/>
        <v>0.5</v>
      </c>
      <c r="R10" s="6">
        <f t="shared" si="6"/>
        <v>0.5</v>
      </c>
      <c r="S10" s="4"/>
      <c r="T10" s="4" t="str">
        <f t="shared" si="0"/>
        <v>2,399-4243-ND</v>
      </c>
      <c r="U10" s="4" t="str">
        <f t="shared" si="3"/>
        <v>1,399-4243-ND</v>
      </c>
      <c r="V10" t="str">
        <f t="shared" si="7"/>
        <v>Capacitor - 2x 4.7nF</v>
      </c>
      <c r="W10" t="str">
        <f t="shared" si="4"/>
        <v>80-C317C472K1R|2</v>
      </c>
      <c r="X10" t="str">
        <f t="shared" si="5"/>
        <v>C317C472K1R5TA 2</v>
      </c>
    </row>
    <row r="11" spans="1:24" ht="16.5" thickBot="1">
      <c r="A11" s="16"/>
      <c r="B11" s="16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4"/>
      <c r="T11" s="4" t="str">
        <f t="shared" si="0"/>
        <v/>
      </c>
      <c r="U11" s="4" t="str">
        <f t="shared" si="3"/>
        <v/>
      </c>
      <c r="W11" t="str">
        <f t="shared" si="4"/>
        <v/>
      </c>
      <c r="X11" t="str">
        <f t="shared" si="5"/>
        <v xml:space="preserve"> </v>
      </c>
    </row>
    <row r="12" spans="1:24" ht="16.5" thickBot="1">
      <c r="A12" s="18">
        <f>LEN(C12)-LEN(SUBSTITUTE(C12,",",""))+1</f>
        <v>2</v>
      </c>
      <c r="B12" s="18">
        <f t="shared" ref="B12:B15" si="9">LEN(D12)-LEN(SUBSTITUTE(D12,",",""))+1</f>
        <v>1</v>
      </c>
      <c r="C12" s="4" t="s">
        <v>277</v>
      </c>
      <c r="D12" s="4" t="s">
        <v>74</v>
      </c>
      <c r="E12" s="3" t="s">
        <v>100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138</v>
      </c>
      <c r="L12" s="7" t="s">
        <v>22</v>
      </c>
      <c r="M12" s="2" t="s">
        <v>23</v>
      </c>
      <c r="N12" s="2" t="s">
        <v>174</v>
      </c>
      <c r="O12" s="5">
        <v>0.34</v>
      </c>
      <c r="P12" s="5">
        <v>0.43</v>
      </c>
      <c r="Q12" s="6">
        <f>O12*A12</f>
        <v>0.68</v>
      </c>
      <c r="R12" s="6">
        <f t="shared" si="6"/>
        <v>0.86</v>
      </c>
      <c r="S12" s="4"/>
      <c r="T12" s="4" t="str">
        <f t="shared" si="0"/>
        <v>2,1N5919BGOS-ND</v>
      </c>
      <c r="U12" s="4" t="str">
        <f t="shared" si="3"/>
        <v>1,1N5919BGOS-ND</v>
      </c>
      <c r="V12" t="str">
        <f>"Diode - " &amp;A12&amp;"x "&amp;E12</f>
        <v>Diode - 2x 1N5919BG Zener</v>
      </c>
      <c r="W12" t="str">
        <f t="shared" si="4"/>
        <v>863-1N5919BRLG|2</v>
      </c>
      <c r="X12" t="str">
        <f t="shared" si="5"/>
        <v>1N5919BG 2</v>
      </c>
    </row>
    <row r="13" spans="1:24" ht="26.25" thickBot="1">
      <c r="A13" s="18">
        <f>LEN(C13)-LEN(SUBSTITUTE(C13,",",""))+1</f>
        <v>3</v>
      </c>
      <c r="B13" s="18">
        <f t="shared" si="9"/>
        <v>2</v>
      </c>
      <c r="C13" s="4" t="s">
        <v>280</v>
      </c>
      <c r="D13" s="4" t="s">
        <v>180</v>
      </c>
      <c r="E13" s="3" t="s">
        <v>101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139</v>
      </c>
      <c r="L13" s="3" t="s">
        <v>24</v>
      </c>
      <c r="M13" s="2" t="s">
        <v>27</v>
      </c>
      <c r="N13" s="2" t="s">
        <v>161</v>
      </c>
      <c r="O13" s="5">
        <v>0.39</v>
      </c>
      <c r="P13" s="5">
        <v>0.39</v>
      </c>
      <c r="Q13" s="6">
        <f>O13*A13</f>
        <v>1.17</v>
      </c>
      <c r="R13" s="6">
        <f t="shared" si="6"/>
        <v>1.17</v>
      </c>
      <c r="S13" s="4"/>
      <c r="T13" s="4" t="str">
        <f t="shared" si="0"/>
        <v>3,1N5818-TPCT-ND</v>
      </c>
      <c r="U13" s="4" t="str">
        <f t="shared" si="3"/>
        <v>2,1N5818-TPCT-ND</v>
      </c>
      <c r="V13" t="str">
        <f t="shared" ref="V13:V15" si="10">"Diode - " &amp;A13&amp;"x "&amp;E13</f>
        <v>Diode - 3x 1N5818-TP Schottky</v>
      </c>
      <c r="W13" t="str">
        <f t="shared" si="4"/>
        <v>833-1N5818-TP|3</v>
      </c>
      <c r="X13" t="str">
        <f t="shared" si="5"/>
        <v>1N5818-TP 3</v>
      </c>
    </row>
    <row r="14" spans="1:24" ht="16.5" thickBot="1">
      <c r="A14" s="18">
        <f>LEN(C14)-LEN(SUBSTITUTE(C14,",",""))+1</f>
        <v>6</v>
      </c>
      <c r="B14" s="18">
        <f t="shared" si="9"/>
        <v>4</v>
      </c>
      <c r="C14" s="4" t="s">
        <v>303</v>
      </c>
      <c r="D14" s="22" t="s">
        <v>109</v>
      </c>
      <c r="E14" s="3" t="s">
        <v>28</v>
      </c>
      <c r="F14" s="3" t="s">
        <v>84</v>
      </c>
      <c r="G14" s="3" t="s">
        <v>75</v>
      </c>
      <c r="H14" s="3"/>
      <c r="I14" s="3"/>
      <c r="J14" s="3"/>
      <c r="K14" s="3" t="s">
        <v>139</v>
      </c>
      <c r="L14" s="3" t="s">
        <v>185</v>
      </c>
      <c r="M14" s="2" t="s">
        <v>85</v>
      </c>
      <c r="N14" s="2" t="s">
        <v>172</v>
      </c>
      <c r="O14" s="5">
        <v>0.47</v>
      </c>
      <c r="P14" s="5">
        <v>0.1</v>
      </c>
      <c r="Q14" s="6">
        <f>O14*A14</f>
        <v>2.82</v>
      </c>
      <c r="R14" s="6">
        <f t="shared" si="6"/>
        <v>0.60000000000000009</v>
      </c>
      <c r="S14" s="4"/>
      <c r="T14" s="4" t="str">
        <f t="shared" si="0"/>
        <v>6,160-1139-ND</v>
      </c>
      <c r="U14" s="4" t="str">
        <f t="shared" si="3"/>
        <v>4,160-1139-ND</v>
      </c>
      <c r="V14" t="str">
        <f t="shared" si="10"/>
        <v>Diode - 6x LED-Red</v>
      </c>
      <c r="W14" t="str">
        <f t="shared" si="4"/>
        <v>859-LTL-4221N|6</v>
      </c>
      <c r="X14" t="str">
        <f t="shared" si="5"/>
        <v>LTL-4221N 6</v>
      </c>
    </row>
    <row r="15" spans="1:24" ht="26.25" thickBot="1">
      <c r="A15" s="18">
        <f>LEN(C15)-LEN(SUBSTITUTE(C15,",",""))+1</f>
        <v>4</v>
      </c>
      <c r="B15" s="18">
        <f t="shared" si="9"/>
        <v>2</v>
      </c>
      <c r="C15" s="4" t="s">
        <v>305</v>
      </c>
      <c r="D15" s="22" t="s">
        <v>108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138</v>
      </c>
      <c r="L15" s="3" t="s">
        <v>31</v>
      </c>
      <c r="M15" s="2" t="s">
        <v>32</v>
      </c>
      <c r="N15" s="2" t="s">
        <v>162</v>
      </c>
      <c r="O15" s="5">
        <v>0.11</v>
      </c>
      <c r="P15" s="5">
        <v>0.11</v>
      </c>
      <c r="Q15" s="6">
        <f>O15*A15</f>
        <v>0.44</v>
      </c>
      <c r="R15" s="6">
        <f t="shared" si="6"/>
        <v>0.44</v>
      </c>
      <c r="S15" s="4"/>
      <c r="T15" s="4" t="str">
        <f t="shared" si="0"/>
        <v>4,1N4004-TPMSCT-ND</v>
      </c>
      <c r="U15" s="4" t="str">
        <f t="shared" si="3"/>
        <v>2,1N4004-TPMSCT-ND</v>
      </c>
      <c r="V15" t="str">
        <f t="shared" si="10"/>
        <v>Diode - 4x 1N4004</v>
      </c>
      <c r="W15" t="str">
        <f t="shared" si="4"/>
        <v>833-1N4004-TP|4</v>
      </c>
      <c r="X15" t="str">
        <f t="shared" si="5"/>
        <v>1N4004-TP 4</v>
      </c>
    </row>
    <row r="16" spans="1:24" ht="16.5" thickBot="1">
      <c r="A16" s="16"/>
      <c r="B16" s="16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4"/>
      <c r="T16" s="4" t="str">
        <f t="shared" si="0"/>
        <v/>
      </c>
      <c r="U16" s="4" t="str">
        <f t="shared" si="3"/>
        <v/>
      </c>
      <c r="V16" t="str">
        <f>A16&amp;"x "&amp;E16</f>
        <v xml:space="preserve">x </v>
      </c>
      <c r="W16" t="str">
        <f t="shared" si="4"/>
        <v/>
      </c>
      <c r="X16" t="str">
        <f t="shared" si="5"/>
        <v xml:space="preserve"> </v>
      </c>
    </row>
    <row r="17" spans="1:24" ht="16.5" thickBot="1">
      <c r="A17" s="18">
        <v>1</v>
      </c>
      <c r="B17" s="18">
        <f t="shared" ref="B17" si="11">LEN(D17)-LEN(SUBSTITUTE(D17,",",""))+1</f>
        <v>1</v>
      </c>
      <c r="C17" s="4" t="s">
        <v>83</v>
      </c>
      <c r="D17" s="4" t="s">
        <v>83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139</v>
      </c>
      <c r="L17" s="3" t="s">
        <v>37</v>
      </c>
      <c r="M17" s="2" t="s">
        <v>38</v>
      </c>
      <c r="N17" s="2" t="s">
        <v>163</v>
      </c>
      <c r="O17" s="5">
        <v>0.72</v>
      </c>
      <c r="P17" s="5">
        <v>0.72</v>
      </c>
      <c r="Q17" s="6">
        <f>O17*A17</f>
        <v>0.72</v>
      </c>
      <c r="R17" s="6">
        <f t="shared" si="6"/>
        <v>0.72</v>
      </c>
      <c r="S17" s="4"/>
      <c r="T17" s="4" t="str">
        <f t="shared" si="0"/>
        <v>1,P7307-ND</v>
      </c>
      <c r="U17" s="4" t="str">
        <f t="shared" si="3"/>
        <v>1,P7307-ND</v>
      </c>
      <c r="V17" t="str">
        <f>A17&amp;"x "&amp;E17</f>
        <v>1x Surge Protection</v>
      </c>
      <c r="W17" t="str">
        <f t="shared" si="4"/>
        <v>667-ERZ-V14D220|1</v>
      </c>
      <c r="X17" t="str">
        <f t="shared" si="5"/>
        <v>ERZ-V14D220 1</v>
      </c>
    </row>
    <row r="18" spans="1:24" ht="16.5" thickBot="1">
      <c r="A18" s="16"/>
      <c r="B18" s="16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4"/>
      <c r="T18" s="4" t="str">
        <f t="shared" si="0"/>
        <v/>
      </c>
      <c r="U18" s="4" t="str">
        <f t="shared" si="3"/>
        <v/>
      </c>
      <c r="V18" t="str">
        <f>A18&amp;"x "&amp;E18</f>
        <v xml:space="preserve">x </v>
      </c>
      <c r="W18" t="str">
        <f t="shared" si="4"/>
        <v/>
      </c>
      <c r="X18" t="str">
        <f t="shared" si="5"/>
        <v xml:space="preserve"> </v>
      </c>
    </row>
    <row r="19" spans="1:24" ht="26.25" thickBot="1">
      <c r="A19" s="18">
        <v>4</v>
      </c>
      <c r="B19" s="18">
        <v>4</v>
      </c>
      <c r="C19" s="4" t="s">
        <v>82</v>
      </c>
      <c r="D19" s="4" t="s">
        <v>82</v>
      </c>
      <c r="E19" s="3" t="s">
        <v>96</v>
      </c>
      <c r="F19" s="3" t="s">
        <v>90</v>
      </c>
      <c r="G19" s="3"/>
      <c r="H19" s="3"/>
      <c r="I19" s="3">
        <v>1</v>
      </c>
      <c r="J19" s="3" t="s">
        <v>89</v>
      </c>
      <c r="K19" s="3" t="s">
        <v>139</v>
      </c>
      <c r="L19" s="3" t="s">
        <v>205</v>
      </c>
      <c r="M19" s="2" t="s">
        <v>88</v>
      </c>
      <c r="N19" s="2" t="s">
        <v>206</v>
      </c>
      <c r="O19" s="6">
        <v>0.56000000000000005</v>
      </c>
      <c r="P19" s="24">
        <v>2.95</v>
      </c>
      <c r="Q19" s="6">
        <f>O19*A19</f>
        <v>2.2400000000000002</v>
      </c>
      <c r="R19" s="6">
        <f t="shared" si="6"/>
        <v>11.8</v>
      </c>
      <c r="S19" s="4" t="s">
        <v>173</v>
      </c>
      <c r="T19" s="4" t="str">
        <f t="shared" si="0"/>
        <v>4,S1012EC-40-ND</v>
      </c>
      <c r="U19" s="4" t="str">
        <f t="shared" si="3"/>
        <v>4,S1012EC-40-ND</v>
      </c>
      <c r="V19" t="str">
        <f>A19&amp;"x "&amp;E19</f>
        <v>4x 40 POS 0.100 Pin Header</v>
      </c>
      <c r="W19" t="str">
        <f t="shared" si="4"/>
        <v>571-41037410|4</v>
      </c>
      <c r="X19" t="str">
        <f t="shared" si="5"/>
        <v>PREC040SAAN-RC.. 4</v>
      </c>
    </row>
    <row r="20" spans="1:24" ht="16.5" thickBot="1">
      <c r="A20" s="18">
        <v>1</v>
      </c>
      <c r="B20" s="18">
        <v>4</v>
      </c>
      <c r="C20" s="4" t="s">
        <v>219</v>
      </c>
      <c r="D20" s="4" t="s">
        <v>82</v>
      </c>
      <c r="E20" s="3" t="s">
        <v>257</v>
      </c>
      <c r="F20" s="3" t="s">
        <v>258</v>
      </c>
      <c r="G20" s="3"/>
      <c r="H20" s="3"/>
      <c r="I20" s="3">
        <v>1</v>
      </c>
      <c r="J20" s="3" t="s">
        <v>221</v>
      </c>
      <c r="K20" s="3" t="s">
        <v>139</v>
      </c>
      <c r="L20" s="27" t="s">
        <v>254</v>
      </c>
      <c r="M20" s="30" t="s">
        <v>256</v>
      </c>
      <c r="N20" s="2" t="s">
        <v>255</v>
      </c>
      <c r="O20" s="6">
        <v>1</v>
      </c>
      <c r="P20" s="28">
        <v>0.88200000000000001</v>
      </c>
      <c r="Q20" s="6">
        <f>O20*A20</f>
        <v>1</v>
      </c>
      <c r="R20" s="6">
        <f t="shared" ref="R20" si="12">P20*A20</f>
        <v>0.88200000000000001</v>
      </c>
      <c r="S20" s="4"/>
      <c r="T20" s="4" t="str">
        <f t="shared" ref="T20" si="13">IF(NOT(M20=""),A20&amp;","&amp;M20,"")</f>
        <v>1,WM1353-ND</v>
      </c>
      <c r="U20" s="4" t="str">
        <f t="shared" ref="U20" si="14">IF(NOT(M20=""),B20&amp;","&amp;M20,"")</f>
        <v>4,WM1353-ND</v>
      </c>
      <c r="V20" t="str">
        <f t="shared" ref="V20" si="15">A20&amp;"x "&amp;E20</f>
        <v>1x 6 POS Header</v>
      </c>
      <c r="W20" t="str">
        <f t="shared" ref="W20" si="16">IF(NOT(N20=""),N20&amp;"|"&amp;A20,"")</f>
        <v>538-39-30-1060|1</v>
      </c>
      <c r="X20" t="str">
        <f t="shared" ref="X20" si="17">L20&amp;" "&amp;A20</f>
        <v>39-30-1060 1</v>
      </c>
    </row>
    <row r="21" spans="1:24" ht="16.5" thickBot="1">
      <c r="A21" s="18">
        <v>1</v>
      </c>
      <c r="B21" s="18">
        <v>4</v>
      </c>
      <c r="C21" s="4" t="s">
        <v>230</v>
      </c>
      <c r="D21" s="4" t="s">
        <v>82</v>
      </c>
      <c r="E21" s="3" t="s">
        <v>220</v>
      </c>
      <c r="F21" s="3" t="s">
        <v>232</v>
      </c>
      <c r="G21" s="3"/>
      <c r="H21" s="3"/>
      <c r="I21" s="3">
        <v>1</v>
      </c>
      <c r="J21" s="3" t="s">
        <v>234</v>
      </c>
      <c r="K21" s="3" t="s">
        <v>139</v>
      </c>
      <c r="L21" s="27" t="s">
        <v>235</v>
      </c>
      <c r="M21" s="30" t="s">
        <v>240</v>
      </c>
      <c r="N21" s="2" t="s">
        <v>239</v>
      </c>
      <c r="O21" s="6">
        <v>0.38</v>
      </c>
      <c r="P21" s="28">
        <v>0.76</v>
      </c>
      <c r="Q21" s="6">
        <f>O21*A21</f>
        <v>0.38</v>
      </c>
      <c r="R21" s="6">
        <f t="shared" ref="R21:R22" si="18">P21*A21</f>
        <v>0.76</v>
      </c>
      <c r="S21" s="4"/>
      <c r="T21" s="4" t="str">
        <f t="shared" ref="T21:T22" si="19">IF(NOT(M21=""),A21&amp;","&amp;M21,"")</f>
        <v>1,SAM1213-04-ND</v>
      </c>
      <c r="U21" s="4" t="str">
        <f t="shared" ref="U21:U22" si="20">IF(NOT(M21=""),B21&amp;","&amp;M21,"")</f>
        <v>4,SAM1213-04-ND</v>
      </c>
      <c r="V21" t="str">
        <f t="shared" ref="V21:V22" si="21">A21&amp;"x "&amp;E21</f>
        <v>1x 4 POS Header</v>
      </c>
      <c r="W21" t="str">
        <f t="shared" ref="W21:W22" si="22">IF(NOT(N21=""),N21&amp;"|"&amp;A21,"")</f>
        <v>200-SSW10401TS|1</v>
      </c>
      <c r="X21" t="str">
        <f t="shared" ref="X21:X22" si="23">L21&amp;" "&amp;A21</f>
        <v>SSW-104-01-T-S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231</v>
      </c>
      <c r="F22" s="3" t="s">
        <v>233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236</v>
      </c>
      <c r="M22" s="30" t="s">
        <v>238</v>
      </c>
      <c r="N22" s="2" t="s">
        <v>237</v>
      </c>
      <c r="O22" s="6">
        <v>0.23</v>
      </c>
      <c r="P22" s="28">
        <v>0.49</v>
      </c>
      <c r="Q22" s="6">
        <f>O22*A22</f>
        <v>0.23</v>
      </c>
      <c r="R22" s="6">
        <f t="shared" si="18"/>
        <v>0.49</v>
      </c>
      <c r="S22" s="4"/>
      <c r="T22" s="4" t="str">
        <f t="shared" si="19"/>
        <v>1,SAM1213-02-ND</v>
      </c>
      <c r="U22" s="4" t="str">
        <f t="shared" si="20"/>
        <v>4,SAM1213-02-ND</v>
      </c>
      <c r="V22" t="str">
        <f t="shared" si="21"/>
        <v>1x 2 POS Header</v>
      </c>
      <c r="W22" t="str">
        <f t="shared" si="22"/>
        <v>200-SSW10201TS|1</v>
      </c>
      <c r="X22" t="str">
        <f t="shared" si="23"/>
        <v>SSW-102-01-T-S 1</v>
      </c>
    </row>
    <row r="23" spans="1:24" ht="16.5" thickBot="1">
      <c r="A23" s="16"/>
      <c r="B23" s="16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4"/>
      <c r="T23" s="4" t="str">
        <f t="shared" ref="T23:T43" si="24">IF(NOT(M23=""),A23&amp;","&amp;M23,"")</f>
        <v/>
      </c>
      <c r="U23" s="4" t="str">
        <f t="shared" ref="U23:U36" si="25">IF(NOT(M23=""),B23&amp;","&amp;M23,"")</f>
        <v/>
      </c>
      <c r="V23" t="str">
        <f>A23&amp;"x "&amp;E23</f>
        <v xml:space="preserve">x </v>
      </c>
      <c r="W23" t="str">
        <f>IF(NOT(N23=""),N23&amp;"|"&amp;A23,"")</f>
        <v/>
      </c>
      <c r="X23" t="str">
        <f>L23&amp;" "&amp;A23</f>
        <v xml:space="preserve"> </v>
      </c>
    </row>
    <row r="24" spans="1:24" ht="26.25" thickBot="1">
      <c r="A24" s="18">
        <f>LEN(C24)-LEN(SUBSTITUTE(C24,",",""))+1</f>
        <v>5</v>
      </c>
      <c r="B24" s="18">
        <f t="shared" ref="B24" si="26">LEN(D24)-LEN(SUBSTITUTE(D24,",",""))+1</f>
        <v>6</v>
      </c>
      <c r="C24" s="4" t="s">
        <v>302</v>
      </c>
      <c r="D24" s="22" t="s">
        <v>107</v>
      </c>
      <c r="E24" s="3" t="s">
        <v>97</v>
      </c>
      <c r="F24" s="3" t="s">
        <v>204</v>
      </c>
      <c r="G24" s="3" t="s">
        <v>65</v>
      </c>
      <c r="H24" s="3"/>
      <c r="I24" s="3">
        <v>8</v>
      </c>
      <c r="J24" s="3" t="s">
        <v>39</v>
      </c>
      <c r="K24" s="3" t="s">
        <v>138</v>
      </c>
      <c r="L24" s="3" t="s">
        <v>202</v>
      </c>
      <c r="M24" s="2" t="s">
        <v>203</v>
      </c>
      <c r="N24" s="2" t="s">
        <v>164</v>
      </c>
      <c r="O24" s="6">
        <v>1.51</v>
      </c>
      <c r="P24" s="6">
        <v>1.51</v>
      </c>
      <c r="Q24" s="6">
        <f>O24*A24</f>
        <v>7.55</v>
      </c>
      <c r="R24" s="6">
        <f t="shared" si="6"/>
        <v>7.55</v>
      </c>
      <c r="S24" s="4"/>
      <c r="T24" s="4" t="str">
        <f t="shared" si="24"/>
        <v>5,497-5981-5-ND</v>
      </c>
      <c r="U24" s="4" t="str">
        <f t="shared" si="25"/>
        <v>6,497-5981-5-ND</v>
      </c>
      <c r="V24" t="str">
        <f>A24&amp;"x "&amp;E24</f>
        <v>5x 62A MOSFET N-CH</v>
      </c>
      <c r="W24" t="str">
        <f>IF(NOT(N24=""),N24&amp;"|"&amp;A24,"")</f>
        <v>511-STP62NS04Z|5</v>
      </c>
      <c r="X24" t="str">
        <f>L24&amp;" "&amp;A24</f>
        <v>STP75NS04Z 5</v>
      </c>
    </row>
    <row r="25" spans="1:24" ht="26.25" thickBot="1">
      <c r="A25" s="18">
        <f>LEN(C25)-LEN(SUBSTITUTE(C25,",",""))+1</f>
        <v>4</v>
      </c>
      <c r="B25" s="18">
        <f t="shared" ref="B25:B26" si="27">LEN(D25)-LEN(SUBSTITUTE(D25,",",""))+1</f>
        <v>6</v>
      </c>
      <c r="C25" s="4" t="s">
        <v>300</v>
      </c>
      <c r="D25" s="22" t="s">
        <v>107</v>
      </c>
      <c r="E25" s="3" t="s">
        <v>214</v>
      </c>
      <c r="F25" s="3" t="s">
        <v>215</v>
      </c>
      <c r="G25" s="3" t="s">
        <v>216</v>
      </c>
      <c r="H25" s="3"/>
      <c r="I25" s="3">
        <v>8</v>
      </c>
      <c r="J25" s="3" t="s">
        <v>21</v>
      </c>
      <c r="K25" s="3" t="s">
        <v>138</v>
      </c>
      <c r="L25" s="3" t="s">
        <v>217</v>
      </c>
      <c r="M25" s="29" t="s">
        <v>227</v>
      </c>
      <c r="N25" s="2" t="s">
        <v>218</v>
      </c>
      <c r="O25" s="6">
        <v>2.62</v>
      </c>
      <c r="P25" s="6">
        <v>2.9</v>
      </c>
      <c r="Q25" s="6">
        <f>O25*A25</f>
        <v>10.48</v>
      </c>
      <c r="R25" s="6">
        <f t="shared" ref="R25:R26" si="28">P25*A25</f>
        <v>11.6</v>
      </c>
      <c r="S25" s="4"/>
      <c r="T25" s="4" t="str">
        <f t="shared" ref="T25" si="29">IF(NOT(M25=""),A25&amp;","&amp;M25,"")</f>
        <v>4,ISL9V5036P3-F085-ND</v>
      </c>
      <c r="U25" s="4" t="str">
        <f t="shared" si="25"/>
        <v>6,ISL9V5036P3-F085-ND</v>
      </c>
      <c r="V25" t="str">
        <f t="shared" ref="V25:V26" si="30">A25&amp;"x "&amp;E25</f>
        <v>4x Ignition IGBT</v>
      </c>
      <c r="W25" t="str">
        <f t="shared" ref="W25" si="31">IF(NOT(N25=""),N25&amp;"|"&amp;A25,"")</f>
        <v>512-ISL9V5036P3-F085
|4</v>
      </c>
      <c r="X25" t="str">
        <f t="shared" ref="X25" si="32">L25&amp;" "&amp;A25</f>
        <v>ISL9V5036P3-F085 4</v>
      </c>
    </row>
    <row r="26" spans="1:24" ht="16.5" thickBot="1">
      <c r="A26" s="18">
        <f>LEN(C26)-LEN(SUBSTITUTE(C26,",",""))+1</f>
        <v>1</v>
      </c>
      <c r="B26" s="18">
        <f t="shared" si="27"/>
        <v>6</v>
      </c>
      <c r="C26" s="32" t="s">
        <v>281</v>
      </c>
      <c r="D26" s="22" t="s">
        <v>107</v>
      </c>
      <c r="E26" s="3" t="s">
        <v>282</v>
      </c>
      <c r="F26" s="3" t="s">
        <v>283</v>
      </c>
      <c r="G26" s="3" t="s">
        <v>224</v>
      </c>
      <c r="H26" s="3"/>
      <c r="I26" s="3">
        <v>8</v>
      </c>
      <c r="J26" s="3" t="s">
        <v>21</v>
      </c>
      <c r="K26" s="3" t="s">
        <v>138</v>
      </c>
      <c r="L26" s="3" t="s">
        <v>284</v>
      </c>
      <c r="M26" s="30" t="s">
        <v>286</v>
      </c>
      <c r="N26" s="2" t="s">
        <v>285</v>
      </c>
      <c r="O26" s="6">
        <v>0.25</v>
      </c>
      <c r="P26" s="6">
        <v>0.28999999999999998</v>
      </c>
      <c r="Q26" s="6">
        <f>O26*A26</f>
        <v>0.25</v>
      </c>
      <c r="R26" s="6">
        <f t="shared" si="28"/>
        <v>0.28999999999999998</v>
      </c>
      <c r="S26" s="4"/>
      <c r="T26" s="4" t="str">
        <f>IF(NOT(M27=""),A26&amp;","&amp;M27,"")</f>
        <v>1,PN2222AFS-ND</v>
      </c>
      <c r="U26" s="4" t="str">
        <f>IF(NOT(M27=""),B26&amp;","&amp;M27,"")</f>
        <v>6,PN2222AFS-ND</v>
      </c>
      <c r="V26" t="str">
        <f t="shared" si="30"/>
        <v>1x PNP transistor</v>
      </c>
      <c r="W26" t="str">
        <f>IF(NOT(N27=""),N27&amp;"|"&amp;A26,"")</f>
        <v>512-PN2222ABU|1</v>
      </c>
      <c r="X26" t="str">
        <f>L27&amp;" "&amp;A26</f>
        <v>PN2222ABU 1</v>
      </c>
    </row>
    <row r="27" spans="1:24" ht="16.5" thickBot="1">
      <c r="A27" s="18">
        <f>LEN(C27)-LEN(SUBSTITUTE(C27,",",""))+1</f>
        <v>1</v>
      </c>
      <c r="B27" s="18">
        <f t="shared" ref="B27" si="33">LEN(D27)-LEN(SUBSTITUTE(D27,",",""))+1</f>
        <v>6</v>
      </c>
      <c r="C27" s="4" t="s">
        <v>241</v>
      </c>
      <c r="D27" s="22" t="s">
        <v>107</v>
      </c>
      <c r="E27" s="3" t="s">
        <v>223</v>
      </c>
      <c r="F27" s="3" t="s">
        <v>222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225</v>
      </c>
      <c r="M27" s="30" t="s">
        <v>228</v>
      </c>
      <c r="N27" s="2" t="s">
        <v>226</v>
      </c>
      <c r="O27" s="6">
        <v>0.25</v>
      </c>
      <c r="P27" s="6">
        <v>0.28999999999999998</v>
      </c>
      <c r="Q27" s="6">
        <f>O27*A27</f>
        <v>0.25</v>
      </c>
      <c r="R27" s="6">
        <f t="shared" ref="R27" si="34">P27*A27</f>
        <v>0.28999999999999998</v>
      </c>
      <c r="S27" s="4"/>
      <c r="T27" s="4" t="str">
        <f>IF(NOT(M26=""),A27&amp;","&amp;M26,"")</f>
        <v>1,PN2907ABUFS-ND</v>
      </c>
      <c r="U27" s="4" t="str">
        <f>IF(NOT(M26=""),B27&amp;","&amp;M26,"")</f>
        <v>6,PN2907ABUFS-ND</v>
      </c>
      <c r="V27" t="str">
        <f t="shared" ref="V27" si="35">A27&amp;"x "&amp;E27</f>
        <v>1x NPN transistor</v>
      </c>
      <c r="W27" t="str">
        <f>IF(NOT(N26=""),N26&amp;"|"&amp;A27,"")</f>
        <v>512-PN2907ABU|1</v>
      </c>
      <c r="X27" t="str">
        <f>L26&amp;" "&amp;A27</f>
        <v>PN2907ABU 1</v>
      </c>
    </row>
    <row r="28" spans="1:24" ht="16.5" thickBot="1">
      <c r="A28" s="16"/>
      <c r="B28" s="16"/>
      <c r="C28" s="4"/>
      <c r="D28" s="4"/>
      <c r="E28" s="3"/>
      <c r="F28" s="3"/>
      <c r="G28" s="3"/>
      <c r="H28" s="3"/>
      <c r="I28" s="3"/>
      <c r="J28" s="3"/>
      <c r="K28" s="3"/>
      <c r="O28" s="3"/>
      <c r="P28" s="3"/>
      <c r="Q28" s="3"/>
      <c r="R28" s="6"/>
      <c r="S28" s="4"/>
      <c r="T28" s="4" t="e">
        <f>IF(NOT(#REF!=""),A28&amp;","&amp;#REF!,"")</f>
        <v>#REF!</v>
      </c>
      <c r="U28" s="4" t="e">
        <f>IF(NOT(#REF!=""),B28&amp;","&amp;#REF!,"")</f>
        <v>#REF!</v>
      </c>
      <c r="W28" t="e">
        <f>IF(NOT(#REF!=""),#REF!&amp;"|"&amp;A28,"")</f>
        <v>#REF!</v>
      </c>
      <c r="X28" t="e">
        <f>#REF!&amp;" "&amp;A28</f>
        <v>#REF!</v>
      </c>
    </row>
    <row r="29" spans="1:24" ht="16.5" thickBot="1">
      <c r="A29" s="18">
        <f>LEN(C29)-LEN(SUBSTITUTE(C29,",",""))+1</f>
        <v>1</v>
      </c>
      <c r="B29" s="18">
        <f t="shared" ref="A29:B34" si="36">LEN(D29)-LEN(SUBSTITUTE(D29,",",""))+1</f>
        <v>1</v>
      </c>
      <c r="C29" s="4" t="s">
        <v>194</v>
      </c>
      <c r="D29" s="4" t="s">
        <v>194</v>
      </c>
      <c r="E29" s="3" t="s">
        <v>40</v>
      </c>
      <c r="F29" s="3" t="s">
        <v>41</v>
      </c>
      <c r="G29" s="3"/>
      <c r="H29" s="3"/>
      <c r="I29" s="3">
        <v>7</v>
      </c>
      <c r="J29" s="3" t="s">
        <v>42</v>
      </c>
      <c r="K29" s="3" t="s">
        <v>138</v>
      </c>
      <c r="L29" s="3" t="s">
        <v>187</v>
      </c>
      <c r="M29" s="2" t="s">
        <v>43</v>
      </c>
      <c r="N29" s="2" t="s">
        <v>242</v>
      </c>
      <c r="O29" s="5">
        <v>0.08</v>
      </c>
      <c r="P29" s="5">
        <v>0.11</v>
      </c>
      <c r="Q29" s="6">
        <f t="shared" ref="Q29:Q36" si="37">O29*A29</f>
        <v>0.08</v>
      </c>
      <c r="R29" s="6">
        <f t="shared" si="6"/>
        <v>0.11</v>
      </c>
      <c r="S29" s="4"/>
      <c r="T29" s="4" t="str">
        <f t="shared" si="24"/>
        <v>1,10.0KXBK-ND</v>
      </c>
      <c r="U29" s="4" t="str">
        <f t="shared" si="25"/>
        <v>1,10.0KXBK-ND</v>
      </c>
      <c r="V29" t="str">
        <f>"Resistor - " &amp; A29&amp;"x "&amp;E29</f>
        <v>Resistor - 1x 10k</v>
      </c>
      <c r="W29" t="str">
        <f t="shared" ref="W29:W36" si="38">IF(NOT(N29=""),N29&amp;"|"&amp;A29,"")</f>
        <v>603-MFR-25FBF52-10K|1</v>
      </c>
      <c r="X29" t="str">
        <f t="shared" ref="X29:X36" si="39">L29&amp;" "&amp;A29</f>
        <v>MFR-25FBF52-10K 1</v>
      </c>
    </row>
    <row r="30" spans="1:24" ht="26.25" thickBot="1">
      <c r="A30" s="18">
        <f>LEN(C30)-LEN(SUBSTITUTE(C30,",",""))+1</f>
        <v>16</v>
      </c>
      <c r="B30" s="18">
        <f t="shared" si="36"/>
        <v>13</v>
      </c>
      <c r="C30" s="4" t="s">
        <v>307</v>
      </c>
      <c r="D30" s="22" t="s">
        <v>196</v>
      </c>
      <c r="E30" s="3" t="s">
        <v>44</v>
      </c>
      <c r="F30" s="3" t="s">
        <v>45</v>
      </c>
      <c r="G30" s="3"/>
      <c r="H30" s="3"/>
      <c r="I30" s="3">
        <v>32</v>
      </c>
      <c r="J30" s="3" t="s">
        <v>42</v>
      </c>
      <c r="K30" s="3" t="s">
        <v>138</v>
      </c>
      <c r="L30" s="3" t="s">
        <v>186</v>
      </c>
      <c r="M30" s="2" t="s">
        <v>46</v>
      </c>
      <c r="N30" s="2" t="s">
        <v>243</v>
      </c>
      <c r="O30" s="5">
        <v>0.06</v>
      </c>
      <c r="P30" s="5">
        <v>0.11</v>
      </c>
      <c r="Q30" s="6">
        <f t="shared" si="37"/>
        <v>0.96</v>
      </c>
      <c r="R30" s="6">
        <f t="shared" si="6"/>
        <v>1.76</v>
      </c>
      <c r="S30" s="4"/>
      <c r="T30" s="4" t="str">
        <f t="shared" si="24"/>
        <v>16,1.00KXBK-ND</v>
      </c>
      <c r="U30" s="4" t="str">
        <f t="shared" si="25"/>
        <v>13,1.00KXBK-ND</v>
      </c>
      <c r="V30" t="str">
        <f t="shared" ref="V30:V36" si="40">"Resistor - " &amp; A30&amp;"x "&amp;E30</f>
        <v>Resistor - 16x 1k</v>
      </c>
      <c r="W30" t="str">
        <f t="shared" si="38"/>
        <v>603-MFR-25FBF52-1K|16</v>
      </c>
      <c r="X30" t="str">
        <f t="shared" si="39"/>
        <v>MFR-25FBF52-1K 16</v>
      </c>
    </row>
    <row r="31" spans="1:24" ht="16.5" thickBot="1">
      <c r="A31" s="18">
        <f>LEN(C31)-LEN(SUBSTITUTE(C31,",",""))+1</f>
        <v>2</v>
      </c>
      <c r="B31" s="18">
        <f t="shared" si="36"/>
        <v>2</v>
      </c>
      <c r="C31" s="12" t="s">
        <v>304</v>
      </c>
      <c r="D31" s="23" t="s">
        <v>197</v>
      </c>
      <c r="E31" s="13">
        <v>680</v>
      </c>
      <c r="F31" s="7" t="s">
        <v>115</v>
      </c>
      <c r="G31" s="3"/>
      <c r="H31" s="13"/>
      <c r="I31" s="13"/>
      <c r="J31" s="13" t="s">
        <v>116</v>
      </c>
      <c r="K31" s="13" t="s">
        <v>138</v>
      </c>
      <c r="L31" s="7" t="s">
        <v>184</v>
      </c>
      <c r="M31" s="2" t="s">
        <v>114</v>
      </c>
      <c r="N31" s="2" t="s">
        <v>166</v>
      </c>
      <c r="O31" s="14">
        <v>0.22</v>
      </c>
      <c r="P31" s="14">
        <v>0.15</v>
      </c>
      <c r="Q31" s="6">
        <f t="shared" si="37"/>
        <v>0.44</v>
      </c>
      <c r="R31" s="6">
        <f t="shared" si="6"/>
        <v>0.3</v>
      </c>
      <c r="S31" s="12" t="s">
        <v>87</v>
      </c>
      <c r="T31" s="4" t="str">
        <f t="shared" si="24"/>
        <v>2,A105963CT-ND</v>
      </c>
      <c r="U31" s="4" t="str">
        <f t="shared" si="25"/>
        <v>2,A105963CT-ND</v>
      </c>
      <c r="V31" t="str">
        <f t="shared" si="40"/>
        <v>Resistor - 2x 680</v>
      </c>
      <c r="W31" t="str">
        <f t="shared" si="38"/>
        <v>279-LR1F680R|2</v>
      </c>
      <c r="X31" t="str">
        <f t="shared" si="39"/>
        <v>1622545-1 2</v>
      </c>
    </row>
    <row r="32" spans="1:24" ht="26.25" thickBot="1">
      <c r="A32" s="18">
        <f>LEN(C32)-LEN(SUBSTITUTE(C32,",",""))+1</f>
        <v>6</v>
      </c>
      <c r="B32" s="18">
        <f t="shared" si="36"/>
        <v>6</v>
      </c>
      <c r="C32" s="4" t="s">
        <v>182</v>
      </c>
      <c r="D32" s="4" t="s">
        <v>136</v>
      </c>
      <c r="E32" s="3">
        <v>470</v>
      </c>
      <c r="F32" s="3" t="s">
        <v>47</v>
      </c>
      <c r="G32" s="3"/>
      <c r="H32" s="3"/>
      <c r="I32" s="3">
        <v>9</v>
      </c>
      <c r="J32" s="3" t="s">
        <v>48</v>
      </c>
      <c r="K32" s="3" t="s">
        <v>138</v>
      </c>
      <c r="L32" s="7" t="s">
        <v>49</v>
      </c>
      <c r="M32" s="2" t="s">
        <v>50</v>
      </c>
      <c r="N32" s="2" t="s">
        <v>167</v>
      </c>
      <c r="O32" s="5">
        <v>0.11</v>
      </c>
      <c r="P32" s="14">
        <v>0.15</v>
      </c>
      <c r="Q32" s="6">
        <f t="shared" si="37"/>
        <v>0.66</v>
      </c>
      <c r="R32" s="6">
        <f t="shared" si="6"/>
        <v>0.89999999999999991</v>
      </c>
      <c r="S32" s="4"/>
      <c r="T32" s="4" t="str">
        <f t="shared" si="24"/>
        <v>6,RNF14FTD470RCT-ND</v>
      </c>
      <c r="U32" s="4" t="str">
        <f t="shared" si="25"/>
        <v>6,RNF14FTD470RCT-ND</v>
      </c>
      <c r="V32" t="str">
        <f t="shared" si="40"/>
        <v>Resistor - 6x 470</v>
      </c>
      <c r="W32" t="str">
        <f t="shared" si="38"/>
        <v>279-LR1F470R|6</v>
      </c>
      <c r="X32" t="str">
        <f t="shared" si="39"/>
        <v>RNF14FTD470R 6</v>
      </c>
    </row>
    <row r="33" spans="1:24" ht="26.25" thickBot="1">
      <c r="A33" s="18">
        <f t="shared" si="36"/>
        <v>7</v>
      </c>
      <c r="B33" s="18">
        <f t="shared" si="36"/>
        <v>5</v>
      </c>
      <c r="C33" s="4" t="s">
        <v>298</v>
      </c>
      <c r="D33" s="4" t="s">
        <v>198</v>
      </c>
      <c r="E33" s="3" t="s">
        <v>189</v>
      </c>
      <c r="F33" s="3" t="s">
        <v>190</v>
      </c>
      <c r="G33" s="3" t="s">
        <v>51</v>
      </c>
      <c r="H33" s="3"/>
      <c r="I33" s="3">
        <v>3</v>
      </c>
      <c r="J33" s="3" t="s">
        <v>42</v>
      </c>
      <c r="K33" s="3" t="s">
        <v>138</v>
      </c>
      <c r="L33" s="3" t="s">
        <v>191</v>
      </c>
      <c r="M33" s="2" t="s">
        <v>188</v>
      </c>
      <c r="N33" s="2" t="s">
        <v>192</v>
      </c>
      <c r="O33" s="5">
        <v>0.14000000000000001</v>
      </c>
      <c r="P33" s="5">
        <v>0.16</v>
      </c>
      <c r="Q33" s="6">
        <f t="shared" si="37"/>
        <v>0.98000000000000009</v>
      </c>
      <c r="R33" s="6">
        <f t="shared" si="6"/>
        <v>1.1200000000000001</v>
      </c>
      <c r="S33" s="4"/>
      <c r="T33" s="4" t="str">
        <f t="shared" si="24"/>
        <v>7,2.49KXBK-ND</v>
      </c>
      <c r="U33" s="4" t="str">
        <f t="shared" si="25"/>
        <v>5,2.49KXBK-ND</v>
      </c>
      <c r="V33" t="str">
        <f t="shared" si="40"/>
        <v>Resistor - 7x 1% 2.49k</v>
      </c>
      <c r="W33" t="str">
        <f t="shared" si="38"/>
        <v>603-MFR-25FBF52-2K49|7</v>
      </c>
      <c r="X33" t="str">
        <f t="shared" si="39"/>
        <v>MFR-25FBF52-2K49 7</v>
      </c>
    </row>
    <row r="34" spans="1:24" ht="16.5" thickBot="1">
      <c r="A34" s="18">
        <v>1</v>
      </c>
      <c r="B34" s="18">
        <f t="shared" si="36"/>
        <v>1</v>
      </c>
      <c r="C34" s="4" t="s">
        <v>278</v>
      </c>
      <c r="D34" s="4" t="s">
        <v>71</v>
      </c>
      <c r="E34" s="3" t="s">
        <v>99</v>
      </c>
      <c r="F34" s="3" t="s">
        <v>52</v>
      </c>
      <c r="G34" s="3"/>
      <c r="H34" s="3"/>
      <c r="I34" s="3">
        <v>1</v>
      </c>
      <c r="J34" s="3" t="s">
        <v>42</v>
      </c>
      <c r="K34" s="3" t="s">
        <v>138</v>
      </c>
      <c r="L34" s="3" t="s">
        <v>53</v>
      </c>
      <c r="M34" s="2" t="s">
        <v>54</v>
      </c>
      <c r="N34" s="2" t="s">
        <v>168</v>
      </c>
      <c r="O34" s="5">
        <v>0.46</v>
      </c>
      <c r="P34" s="5">
        <v>1.1000000000000001</v>
      </c>
      <c r="Q34" s="6">
        <f t="shared" si="37"/>
        <v>0.46</v>
      </c>
      <c r="R34" s="6">
        <f t="shared" si="6"/>
        <v>1.1000000000000001</v>
      </c>
      <c r="S34" s="4" t="s">
        <v>86</v>
      </c>
      <c r="T34" s="4" t="str">
        <f t="shared" si="24"/>
        <v>1,3.9KADCT-ND</v>
      </c>
      <c r="U34" s="4" t="str">
        <f t="shared" si="25"/>
        <v>1,3.9KADCT-ND</v>
      </c>
      <c r="V34" t="str">
        <f t="shared" si="40"/>
        <v>Resistor - 1x 0.1% 3.9k</v>
      </c>
      <c r="W34" t="str">
        <f t="shared" si="38"/>
        <v>279-H83K9BDA|1</v>
      </c>
      <c r="X34" t="str">
        <f t="shared" si="39"/>
        <v>MFP-25BRD52-3K9 1</v>
      </c>
    </row>
    <row r="35" spans="1:24" ht="16.5" thickBot="1">
      <c r="A35" s="18">
        <f t="shared" ref="A35" si="41">LEN(C35)-LEN(SUBSTITUTE(C35,",",""))+1</f>
        <v>9</v>
      </c>
      <c r="B35" s="18">
        <f>LEN(D35)-LEN(SUBSTITUTE(D35,",",""))+1</f>
        <v>8</v>
      </c>
      <c r="C35" s="4" t="s">
        <v>306</v>
      </c>
      <c r="D35" s="22" t="s">
        <v>112</v>
      </c>
      <c r="E35" s="3" t="s">
        <v>55</v>
      </c>
      <c r="F35" s="3" t="s">
        <v>56</v>
      </c>
      <c r="G35" s="3"/>
      <c r="H35" s="3"/>
      <c r="I35" s="3">
        <v>17</v>
      </c>
      <c r="J35" s="3" t="s">
        <v>42</v>
      </c>
      <c r="K35" s="3" t="s">
        <v>138</v>
      </c>
      <c r="L35" s="3" t="s">
        <v>207</v>
      </c>
      <c r="M35" s="2" t="s">
        <v>57</v>
      </c>
      <c r="N35" s="2" t="s">
        <v>208</v>
      </c>
      <c r="O35" s="5">
        <v>0.1</v>
      </c>
      <c r="P35" s="5">
        <v>0.1</v>
      </c>
      <c r="Q35" s="6">
        <f t="shared" si="37"/>
        <v>0.9</v>
      </c>
      <c r="R35" s="6">
        <f t="shared" si="6"/>
        <v>0.9</v>
      </c>
      <c r="S35" s="4"/>
      <c r="T35" s="4" t="str">
        <f t="shared" si="24"/>
        <v>9,100KXBK-ND</v>
      </c>
      <c r="U35" s="4" t="str">
        <f t="shared" si="25"/>
        <v>8,100KXBK-ND</v>
      </c>
      <c r="V35" t="str">
        <f t="shared" si="40"/>
        <v>Resistor - 9x 100k</v>
      </c>
      <c r="W35" t="str">
        <f t="shared" si="38"/>
        <v>603-FMF-25FTF52100K|9</v>
      </c>
      <c r="X35" t="str">
        <f t="shared" si="39"/>
        <v>MFR-25FBF52-100K 9</v>
      </c>
    </row>
    <row r="36" spans="1:24" ht="16.5" thickBot="1">
      <c r="A36" s="18">
        <f>LEN(C36)-LEN(SUBSTITUTE(C36,",",""))+1</f>
        <v>4</v>
      </c>
      <c r="B36" s="18">
        <f>LEN(D36)-LEN(SUBSTITUTE(D36,",",""))+1</f>
        <v>2</v>
      </c>
      <c r="C36" s="4" t="s">
        <v>299</v>
      </c>
      <c r="D36" s="22" t="s">
        <v>110</v>
      </c>
      <c r="E36" s="3">
        <v>160</v>
      </c>
      <c r="F36" s="3" t="s">
        <v>58</v>
      </c>
      <c r="G36" s="3"/>
      <c r="H36" s="3"/>
      <c r="I36" s="3">
        <v>4</v>
      </c>
      <c r="J36" s="3" t="s">
        <v>42</v>
      </c>
      <c r="K36" s="3" t="s">
        <v>138</v>
      </c>
      <c r="L36" s="3" t="s">
        <v>59</v>
      </c>
      <c r="M36" s="2" t="s">
        <v>60</v>
      </c>
      <c r="N36" s="2" t="s">
        <v>169</v>
      </c>
      <c r="O36" s="5">
        <v>0.27</v>
      </c>
      <c r="P36" s="5">
        <v>0.23</v>
      </c>
      <c r="Q36" s="6">
        <f t="shared" si="37"/>
        <v>1.08</v>
      </c>
      <c r="R36" s="6">
        <f t="shared" si="6"/>
        <v>0.92</v>
      </c>
      <c r="S36" s="4"/>
      <c r="T36" s="4" t="str">
        <f t="shared" si="24"/>
        <v>4,160YCT-ND</v>
      </c>
      <c r="U36" s="4" t="str">
        <f t="shared" si="25"/>
        <v>2,160YCT-ND</v>
      </c>
      <c r="V36" t="str">
        <f t="shared" si="40"/>
        <v>Resistor - 4x 160</v>
      </c>
      <c r="W36" t="str">
        <f t="shared" si="38"/>
        <v>594-5083NW160R0J|4</v>
      </c>
      <c r="X36" t="str">
        <f t="shared" si="39"/>
        <v>FMP200FRF52-160R 4</v>
      </c>
    </row>
    <row r="37" spans="1:24" ht="26.25" thickBot="1">
      <c r="A37" s="18">
        <f>LEN(C37)-LEN(SUBSTITUTE(C37,",",""))+1</f>
        <v>2</v>
      </c>
      <c r="B37" s="18">
        <f>LEN(D37)-LEN(SUBSTITUTE(D37,",",""))+1</f>
        <v>2</v>
      </c>
      <c r="C37" s="4" t="s">
        <v>279</v>
      </c>
      <c r="D37" s="22" t="s">
        <v>110</v>
      </c>
      <c r="E37" s="3" t="s">
        <v>210</v>
      </c>
      <c r="F37" s="3" t="s">
        <v>211</v>
      </c>
      <c r="G37" s="3"/>
      <c r="H37" s="3"/>
      <c r="I37" s="3">
        <v>4</v>
      </c>
      <c r="J37" s="3" t="s">
        <v>42</v>
      </c>
      <c r="K37" s="3" t="s">
        <v>138</v>
      </c>
      <c r="L37" s="3" t="s">
        <v>212</v>
      </c>
      <c r="M37" s="2"/>
      <c r="N37" s="2" t="s">
        <v>213</v>
      </c>
      <c r="O37" s="5"/>
      <c r="P37" s="5">
        <v>0.1</v>
      </c>
      <c r="Q37" s="6">
        <f t="shared" ref="Q37" si="42">O37*A37</f>
        <v>0</v>
      </c>
      <c r="R37" s="6">
        <f t="shared" ref="R37" si="43">P37*A37</f>
        <v>0.2</v>
      </c>
      <c r="S37" s="4"/>
      <c r="T37" s="4" t="str">
        <f t="shared" ref="T37" si="44">IF(NOT(M37=""),A37&amp;","&amp;M37,"")</f>
        <v/>
      </c>
      <c r="U37" s="4" t="str">
        <f t="shared" ref="U37" si="45">IF(NOT(M37=""),B37&amp;","&amp;M37,"")</f>
        <v/>
      </c>
      <c r="V37" t="str">
        <f t="shared" ref="V37" si="46">"Resistor - " &amp; A37&amp;"x "&amp;E37</f>
        <v>Resistor - 2x 7.5k</v>
      </c>
      <c r="W37" t="str">
        <f t="shared" ref="W37" si="47">IF(NOT(N37=""),N37&amp;"|"&amp;A37,"")</f>
        <v>603-MFR-25FBF52-7K5
|2</v>
      </c>
      <c r="X37" t="str">
        <f t="shared" ref="X37" si="48">L37&amp;" "&amp;A37</f>
        <v>MFR-25FBF52-7K5 2</v>
      </c>
    </row>
    <row r="38" spans="1:24" ht="16.5" thickBot="1">
      <c r="A38" s="16"/>
      <c r="B38" s="16"/>
      <c r="C38" s="4"/>
      <c r="D38" s="4"/>
      <c r="E38" s="3"/>
      <c r="F38" s="3"/>
      <c r="G38" s="3"/>
      <c r="H38" s="3"/>
      <c r="I38" s="3"/>
      <c r="J38" s="3"/>
      <c r="K38" s="3"/>
      <c r="L38" s="3"/>
      <c r="M38" s="2"/>
      <c r="N38" s="2"/>
      <c r="O38" s="3"/>
      <c r="P38" s="3"/>
      <c r="Q38" s="3"/>
      <c r="R38" s="6"/>
      <c r="S38" s="4"/>
      <c r="T38" s="4" t="str">
        <f t="shared" si="24"/>
        <v/>
      </c>
      <c r="U38" s="4" t="str">
        <f>IF(NOT(M38=""),B38&amp;","&amp;M38,"")</f>
        <v/>
      </c>
      <c r="W38" t="str">
        <f>IF(NOT(N38=""),N38&amp;"|"&amp;A38,"")</f>
        <v/>
      </c>
      <c r="X38" t="str">
        <f>L38&amp;" "&amp;A38</f>
        <v xml:space="preserve"> </v>
      </c>
    </row>
    <row r="39" spans="1:24" ht="26.25" thickBot="1">
      <c r="A39" s="18">
        <v>1</v>
      </c>
      <c r="B39" s="18">
        <f t="shared" ref="B39:B43" si="49">LEN(D39)-LEN(SUBSTITUTE(D39,",",""))+1</f>
        <v>1</v>
      </c>
      <c r="C39" s="4" t="s">
        <v>61</v>
      </c>
      <c r="D39" s="4" t="s">
        <v>61</v>
      </c>
      <c r="E39" s="3" t="s">
        <v>63</v>
      </c>
      <c r="F39" s="3" t="s">
        <v>64</v>
      </c>
      <c r="G39" s="3" t="s">
        <v>65</v>
      </c>
      <c r="H39" s="3"/>
      <c r="I39" s="3">
        <v>2</v>
      </c>
      <c r="J39" s="3" t="s">
        <v>66</v>
      </c>
      <c r="K39" s="3" t="s">
        <v>138</v>
      </c>
      <c r="L39" s="3" t="s">
        <v>63</v>
      </c>
      <c r="M39" s="2" t="s">
        <v>63</v>
      </c>
      <c r="N39" s="2" t="s">
        <v>165</v>
      </c>
      <c r="O39" s="5">
        <v>1.68</v>
      </c>
      <c r="P39" s="5">
        <v>1.67</v>
      </c>
      <c r="Q39" s="6">
        <f>O39*A39</f>
        <v>1.68</v>
      </c>
      <c r="R39" s="6">
        <f t="shared" si="6"/>
        <v>1.67</v>
      </c>
      <c r="S39" s="4"/>
      <c r="T39" s="4" t="str">
        <f t="shared" si="24"/>
        <v>1,LM2940T-5.0/NOPB</v>
      </c>
      <c r="U39" s="4" t="str">
        <f>IF(NOT(M39=""),B39&amp;","&amp;M39,"")</f>
        <v>1,LM2940T-5.0/NOPB</v>
      </c>
      <c r="V39" t="str">
        <f>A39&amp;"x "&amp;E39</f>
        <v>1x LM2940T-5.0/NOPB</v>
      </c>
      <c r="W39" t="str">
        <f>IF(NOT(N39=""),N39&amp;"|"&amp;A39,"")</f>
        <v>926-LM2940T-5.0/NOPB|1</v>
      </c>
      <c r="X39" t="str">
        <f>L39&amp;" "&amp;A39</f>
        <v>LM2940T-5.0/NOPB 1</v>
      </c>
    </row>
    <row r="40" spans="1:24" ht="16.5" thickBot="1">
      <c r="A40" s="18">
        <v>1</v>
      </c>
      <c r="B40" s="18">
        <v>1</v>
      </c>
      <c r="C40" s="4" t="s">
        <v>287</v>
      </c>
      <c r="D40" s="4" t="s">
        <v>61</v>
      </c>
      <c r="E40" s="3" t="s">
        <v>288</v>
      </c>
      <c r="F40" s="3" t="s">
        <v>289</v>
      </c>
      <c r="G40" s="3" t="s">
        <v>290</v>
      </c>
      <c r="H40" s="3"/>
      <c r="I40" s="3">
        <v>2</v>
      </c>
      <c r="J40" s="3" t="s">
        <v>39</v>
      </c>
      <c r="K40" s="3" t="s">
        <v>138</v>
      </c>
      <c r="L40" s="3" t="s">
        <v>288</v>
      </c>
      <c r="M40" s="33" t="s">
        <v>291</v>
      </c>
      <c r="N40" s="2" t="s">
        <v>292</v>
      </c>
      <c r="O40" s="5">
        <v>0.59</v>
      </c>
      <c r="P40" s="5">
        <v>0.56999999999999995</v>
      </c>
      <c r="Q40" s="6">
        <v>0.59</v>
      </c>
      <c r="R40" s="6">
        <v>0.56999999999999995</v>
      </c>
      <c r="S40" s="4"/>
      <c r="T40" s="4" t="s">
        <v>293</v>
      </c>
      <c r="U40" s="4" t="s">
        <v>293</v>
      </c>
      <c r="V40" t="s">
        <v>294</v>
      </c>
      <c r="W40" t="s">
        <v>295</v>
      </c>
      <c r="X40" t="s">
        <v>296</v>
      </c>
    </row>
    <row r="41" spans="1:24" ht="26.25" thickBot="1">
      <c r="A41" s="18">
        <v>1</v>
      </c>
      <c r="B41" s="18">
        <f t="shared" si="49"/>
        <v>1</v>
      </c>
      <c r="C41" s="22" t="s">
        <v>253</v>
      </c>
      <c r="D41" s="4" t="s">
        <v>79</v>
      </c>
      <c r="E41" s="3" t="s">
        <v>244</v>
      </c>
      <c r="F41" s="3" t="s">
        <v>245</v>
      </c>
      <c r="G41" s="3" t="s">
        <v>246</v>
      </c>
      <c r="H41" s="3"/>
      <c r="I41" s="3">
        <v>1</v>
      </c>
      <c r="J41" s="3" t="s">
        <v>62</v>
      </c>
      <c r="K41" s="3"/>
      <c r="L41" s="3" t="s">
        <v>250</v>
      </c>
      <c r="M41" s="31" t="s">
        <v>251</v>
      </c>
      <c r="N41" s="2" t="s">
        <v>252</v>
      </c>
      <c r="O41" s="6">
        <v>12.79</v>
      </c>
      <c r="P41" s="6">
        <v>19.739999999999998</v>
      </c>
      <c r="Q41" s="6">
        <f>O41*A41</f>
        <v>12.79</v>
      </c>
      <c r="R41" s="6">
        <f t="shared" si="6"/>
        <v>19.739999999999998</v>
      </c>
      <c r="S41" s="4"/>
      <c r="T41" s="4" t="str">
        <f t="shared" si="24"/>
        <v>1,MPXH6115A6U-ND</v>
      </c>
      <c r="U41" s="4" t="str">
        <f>IF(NOT(M41=""),B41&amp;","&amp;M41,"")</f>
        <v>1,MPXH6115A6U-ND</v>
      </c>
      <c r="V41" t="str">
        <f>A41&amp;"x "&amp;E41</f>
        <v>1x Baro sensor</v>
      </c>
      <c r="W41" t="str">
        <f>IF(NOT(N41=""),N41&amp;"|"&amp;A41,"")</f>
        <v>841-MPXH6115A6U|1</v>
      </c>
      <c r="X41" t="str">
        <f t="shared" ref="X41" si="50">L41&amp;" "&amp;A41</f>
        <v>MPXH6115A6U 1</v>
      </c>
    </row>
    <row r="42" spans="1:24" ht="26.25" thickBot="1">
      <c r="A42" s="18">
        <v>1</v>
      </c>
      <c r="B42" s="18">
        <f t="shared" si="49"/>
        <v>1</v>
      </c>
      <c r="C42" s="4" t="s">
        <v>79</v>
      </c>
      <c r="D42" s="4" t="s">
        <v>79</v>
      </c>
      <c r="E42" s="3" t="s">
        <v>209</v>
      </c>
      <c r="F42" s="3" t="s">
        <v>78</v>
      </c>
      <c r="G42" s="3" t="s">
        <v>77</v>
      </c>
      <c r="H42" s="3"/>
      <c r="I42" s="3">
        <v>1</v>
      </c>
      <c r="J42" s="3" t="s">
        <v>62</v>
      </c>
      <c r="K42" s="3"/>
      <c r="L42" s="3" t="s">
        <v>151</v>
      </c>
      <c r="M42" s="2" t="s">
        <v>76</v>
      </c>
      <c r="N42" s="2" t="s">
        <v>152</v>
      </c>
      <c r="O42" s="6">
        <v>15.41</v>
      </c>
      <c r="P42" s="6">
        <v>15.37</v>
      </c>
      <c r="Q42" s="6">
        <f>O42*A42</f>
        <v>15.41</v>
      </c>
      <c r="R42" s="6">
        <f t="shared" si="6"/>
        <v>15.37</v>
      </c>
      <c r="S42" s="4"/>
      <c r="T42" s="4" t="str">
        <f t="shared" si="24"/>
        <v>1,MPX4250AP-ND</v>
      </c>
      <c r="U42" s="4" t="str">
        <f>IF(NOT(M42=""),B42&amp;","&amp;M42,"")</f>
        <v>1,MPX4250AP-ND</v>
      </c>
      <c r="V42" t="str">
        <f>A42&amp;"x "&amp;E42</f>
        <v>1x 2.5-Bar MAP sensor</v>
      </c>
      <c r="W42" t="str">
        <f>IF(NOT(N42=""),N42&amp;"|"&amp;A42,"")</f>
        <v>841-MPX4250AP|1</v>
      </c>
      <c r="X42" t="str">
        <f>L42&amp;" "&amp;A42</f>
        <v>MPX4250AP 1</v>
      </c>
    </row>
    <row r="43" spans="1:24" ht="26.25" thickBot="1">
      <c r="A43" s="18">
        <v>2</v>
      </c>
      <c r="B43" s="18">
        <f t="shared" si="49"/>
        <v>1</v>
      </c>
      <c r="C43" s="12" t="s">
        <v>183</v>
      </c>
      <c r="D43" s="12" t="s">
        <v>111</v>
      </c>
      <c r="E43" s="13" t="s">
        <v>102</v>
      </c>
      <c r="F43" s="13" t="s">
        <v>103</v>
      </c>
      <c r="G43" s="3" t="s">
        <v>104</v>
      </c>
      <c r="H43" s="13"/>
      <c r="I43" s="13">
        <v>2</v>
      </c>
      <c r="J43" s="13" t="s">
        <v>67</v>
      </c>
      <c r="K43" s="13" t="s">
        <v>138</v>
      </c>
      <c r="L43" s="13" t="s">
        <v>102</v>
      </c>
      <c r="M43" s="13" t="s">
        <v>105</v>
      </c>
      <c r="N43" s="13" t="s">
        <v>153</v>
      </c>
      <c r="O43" s="20">
        <v>2.92</v>
      </c>
      <c r="P43" s="20">
        <v>2.92</v>
      </c>
      <c r="Q43" s="6">
        <f>O43*A43</f>
        <v>5.84</v>
      </c>
      <c r="R43" s="6">
        <f t="shared" si="6"/>
        <v>5.84</v>
      </c>
      <c r="S43" s="12"/>
      <c r="T43" s="4" t="str">
        <f t="shared" si="24"/>
        <v>2,TC4424EPA-ND</v>
      </c>
      <c r="U43" s="4" t="str">
        <f>IF(NOT(M43=""),B43&amp;","&amp;M43,"")</f>
        <v>1,TC4424EPA-ND</v>
      </c>
      <c r="V43" t="str">
        <f>A43&amp;"x "&amp;E43</f>
        <v>2x TC4424EPA</v>
      </c>
      <c r="W43" t="str">
        <f>IF(NOT(N43=""),N43&amp;"|"&amp;A43,"")</f>
        <v>579-TC4424EPA|2</v>
      </c>
      <c r="X43" t="str">
        <f>L43&amp;" "&amp;A43</f>
        <v>TC4424EPA 2</v>
      </c>
    </row>
    <row r="44" spans="1:24" ht="16.5" thickBot="1">
      <c r="A44" s="18">
        <v>1</v>
      </c>
      <c r="B44" s="26">
        <v>1</v>
      </c>
      <c r="C44" s="12" t="s">
        <v>144</v>
      </c>
      <c r="D44" s="12" t="s">
        <v>144</v>
      </c>
      <c r="E44" s="13" t="s">
        <v>175</v>
      </c>
      <c r="F44" s="3" t="s">
        <v>176</v>
      </c>
      <c r="G44" s="3" t="s">
        <v>104</v>
      </c>
      <c r="H44" s="13"/>
      <c r="I44" s="13">
        <v>1</v>
      </c>
      <c r="J44" s="13" t="s">
        <v>177</v>
      </c>
      <c r="K44" s="25" t="s">
        <v>138</v>
      </c>
      <c r="L44" s="13" t="s">
        <v>175</v>
      </c>
      <c r="M44" s="13" t="s">
        <v>178</v>
      </c>
      <c r="N44" s="2" t="s">
        <v>179</v>
      </c>
      <c r="O44" s="6">
        <v>2.4</v>
      </c>
      <c r="P44" s="6">
        <v>2.4</v>
      </c>
      <c r="Q44" s="6">
        <f>O44*A44</f>
        <v>2.4</v>
      </c>
      <c r="R44" s="6">
        <f t="shared" ref="R44" si="51">P44*A44</f>
        <v>2.4</v>
      </c>
      <c r="S44" s="4"/>
      <c r="T44" s="4" t="str">
        <f t="shared" ref="T44" si="52">IF(NOT(M44=""),A44&amp;","&amp;M44,"")</f>
        <v>1,F2720-ND</v>
      </c>
      <c r="U44" s="4" t="str">
        <f t="shared" ref="U44" si="53">IF(NOT(M44=""),B44&amp;","&amp;M44,"")</f>
        <v>1,F2720-ND</v>
      </c>
      <c r="V44" t="str">
        <f t="shared" ref="V44" si="54">A44&amp;"x "&amp;E44</f>
        <v>1x SP721APP</v>
      </c>
      <c r="W44" t="str">
        <f t="shared" ref="W44" si="55">IF(NOT(N44=""),N44&amp;"|"&amp;A44,"")</f>
        <v>576-SP721APP|1</v>
      </c>
      <c r="X44" t="str">
        <f>L44&amp;" "&amp;A44</f>
        <v>SP721APP 1</v>
      </c>
    </row>
    <row r="45" spans="1:24" ht="16.5" thickBot="1">
      <c r="A45" s="16"/>
      <c r="B45" s="16"/>
      <c r="C45" s="4"/>
      <c r="D45" s="4"/>
      <c r="E45" s="3"/>
      <c r="F45" s="3"/>
      <c r="G45" s="3"/>
      <c r="H45" s="3"/>
      <c r="I45" s="4"/>
      <c r="J45" s="4"/>
      <c r="K45" s="4"/>
      <c r="L45" s="9"/>
      <c r="M45" s="3"/>
      <c r="N45" s="3"/>
      <c r="O45" s="1"/>
      <c r="P45" s="1"/>
      <c r="Q45" s="10"/>
      <c r="R45" s="6"/>
      <c r="S45" s="10"/>
      <c r="T45" s="4" t="str">
        <f>IF(NOT(M45=""),A45&amp;","&amp;M45,"")</f>
        <v/>
      </c>
      <c r="U45" s="4" t="str">
        <f>IF(NOT(M45=""),B45&amp;","&amp;M45,"")</f>
        <v/>
      </c>
      <c r="W45" t="str">
        <f>IF(NOT(N45=""),N45&amp;"|"&amp;A45,"")</f>
        <v/>
      </c>
    </row>
    <row r="46" spans="1:24" ht="16.5" thickBot="1">
      <c r="A46" s="16"/>
      <c r="B46" s="16"/>
      <c r="C46" s="4" t="s">
        <v>272</v>
      </c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25.5" customHeight="1" thickBot="1">
      <c r="A47" s="18">
        <v>1</v>
      </c>
      <c r="B47" s="26"/>
      <c r="C47" s="12" t="s">
        <v>274</v>
      </c>
      <c r="D47" s="12"/>
      <c r="E47" s="13" t="s">
        <v>275</v>
      </c>
      <c r="F47" s="3" t="s">
        <v>273</v>
      </c>
      <c r="G47" s="3" t="s">
        <v>104</v>
      </c>
      <c r="H47" s="13"/>
      <c r="I47" s="13"/>
      <c r="J47" s="13"/>
      <c r="K47" s="25"/>
      <c r="L47" s="13"/>
      <c r="M47" s="13"/>
      <c r="N47" s="2"/>
      <c r="O47" s="6"/>
      <c r="P47" s="6"/>
      <c r="Q47" s="6"/>
      <c r="R47" s="6"/>
      <c r="S47" s="4"/>
      <c r="T47" s="4"/>
      <c r="U47" s="4"/>
    </row>
    <row r="48" spans="1:24" ht="16.5" thickBot="1">
      <c r="A48" s="18">
        <v>6</v>
      </c>
      <c r="B48" s="26">
        <v>1</v>
      </c>
      <c r="C48" s="12" t="s">
        <v>261</v>
      </c>
      <c r="D48" s="12" t="s">
        <v>144</v>
      </c>
      <c r="E48" s="13" t="s">
        <v>262</v>
      </c>
      <c r="F48" s="3" t="s">
        <v>263</v>
      </c>
      <c r="G48" s="3"/>
      <c r="H48" s="13"/>
      <c r="I48" s="13">
        <v>1</v>
      </c>
      <c r="J48" s="13" t="s">
        <v>221</v>
      </c>
      <c r="K48" s="25" t="s">
        <v>138</v>
      </c>
      <c r="L48" s="13" t="s">
        <v>264</v>
      </c>
      <c r="M48" s="13" t="s">
        <v>265</v>
      </c>
      <c r="N48" s="2" t="s">
        <v>266</v>
      </c>
      <c r="O48" s="6">
        <v>0.16</v>
      </c>
      <c r="P48" s="6">
        <v>0.18099999999999999</v>
      </c>
      <c r="Q48" s="6">
        <f>O48*A48</f>
        <v>0.96</v>
      </c>
      <c r="R48" s="6">
        <f>P48*A48</f>
        <v>1.0859999999999999</v>
      </c>
      <c r="S48" s="4"/>
      <c r="T48" s="4" t="str">
        <f>IF(NOT(M48=""),A48&amp;","&amp;M48,"")</f>
        <v>6,WM9154-ND</v>
      </c>
      <c r="U48" s="4" t="str">
        <f>IF(NOT(M48=""),B48&amp;","&amp;M48,"")</f>
        <v>1,WM9154-ND</v>
      </c>
      <c r="V48" t="str">
        <f>A48&amp;"x "&amp;E48</f>
        <v>6x Female pin</v>
      </c>
      <c r="W48" t="str">
        <f>IF(NOT(N48=""),N48&amp;"|"&amp;A48,"")</f>
        <v>538-39-00-0078|6</v>
      </c>
      <c r="X48" t="str">
        <f>L48&amp;" "&amp;A48</f>
        <v>39-00-0078 6</v>
      </c>
    </row>
    <row r="49" spans="1:24" ht="16.5" thickBot="1">
      <c r="A49" s="18">
        <v>1</v>
      </c>
      <c r="B49" s="26">
        <v>1</v>
      </c>
      <c r="C49" s="12" t="s">
        <v>260</v>
      </c>
      <c r="D49" s="12" t="s">
        <v>144</v>
      </c>
      <c r="E49" s="13" t="s">
        <v>268</v>
      </c>
      <c r="F49" s="3" t="s">
        <v>267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269</v>
      </c>
      <c r="M49" s="13" t="s">
        <v>271</v>
      </c>
      <c r="N49" s="2" t="s">
        <v>270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6"/>
      <c r="B50" s="16"/>
      <c r="C50" s="4"/>
      <c r="D50" s="4"/>
      <c r="E50" s="3"/>
      <c r="F50" s="3"/>
      <c r="G50" s="3"/>
      <c r="H50" s="21"/>
      <c r="I50" s="8"/>
      <c r="J50" s="4"/>
      <c r="K50" s="8"/>
      <c r="L50" s="35" t="s">
        <v>70</v>
      </c>
      <c r="M50" s="36"/>
      <c r="N50" s="34"/>
      <c r="O50" s="1" t="s">
        <v>68</v>
      </c>
      <c r="P50" s="1"/>
      <c r="Q50" s="11">
        <f>SUM(Q3:Q49)</f>
        <v>87.679999999999993</v>
      </c>
      <c r="R50" s="11">
        <f>SUM(R3:R49)</f>
        <v>105.35000000000001</v>
      </c>
      <c r="S50" s="10" t="s">
        <v>69</v>
      </c>
    </row>
    <row r="54" spans="1:24">
      <c r="C54" t="s">
        <v>249</v>
      </c>
    </row>
    <row r="55" spans="1:24">
      <c r="C55" t="s">
        <v>301</v>
      </c>
    </row>
    <row r="56" spans="1:24">
      <c r="C56" t="s">
        <v>276</v>
      </c>
    </row>
  </sheetData>
  <mergeCells count="1">
    <mergeCell ref="L50:M50"/>
  </mergeCells>
  <phoneticPr fontId="5" type="noConversion"/>
  <hyperlinks>
    <hyperlink ref="M6" r:id="rId1" display="478-1910-ND" xr:uid="{00000000-0004-0000-0000-000000000000}"/>
    <hyperlink ref="M13" r:id="rId2" xr:uid="{00000000-0004-0000-0000-000001000000}"/>
    <hyperlink ref="M17" r:id="rId3" xr:uid="{00000000-0004-0000-0000-000002000000}"/>
    <hyperlink ref="M29" r:id="rId4" xr:uid="{00000000-0004-0000-0000-000003000000}"/>
    <hyperlink ref="M33" r:id="rId5" display="985-1047-1-ND" xr:uid="{00000000-0004-0000-0000-000004000000}"/>
    <hyperlink ref="M34" r:id="rId6" xr:uid="{00000000-0004-0000-0000-000005000000}"/>
    <hyperlink ref="M42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5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2019-05-01T18:07:23Z</dcterms:modified>
</cp:coreProperties>
</file>