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8_{C63DFFDF-CC7F-4938-90BC-4C053E45C5F2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1" l="1"/>
  <c r="R48" i="1"/>
  <c r="T48" i="1"/>
  <c r="U48" i="1"/>
  <c r="V48" i="1"/>
  <c r="W48" i="1"/>
  <c r="X48" i="1"/>
  <c r="B26" i="1" l="1"/>
  <c r="U26" i="1" s="1"/>
  <c r="A26" i="1"/>
  <c r="X26" i="1" s="1"/>
  <c r="R26" i="1" l="1"/>
  <c r="V26" i="1"/>
  <c r="W26" i="1"/>
  <c r="Q26" i="1"/>
  <c r="T26" i="1"/>
  <c r="X49" i="1"/>
  <c r="W49" i="1"/>
  <c r="V49" i="1"/>
  <c r="U49" i="1"/>
  <c r="T49" i="1"/>
  <c r="R49" i="1"/>
  <c r="Q49" i="1"/>
  <c r="W46" i="1"/>
  <c r="U46" i="1"/>
  <c r="T46" i="1"/>
  <c r="X41" i="1" l="1"/>
  <c r="W41" i="1"/>
  <c r="V41" i="1"/>
  <c r="T41" i="1"/>
  <c r="R41" i="1"/>
  <c r="Q41" i="1"/>
  <c r="B41" i="1"/>
  <c r="U41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5" i="1"/>
  <c r="W25" i="1" s="1"/>
  <c r="X20" i="1"/>
  <c r="W20" i="1"/>
  <c r="V20" i="1"/>
  <c r="U20" i="1"/>
  <c r="T20" i="1"/>
  <c r="R20" i="1"/>
  <c r="Q20" i="1"/>
  <c r="B25" i="1"/>
  <c r="U25" i="1" s="1"/>
  <c r="A37" i="1"/>
  <c r="X37" i="1" s="1"/>
  <c r="B37" i="1"/>
  <c r="U37" i="1"/>
  <c r="T37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4" i="1"/>
  <c r="Q17" i="1"/>
  <c r="Q19" i="1"/>
  <c r="Q34" i="1"/>
  <c r="Q39" i="1"/>
  <c r="Q42" i="1"/>
  <c r="Q43" i="1"/>
  <c r="Q44" i="1"/>
  <c r="W44" i="1"/>
  <c r="V44" i="1"/>
  <c r="U44" i="1"/>
  <c r="T44" i="1"/>
  <c r="R44" i="1"/>
  <c r="W11" i="1"/>
  <c r="W16" i="1"/>
  <c r="W17" i="1"/>
  <c r="W18" i="1"/>
  <c r="W19" i="1"/>
  <c r="W23" i="1"/>
  <c r="W28" i="1"/>
  <c r="W34" i="1"/>
  <c r="W38" i="1"/>
  <c r="W39" i="1"/>
  <c r="W42" i="1"/>
  <c r="W43" i="1"/>
  <c r="W45" i="1"/>
  <c r="B29" i="1"/>
  <c r="U29" i="1" s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9" i="1"/>
  <c r="U39" i="1" s="1"/>
  <c r="B42" i="1"/>
  <c r="U42" i="1" s="1"/>
  <c r="B43" i="1"/>
  <c r="U43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4" i="1"/>
  <c r="U24" i="1" s="1"/>
  <c r="B3" i="1"/>
  <c r="U3" i="1" s="1"/>
  <c r="R4" i="1"/>
  <c r="R17" i="1"/>
  <c r="R19" i="1"/>
  <c r="R29" i="1"/>
  <c r="R34" i="1"/>
  <c r="R39" i="1"/>
  <c r="R42" i="1"/>
  <c r="R43" i="1"/>
  <c r="U28" i="1"/>
  <c r="U38" i="1"/>
  <c r="U45" i="1"/>
  <c r="U11" i="1"/>
  <c r="U16" i="1"/>
  <c r="U18" i="1"/>
  <c r="U19" i="1"/>
  <c r="U23" i="1"/>
  <c r="U2" i="1"/>
  <c r="V43" i="1"/>
  <c r="T43" i="1"/>
  <c r="V7" i="1"/>
  <c r="V42" i="1"/>
  <c r="V39" i="1"/>
  <c r="V34" i="1"/>
  <c r="V16" i="1"/>
  <c r="V17" i="1"/>
  <c r="V18" i="1"/>
  <c r="V19" i="1"/>
  <c r="V23" i="1"/>
  <c r="V2" i="1"/>
  <c r="T7" i="1"/>
  <c r="T11" i="1"/>
  <c r="T16" i="1"/>
  <c r="T17" i="1"/>
  <c r="T18" i="1"/>
  <c r="T19" i="1"/>
  <c r="T23" i="1"/>
  <c r="T28" i="1"/>
  <c r="T34" i="1"/>
  <c r="T38" i="1"/>
  <c r="T39" i="1"/>
  <c r="T42" i="1"/>
  <c r="T45" i="1"/>
  <c r="T2" i="1"/>
  <c r="R14" i="1" l="1"/>
  <c r="R6" i="1"/>
  <c r="V4" i="1"/>
  <c r="T4" i="1"/>
  <c r="T9" i="1"/>
  <c r="T24" i="1"/>
  <c r="V5" i="1"/>
  <c r="R9" i="1"/>
  <c r="R35" i="1"/>
  <c r="R24" i="1"/>
  <c r="R13" i="1"/>
  <c r="W5" i="1"/>
  <c r="T5" i="1"/>
  <c r="V35" i="1"/>
  <c r="V9" i="1"/>
  <c r="R5" i="1"/>
  <c r="W9" i="1"/>
  <c r="Q35" i="1"/>
  <c r="Q7" i="1"/>
  <c r="R25" i="1"/>
  <c r="X25" i="1"/>
  <c r="V24" i="1"/>
  <c r="W24" i="1"/>
  <c r="Q24" i="1"/>
  <c r="W35" i="1"/>
  <c r="W6" i="1"/>
  <c r="Q36" i="1"/>
  <c r="Q6" i="1"/>
  <c r="X6" i="1"/>
  <c r="X4" i="1"/>
  <c r="T31" i="1"/>
  <c r="T14" i="1"/>
  <c r="T6" i="1"/>
  <c r="R7" i="1"/>
  <c r="W31" i="1"/>
  <c r="Q12" i="1"/>
  <c r="Q3" i="1"/>
  <c r="X35" i="1"/>
  <c r="X7" i="1"/>
  <c r="X5" i="1"/>
  <c r="Q37" i="1"/>
  <c r="W37" i="1"/>
  <c r="V25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5" i="1"/>
  <c r="T32" i="1"/>
  <c r="V32" i="1"/>
  <c r="W14" i="1"/>
  <c r="Q33" i="1"/>
  <c r="Q29" i="1"/>
  <c r="T25" i="1"/>
  <c r="T27" i="1"/>
  <c r="R50" i="1" l="1"/>
  <c r="Q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<sst xmlns="http://schemas.openxmlformats.org/spreadsheetml/2006/main" count="401" uniqueCount="307">
  <si>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</si>
  <si>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</si>
  <si>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</si>
  <si>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</si>
  <si>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</si>
  <si>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</si>
  <si>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</si>
  <si>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</si>
  <si>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</si>
  <si>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</si>
  <si>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</si>
  <si>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</si>
  <si>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</si>
  <si>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</si>
  <si>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</si>
  <si>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</si>
  <si>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</si>
  <si>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</si>
  <si>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</si>
  <si>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</si>
  <si>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</si>
  <si>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</si>
  <si>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</si>
  <si>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</si>
  <si>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</si>
  <si>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</si>
  <si>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</si>
  <si>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</si>
  <si>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</si>
  <si>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</si>
  <si>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</si>
  <si>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</si>
  <si>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</si>
  <si>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</si>
  <si>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</si>
  <si>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</si>
  <si>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</si>
  <si>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</si>
  <si>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</si>
  <si>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</si>
  <si>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</si>
  <si>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</si>
  <si>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</si>
  <si>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</si>
  <si>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</si>
  <si>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</si>
  <si>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</si>
  <si>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</si>
  <si>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</si>
  <si>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</si>
  <si>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</si>
  <si>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</si>
  <si>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</si>
  <si>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</si>
  <si>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</si>
  <si>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</si>
  <si>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</si>
  <si>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</si>
  <si>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</si>
  <si>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</si>
  <si>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</si>
  <si>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</si>
  <si>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</si>
  <si>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</si>
  <si>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</si>
  <si>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</si>
  <si>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</si>
  <si>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</si>
  <si>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</si>
  <si>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</si>
  <si>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</si>
  <si>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</si>
  <si>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</si>
  <si>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</si>
  <si>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</si>
  <si>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</si>
  <si>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</si>
  <si>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</si>
  <si>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</si>
  <si>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</si>
  <si>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</si>
  <si>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</si>
  <si>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</si>
  <si>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</si>
  <si>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</si>
  <si>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</si>
  <si>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</si>
  <si>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</si>
  <si>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</si>
  <si>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</si>
  <si>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</si>
  <si>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</si>
  <si>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</si>
  <si>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</si>
  <si>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</si>
  <si>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</si>
  <si>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</si>
  <si>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</si>
  <si>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</si>
  <si>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</si>
  <si>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</si>
  <si>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</si>
  <si>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</si>
  <si>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</si>
  <si>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</si>
  <si>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</si>
  <si>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</si>
  <si>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</si>
  <si>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</si>
  <si>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</si>
  <si>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</si>
  <si>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</si>
  <si>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</si>
  <si>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</si>
  <si>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</si>
  <si>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</si>
  <si>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</si>
  <si>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</si>
  <si>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</si>
  <si>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</si>
  <si>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</si>
  <si>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</si>
  <si>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</si>
  <si>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</si>
  <si>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</si>
  <si>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</si>
  <si>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</si>
  <si>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</si>
  <si>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</si>
  <si>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</si>
  <si>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</si>
  <si>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</si>
  <si>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</si>
  <si>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</si>
  <si>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</si>
  <si>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</si>
  <si>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</si>
  <si>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</si>
  <si>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</si>
  <si>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</si>
  <si>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</si>
  <si>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</si>
  <si>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</si>
  <si>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</si>
  <si>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</si>
  <si>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</si>
  <si>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</si>
  <si>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</si>
  <si>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</si>
  <si>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</si>
  <si>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</si>
  <si>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</si>
  <si>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</si>
  <si>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</si>
  <si>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</si>
  <si>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</si>
  <si>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</si>
  <si>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</si>
  <si>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</si>
  <si>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</si>
  <si>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</si>
  <si>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</si>
  <si>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</si>
  <si>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</si>
  <si>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</si>
  <si>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</si>
  <si>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</si>
  <si>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</si>
  <si>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</si>
  <si>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</si>
  <si>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</si>
  <si>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</si>
  <si>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</si>
  <si>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</si>
  <si>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</si>
  <si>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</si>
  <si>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</si>
  <si>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</si>
  <si>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</si>
  <si>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</si>
  <si>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</si>
  <si>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</si>
  <si>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</si>
  <si>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</si>
  <si>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</si>
  <si>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</si>
  <si>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</si>
  <si>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</si>
  <si>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</si>
  <si>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</si>
  <si>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</si>
  <si>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</si>
  <si>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</si>
  <si>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</si>
  <si>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</si>
  <si>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</si>
  <si>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</si>
  <si>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</si>
  <si>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</si>
  <si>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</si>
  <si>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</si>
  <si>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</si>
  <si>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</si>
  <si>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</si>
  <si>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</si>
  <si>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</si>
  <si>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</si>
  <si>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</si>
  <si>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</si>
  <si>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</si>
  <si>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</si>
  <si>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</si>
  <si>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</si>
  <si>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</si>
  <si>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</si>
  <si>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</si>
  <si>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</si>
  <si>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</si>
  <si>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</si>
  <si>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</si>
  <si>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</si>
  <si>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</si>
  <si>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</si>
  <si>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</si>
  <si>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</si>
  <si>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</si>
  <si>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</si>
  <si>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</si>
  <si>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</si>
  <si>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</si>
  <si>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</si>
  <si>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</si>
  <si>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</si>
  <si>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</si>
  <si>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</si>
  <si>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</si>
  <si>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</si>
  <si>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</si>
  <si>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</si>
  <si>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</si>
  <si>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</si>
  <si>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</si>
  <si>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</si>
  <si>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</si>
  <si>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</si>
  <si>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</si>
  <si>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</si>
  <si>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</si>
  <si>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</si>
  <si>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</si>
  <si>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</si>
  <si>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</si>
  <si>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</si>
  <si>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</si>
  <si>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</si>
  <si>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</si>
  <si>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</si>
  <si>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</si>
  <si>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</si>
  <si>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</si>
  <si>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</si>
  <si>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</si>
  <si>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</si>
  <si>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</si>
  <si>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</si>
  <si>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</si>
  <si>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</si>
  <si>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</si>
  <si>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</si>
  <si>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</si>
  <si>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</si>
  <si>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</si>
  <si>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</si>
  <si>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</si>
  <si>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</si>
  <si>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</si>
  <si>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</si>
  <si>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</si>
  <si>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</si>
  <si>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</si>
  <si>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</si>
  <si>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</si>
  <si>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</si>
  <si>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</si>
  <si>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</si>
  <si>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</si>
  <si>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</si>
  <si>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</si>
  <si>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</si>
  <si>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</si>
  <si>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</si>
  <si>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</si>
  <si>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</si>
  <si>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</si>
  <si>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</si>
  <si>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</si>
  <si>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</si>
  <si>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</si>
  <si>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</si>
  <si>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</si>
  <si>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R11,R14,R37,R48,R49,R56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</si>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</sst>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zoomScale="113" workbookViewId="0">
      <selection activeCell="C33" sqref="C3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228</v>
      </c>
      <c r="D4" s="4" t="s">
        <v>194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198</v>
      </c>
      <c r="M4" s="2" t="s">
        <v>199</v>
      </c>
      <c r="N4" s="2" t="s">
        <v>200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305</v>
      </c>
      <c r="D8" s="4" t="s">
        <v>192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304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257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275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278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3</v>
      </c>
      <c r="B14" s="18">
        <f t="shared" si="9"/>
        <v>4</v>
      </c>
      <c r="C14" s="4" t="s">
        <v>303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184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1.41</v>
      </c>
      <c r="R14" s="6">
        <f t="shared" si="6"/>
        <v>0.30000000000000004</v>
      </c>
      <c r="S14" s="4"/>
      <c r="T14" s="4" t="str">
        <f t="shared" si="0"/>
        <v>3,160-1139-ND</v>
      </c>
      <c r="U14" s="4" t="str">
        <f t="shared" si="3"/>
        <v>4,160-1139-ND</v>
      </c>
      <c r="V14" t="str">
        <f t="shared" si="10"/>
        <v>Diode - 3x LED-Red</v>
      </c>
      <c r="W14" t="str">
        <f t="shared" si="4"/>
        <v>859-LTL-4221N|3</v>
      </c>
      <c r="X14" t="str">
        <f t="shared" si="5"/>
        <v>LTL-4221N 3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297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204</v>
      </c>
      <c r="M19" s="2" t="s">
        <v>88</v>
      </c>
      <c r="N19" s="2" t="s">
        <v>205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218</v>
      </c>
      <c r="D20" s="4" t="s">
        <v>82</v>
      </c>
      <c r="E20" s="3" t="s">
        <v>255</v>
      </c>
      <c r="F20" s="3" t="s">
        <v>256</v>
      </c>
      <c r="G20" s="3"/>
      <c r="H20" s="3"/>
      <c r="I20" s="3">
        <v>1</v>
      </c>
      <c r="J20" s="3" t="s">
        <v>220</v>
      </c>
      <c r="K20" s="3" t="s">
        <v>139</v>
      </c>
      <c r="L20" s="27" t="s">
        <v>252</v>
      </c>
      <c r="M20" s="30" t="s">
        <v>254</v>
      </c>
      <c r="N20" s="2" t="s">
        <v>253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229</v>
      </c>
      <c r="D21" s="4" t="s">
        <v>82</v>
      </c>
      <c r="E21" s="3" t="s">
        <v>219</v>
      </c>
      <c r="F21" s="3" t="s">
        <v>231</v>
      </c>
      <c r="G21" s="3"/>
      <c r="H21" s="3"/>
      <c r="I21" s="3">
        <v>1</v>
      </c>
      <c r="J21" s="3" t="s">
        <v>233</v>
      </c>
      <c r="K21" s="3" t="s">
        <v>139</v>
      </c>
      <c r="L21" s="27" t="s">
        <v>234</v>
      </c>
      <c r="M21" s="30" t="s">
        <v>239</v>
      </c>
      <c r="N21" s="2" t="s">
        <v>238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229</v>
      </c>
      <c r="D22" s="4" t="s">
        <v>82</v>
      </c>
      <c r="E22" s="3" t="s">
        <v>230</v>
      </c>
      <c r="F22" s="3" t="s">
        <v>232</v>
      </c>
      <c r="G22" s="3"/>
      <c r="H22" s="3"/>
      <c r="I22" s="3">
        <v>1</v>
      </c>
      <c r="J22" s="3" t="s">
        <v>233</v>
      </c>
      <c r="K22" s="3" t="s">
        <v>139</v>
      </c>
      <c r="L22" s="27" t="s">
        <v>235</v>
      </c>
      <c r="M22" s="30" t="s">
        <v>237</v>
      </c>
      <c r="N22" s="2" t="s">
        <v>236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3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4</v>
      </c>
      <c r="B24" s="18">
        <f t="shared" ref="B24" si="26">LEN(D24)-LEN(SUBSTITUTE(D24,",",""))+1</f>
        <v>6</v>
      </c>
      <c r="C24" s="4" t="s">
        <v>299</v>
      </c>
      <c r="D24" s="22" t="s">
        <v>107</v>
      </c>
      <c r="E24" s="3" t="s">
        <v>97</v>
      </c>
      <c r="F24" s="3" t="s">
        <v>203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201</v>
      </c>
      <c r="M24" s="2" t="s">
        <v>202</v>
      </c>
      <c r="N24" s="2" t="s">
        <v>164</v>
      </c>
      <c r="O24" s="6">
        <v>1.51</v>
      </c>
      <c r="P24" s="6">
        <v>1.51</v>
      </c>
      <c r="Q24" s="6">
        <f>O24*A24</f>
        <v>6.04</v>
      </c>
      <c r="R24" s="6">
        <f t="shared" si="6"/>
        <v>6.04</v>
      </c>
      <c r="S24" s="4"/>
      <c r="T24" s="4" t="str">
        <f t="shared" si="24"/>
        <v>4,497-5981-5-ND</v>
      </c>
      <c r="U24" s="4" t="str">
        <f t="shared" si="25"/>
        <v>6,497-5981-5-ND</v>
      </c>
      <c r="V24" t="str">
        <f>A24&amp;"x "&amp;E24</f>
        <v>4x 62A MOSFET N-CH</v>
      </c>
      <c r="W24" t="str">
        <f>IF(NOT(N24=""),N24&amp;"|"&amp;A24,"")</f>
        <v>511-STP62NS04Z|4</v>
      </c>
      <c r="X24" t="str">
        <f>L24&amp;" "&amp;A24</f>
        <v>STP75NS04Z 4</v>
      </c>
    </row>
    <row r="25" spans="1:24" ht="26.25" thickBot="1">
      <c r="A25" s="18">
        <f>LEN(C25)-LEN(SUBSTITUTE(C25,",",""))+1</f>
        <v>1</v>
      </c>
      <c r="B25" s="18">
        <f t="shared" ref="B25:B26" si="27">LEN(D25)-LEN(SUBSTITUTE(D25,",",""))+1</f>
        <v>6</v>
      </c>
      <c r="C25" s="4" t="s">
        <v>298</v>
      </c>
      <c r="D25" s="22" t="s">
        <v>107</v>
      </c>
      <c r="E25" s="3" t="s">
        <v>213</v>
      </c>
      <c r="F25" s="3" t="s">
        <v>214</v>
      </c>
      <c r="G25" s="3" t="s">
        <v>215</v>
      </c>
      <c r="H25" s="3"/>
      <c r="I25" s="3">
        <v>8</v>
      </c>
      <c r="J25" s="3" t="s">
        <v>21</v>
      </c>
      <c r="K25" s="3" t="s">
        <v>138</v>
      </c>
      <c r="L25" s="3" t="s">
        <v>216</v>
      </c>
      <c r="M25" s="29" t="s">
        <v>226</v>
      </c>
      <c r="N25" s="2" t="s">
        <v>217</v>
      </c>
      <c r="O25" s="6">
        <v>2.62</v>
      </c>
      <c r="P25" s="6">
        <v>2.9</v>
      </c>
      <c r="Q25" s="6">
        <f>O25*A25</f>
        <v>2.62</v>
      </c>
      <c r="R25" s="6">
        <f t="shared" ref="R25:R26" si="28">P25*A25</f>
        <v>2.9</v>
      </c>
      <c r="S25" s="4"/>
      <c r="T25" s="4" t="str">
        <f t="shared" ref="T25" si="29">IF(NOT(M25=""),A25&amp;","&amp;M25,"")</f>
        <v>1,ISL9V5036P3-F085-ND</v>
      </c>
      <c r="U25" s="4" t="str">
        <f t="shared" si="25"/>
        <v>6,ISL9V5036P3-F085-ND</v>
      </c>
      <c r="V25" t="str">
        <f t="shared" ref="V25:V26" si="30">A25&amp;"x "&amp;E25</f>
        <v>1x Ignition IGBT</v>
      </c>
      <c r="W25" t="str">
        <f t="shared" ref="W25" si="31">IF(NOT(N25=""),N25&amp;"|"&amp;A25,"")</f>
        <v>512-ISL9V5036P3-F085
|1</v>
      </c>
      <c r="X25" t="str">
        <f t="shared" ref="X25" si="32">L25&amp;" "&amp;A25</f>
        <v>ISL9V5036P3-F085 1</v>
      </c>
    </row>
    <row r="26" spans="1:24" ht="16.5" thickBot="1">
      <c r="A26" s="18">
        <f>LEN(C26)-LEN(SUBSTITUTE(C26,",",""))+1</f>
        <v>1</v>
      </c>
      <c r="B26" s="18">
        <f t="shared" si="27"/>
        <v>6</v>
      </c>
      <c r="C26" s="32" t="s">
        <v>279</v>
      </c>
      <c r="D26" s="22" t="s">
        <v>107</v>
      </c>
      <c r="E26" s="3" t="s">
        <v>280</v>
      </c>
      <c r="F26" s="3" t="s">
        <v>281</v>
      </c>
      <c r="G26" s="3" t="s">
        <v>223</v>
      </c>
      <c r="H26" s="3"/>
      <c r="I26" s="3">
        <v>8</v>
      </c>
      <c r="J26" s="3" t="s">
        <v>21</v>
      </c>
      <c r="K26" s="3" t="s">
        <v>138</v>
      </c>
      <c r="L26" s="3" t="s">
        <v>282</v>
      </c>
      <c r="M26" s="30" t="s">
        <v>284</v>
      </c>
      <c r="N26" s="2" t="s">
        <v>283</v>
      </c>
      <c r="O26" s="6">
        <v>0.25</v>
      </c>
      <c r="P26" s="6">
        <v>0.28999999999999998</v>
      </c>
      <c r="Q26" s="6">
        <f>O26*A26</f>
        <v>0.25</v>
      </c>
      <c r="R26" s="6">
        <f t="shared" si="28"/>
        <v>0.28999999999999998</v>
      </c>
      <c r="S26" s="4"/>
      <c r="T26" s="4" t="str">
        <f>IF(NOT(M27=""),A26&amp;","&amp;M27,"")</f>
        <v>1,PN2222AFS-ND</v>
      </c>
      <c r="U26" s="4" t="str">
        <f>IF(NOT(M27=""),B26&amp;","&amp;M27,"")</f>
        <v>6,PN2222AFS-ND</v>
      </c>
      <c r="V26" t="str">
        <f t="shared" si="30"/>
        <v>1x PNP transistor</v>
      </c>
      <c r="W26" t="str">
        <f>IF(NOT(N27=""),N27&amp;"|"&amp;A26,"")</f>
        <v>512-PN2222ABU|1</v>
      </c>
      <c r="X26" t="str">
        <f>L27&amp;" "&amp;A26</f>
        <v>PN2222ABU 1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240</v>
      </c>
      <c r="D27" s="22" t="s">
        <v>107</v>
      </c>
      <c r="E27" s="3" t="s">
        <v>222</v>
      </c>
      <c r="F27" s="3" t="s">
        <v>221</v>
      </c>
      <c r="G27" s="3" t="s">
        <v>223</v>
      </c>
      <c r="H27" s="3"/>
      <c r="I27" s="3">
        <v>8</v>
      </c>
      <c r="J27" s="3" t="s">
        <v>21</v>
      </c>
      <c r="K27" s="3" t="s">
        <v>138</v>
      </c>
      <c r="L27" s="3" t="s">
        <v>224</v>
      </c>
      <c r="M27" s="30" t="s">
        <v>227</v>
      </c>
      <c r="N27" s="2" t="s">
        <v>225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>IF(NOT(M26=""),A27&amp;","&amp;M26,"")</f>
        <v>1,PN2907ABUFS-ND</v>
      </c>
      <c r="U27" s="4" t="str">
        <f>IF(NOT(M26=""),B27&amp;","&amp;M26,"")</f>
        <v>6,PN2907ABUFS-ND</v>
      </c>
      <c r="V27" t="str">
        <f t="shared" ref="V27" si="35">A27&amp;"x "&amp;E27</f>
        <v>1x NPN transistor</v>
      </c>
      <c r="W27" t="str">
        <f>IF(NOT(N26=""),N26&amp;"|"&amp;A27,"")</f>
        <v>512-PN2907ABU|1</v>
      </c>
      <c r="X27" t="str">
        <f>L26&amp;" "&amp;A27</f>
        <v>PN2907ABU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O28" s="3"/>
      <c r="P28" s="3"/>
      <c r="Q28" s="3"/>
      <c r="R28" s="6"/>
      <c r="S28" s="4"/>
      <c r="T28" s="4" t="e">
        <f>IF(NOT(#REF!=""),A28&amp;","&amp;#REF!,"")</f>
        <v>#REF!</v>
      </c>
      <c r="U28" s="4" t="e">
        <f>IF(NOT(#REF!=""),B28&amp;","&amp;#REF!,"")</f>
        <v>#REF!</v>
      </c>
      <c r="W28" t="e">
        <f>IF(NOT(#REF!=""),#REF!&amp;"|"&amp;A28,"")</f>
        <v>#REF!</v>
      </c>
      <c r="X28" t="e">
        <f>#REF!&amp;" "&amp;A28</f>
        <v>#REF!</v>
      </c>
    </row>
    <row r="29" spans="1:24" ht="16.5" thickBot="1">
      <c r="A29" s="18">
        <f>LEN(C29)-LEN(SUBSTITUTE(C29,",",""))+1</f>
        <v>1</v>
      </c>
      <c r="B29" s="18">
        <f t="shared" ref="A29:B34" si="36">LEN(D29)-LEN(SUBSTITUTE(D29,",",""))+1</f>
        <v>1</v>
      </c>
      <c r="C29" s="4" t="s">
        <v>193</v>
      </c>
      <c r="D29" s="4" t="s">
        <v>193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186</v>
      </c>
      <c r="M29" s="2" t="s">
        <v>43</v>
      </c>
      <c r="N29" s="2" t="s">
        <v>241</v>
      </c>
      <c r="O29" s="5">
        <v>0.08</v>
      </c>
      <c r="P29" s="5">
        <v>0.11</v>
      </c>
      <c r="Q29" s="6">
        <f t="shared" ref="Q29:Q36" si="37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ref="W29:W36" si="38">IF(NOT(N29=""),N29&amp;"|"&amp;A29,"")</f>
        <v>603-MFR-25FBF52-10K|1</v>
      </c>
      <c r="X29" t="str">
        <f t="shared" ref="X29:X36" si="39">L29&amp;" "&amp;A29</f>
        <v>MFR-25FBF52-10K 1</v>
      </c>
    </row>
    <row r="30" spans="1:24" ht="16.5" thickBot="1">
      <c r="A30" s="18">
        <f>LEN(C30)-LEN(SUBSTITUTE(C30,",",""))+1</f>
        <v>11</v>
      </c>
      <c r="B30" s="18">
        <f t="shared" si="36"/>
        <v>13</v>
      </c>
      <c r="C30" s="4" t="s">
        <v>306</v>
      </c>
      <c r="D30" s="22" t="s">
        <v>195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185</v>
      </c>
      <c r="M30" s="2" t="s">
        <v>46</v>
      </c>
      <c r="N30" s="2" t="s">
        <v>242</v>
      </c>
      <c r="O30" s="5">
        <v>0.06</v>
      </c>
      <c r="P30" s="5">
        <v>0.11</v>
      </c>
      <c r="Q30" s="6">
        <f t="shared" si="37"/>
        <v>0.65999999999999992</v>
      </c>
      <c r="R30" s="6">
        <f t="shared" si="6"/>
        <v>1.21</v>
      </c>
      <c r="S30" s="4"/>
      <c r="T30" s="4" t="str">
        <f t="shared" si="24"/>
        <v>11,1.00KXBK-ND</v>
      </c>
      <c r="U30" s="4" t="str">
        <f t="shared" si="25"/>
        <v>13,1.00KXBK-ND</v>
      </c>
      <c r="V30" t="str">
        <f t="shared" ref="V30:V36" si="40">"Resistor - " &amp; A30&amp;"x "&amp;E30</f>
        <v>Resistor - 11x 1k</v>
      </c>
      <c r="W30" t="str">
        <f t="shared" si="38"/>
        <v>603-MFR-25FBF52-1K|11</v>
      </c>
      <c r="X30" t="str">
        <f t="shared" si="39"/>
        <v>MFR-25FBF52-1K 11</v>
      </c>
    </row>
    <row r="31" spans="1:24" ht="16.5" thickBot="1">
      <c r="A31" s="18">
        <f>LEN(C31)-LEN(SUBSTITUTE(C31,",",""))+1</f>
        <v>2</v>
      </c>
      <c r="B31" s="18">
        <f t="shared" si="36"/>
        <v>2</v>
      </c>
      <c r="C31" s="12" t="s">
        <v>296</v>
      </c>
      <c r="D31" s="23" t="s">
        <v>196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183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37"/>
        <v>0.44</v>
      </c>
      <c r="R31" s="6">
        <f t="shared" si="6"/>
        <v>0.3</v>
      </c>
      <c r="S31" s="12" t="s">
        <v>87</v>
      </c>
      <c r="T31" s="4" t="str">
        <f t="shared" si="24"/>
        <v>2,A105963CT-ND</v>
      </c>
      <c r="U31" s="4" t="str">
        <f t="shared" si="25"/>
        <v>2,A105963CT-ND</v>
      </c>
      <c r="V31" t="str">
        <f t="shared" si="40"/>
        <v>Resistor - 2x 680</v>
      </c>
      <c r="W31" t="str">
        <f t="shared" si="38"/>
        <v>279-LR1F680R|2</v>
      </c>
      <c r="X31" t="str">
        <f t="shared" si="39"/>
        <v>1622545-1 2</v>
      </c>
    </row>
    <row r="32" spans="1:24" ht="26.25" thickBot="1">
      <c r="A32" s="18">
        <f>LEN(C32)-LEN(SUBSTITUTE(C32,",",""))+1</f>
        <v>6</v>
      </c>
      <c r="B32" s="18">
        <f t="shared" si="36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37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0"/>
        <v>Resistor - 6x 470</v>
      </c>
      <c r="W32" t="str">
        <f t="shared" si="38"/>
        <v>279-LR1F470R|6</v>
      </c>
      <c r="X32" t="str">
        <f t="shared" si="39"/>
        <v>RNF14FTD470R 6</v>
      </c>
    </row>
    <row r="33" spans="1:24" ht="26.25" thickBot="1">
      <c r="A33" s="18">
        <f t="shared" si="36"/>
        <v>4</v>
      </c>
      <c r="B33" s="18">
        <f t="shared" si="36"/>
        <v>5</v>
      </c>
      <c r="C33" s="4" t="s">
        <v>301</v>
      </c>
      <c r="D33" s="4" t="s">
        <v>197</v>
      </c>
      <c r="E33" s="3" t="s">
        <v>188</v>
      </c>
      <c r="F33" s="3" t="s">
        <v>189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190</v>
      </c>
      <c r="M33" s="2" t="s">
        <v>187</v>
      </c>
      <c r="N33" s="2" t="s">
        <v>191</v>
      </c>
      <c r="O33" s="5">
        <v>0.14000000000000001</v>
      </c>
      <c r="P33" s="5">
        <v>0.16</v>
      </c>
      <c r="Q33" s="6">
        <f t="shared" si="37"/>
        <v>0.56000000000000005</v>
      </c>
      <c r="R33" s="6">
        <f t="shared" si="6"/>
        <v>0.64</v>
      </c>
      <c r="S33" s="4"/>
      <c r="T33" s="4" t="str">
        <f t="shared" si="24"/>
        <v>4,2.49KXBK-ND</v>
      </c>
      <c r="U33" s="4" t="str">
        <f t="shared" si="25"/>
        <v>5,2.49KXBK-ND</v>
      </c>
      <c r="V33" t="str">
        <f t="shared" si="40"/>
        <v>Resistor - 4x 1% 2.49k</v>
      </c>
      <c r="W33" t="str">
        <f t="shared" si="38"/>
        <v>603-MFR-25FBF52-2K49|4</v>
      </c>
      <c r="X33" t="str">
        <f t="shared" si="39"/>
        <v>MFR-25FBF52-2K49 4</v>
      </c>
    </row>
    <row r="34" spans="1:24" ht="16.5" thickBot="1">
      <c r="A34" s="18">
        <v>1</v>
      </c>
      <c r="B34" s="18">
        <f t="shared" si="36"/>
        <v>1</v>
      </c>
      <c r="C34" s="4" t="s">
        <v>276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37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0"/>
        <v>Resistor - 1x 0.1% 3.9k</v>
      </c>
      <c r="W34" t="str">
        <f t="shared" si="38"/>
        <v>279-H83K9BDA|1</v>
      </c>
      <c r="X34" t="str">
        <f t="shared" si="39"/>
        <v>MFP-25BRD52-3K9 1</v>
      </c>
    </row>
    <row r="35" spans="1:24" ht="16.5" thickBot="1">
      <c r="A35" s="18">
        <f t="shared" ref="A35" si="41">LEN(C35)-LEN(SUBSTITUTE(C35,",",""))+1</f>
        <v>6</v>
      </c>
      <c r="B35" s="18">
        <f>LEN(D35)-LEN(SUBSTITUTE(D35,",",""))+1</f>
        <v>8</v>
      </c>
      <c r="C35" s="4" t="s">
        <v>300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206</v>
      </c>
      <c r="M35" s="2" t="s">
        <v>57</v>
      </c>
      <c r="N35" s="2" t="s">
        <v>207</v>
      </c>
      <c r="O35" s="5">
        <v>0.1</v>
      </c>
      <c r="P35" s="5">
        <v>0.1</v>
      </c>
      <c r="Q35" s="6">
        <f t="shared" si="37"/>
        <v>0.60000000000000009</v>
      </c>
      <c r="R35" s="6">
        <f t="shared" si="6"/>
        <v>0.60000000000000009</v>
      </c>
      <c r="S35" s="4"/>
      <c r="T35" s="4" t="str">
        <f t="shared" si="24"/>
        <v>6,100KXBK-ND</v>
      </c>
      <c r="U35" s="4" t="str">
        <f t="shared" si="25"/>
        <v>8,100KXBK-ND</v>
      </c>
      <c r="V35" t="str">
        <f t="shared" si="40"/>
        <v>Resistor - 6x 100k</v>
      </c>
      <c r="W35" t="str">
        <f t="shared" si="38"/>
        <v>603-FMF-25FTF52100K|6</v>
      </c>
      <c r="X35" t="str">
        <f t="shared" si="39"/>
        <v>MFR-25FBF52-100K 6</v>
      </c>
    </row>
    <row r="36" spans="1:24" ht="16.5" thickBot="1">
      <c r="A36" s="18">
        <f>LEN(C36)-LEN(SUBSTITUTE(C36,",",""))+1</f>
        <v>1</v>
      </c>
      <c r="B36" s="18">
        <f>LEN(D36)-LEN(SUBSTITUTE(D36,",",""))+1</f>
        <v>2</v>
      </c>
      <c r="C36" s="4" t="s">
        <v>302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37"/>
        <v>0.27</v>
      </c>
      <c r="R36" s="6">
        <f t="shared" si="6"/>
        <v>0.23</v>
      </c>
      <c r="S36" s="4"/>
      <c r="T36" s="4" t="str">
        <f t="shared" si="24"/>
        <v>1,160YCT-ND</v>
      </c>
      <c r="U36" s="4" t="str">
        <f t="shared" si="25"/>
        <v>2,160YCT-ND</v>
      </c>
      <c r="V36" t="str">
        <f t="shared" si="40"/>
        <v>Resistor - 1x 160</v>
      </c>
      <c r="W36" t="str">
        <f t="shared" si="38"/>
        <v>594-5083NW160R0J|1</v>
      </c>
      <c r="X36" t="str">
        <f t="shared" si="39"/>
        <v>FMP200FRF52-160R 1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277</v>
      </c>
      <c r="D37" s="22" t="s">
        <v>110</v>
      </c>
      <c r="E37" s="3" t="s">
        <v>209</v>
      </c>
      <c r="F37" s="3" t="s">
        <v>210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211</v>
      </c>
      <c r="M37" s="2"/>
      <c r="N37" s="2" t="s">
        <v>212</v>
      </c>
      <c r="O37" s="5"/>
      <c r="P37" s="5">
        <v>0.1</v>
      </c>
      <c r="Q37" s="6">
        <f t="shared" ref="Q37" si="42">O37*A37</f>
        <v>0</v>
      </c>
      <c r="R37" s="6">
        <f t="shared" ref="R37" si="43">P37*A37</f>
        <v>0.2</v>
      </c>
      <c r="S37" s="4"/>
      <c r="T37" s="4" t="str">
        <f t="shared" ref="T37" si="44">IF(NOT(M37=""),A37&amp;","&amp;M37,"")</f>
        <v/>
      </c>
      <c r="U37" s="4" t="str">
        <f t="shared" ref="U37" si="45">IF(NOT(M37=""),B37&amp;","&amp;M37,"")</f>
        <v/>
      </c>
      <c r="V37" t="str">
        <f t="shared" ref="V37" si="46">"Resistor - " &amp; A37&amp;"x "&amp;E37</f>
        <v>Resistor - 2x 7.5k</v>
      </c>
      <c r="W37" t="str">
        <f t="shared" ref="W37" si="47">IF(NOT(N37=""),N37&amp;"|"&amp;A37,"")</f>
        <v>603-MFR-25FBF52-7K5
|2</v>
      </c>
      <c r="X37" t="str">
        <f t="shared" ref="X37" si="48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49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285</v>
      </c>
      <c r="D40" s="4" t="s">
        <v>61</v>
      </c>
      <c r="E40" s="3" t="s">
        <v>286</v>
      </c>
      <c r="F40" s="3" t="s">
        <v>287</v>
      </c>
      <c r="G40" s="3" t="s">
        <v>288</v>
      </c>
      <c r="H40" s="3"/>
      <c r="I40" s="3">
        <v>2</v>
      </c>
      <c r="J40" s="3" t="s">
        <v>39</v>
      </c>
      <c r="K40" s="3" t="s">
        <v>138</v>
      </c>
      <c r="L40" s="3" t="s">
        <v>286</v>
      </c>
      <c r="M40" s="33" t="s">
        <v>289</v>
      </c>
      <c r="N40" s="2" t="s">
        <v>290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291</v>
      </c>
      <c r="U40" s="4" t="s">
        <v>291</v>
      </c>
      <c r="V40" t="s">
        <v>292</v>
      </c>
      <c r="W40" t="s">
        <v>293</v>
      </c>
      <c r="X40" t="s">
        <v>294</v>
      </c>
    </row>
    <row r="41" spans="1:24" ht="26.25" thickBot="1">
      <c r="A41" s="18">
        <v>1</v>
      </c>
      <c r="B41" s="18">
        <f t="shared" si="49"/>
        <v>1</v>
      </c>
      <c r="C41" s="22" t="s">
        <v>251</v>
      </c>
      <c r="D41" s="4" t="s">
        <v>79</v>
      </c>
      <c r="E41" s="3" t="s">
        <v>243</v>
      </c>
      <c r="F41" s="3" t="s">
        <v>244</v>
      </c>
      <c r="G41" s="3" t="s">
        <v>245</v>
      </c>
      <c r="H41" s="3"/>
      <c r="I41" s="3">
        <v>1</v>
      </c>
      <c r="J41" s="3" t="s">
        <v>62</v>
      </c>
      <c r="K41" s="3"/>
      <c r="L41" s="3" t="s">
        <v>248</v>
      </c>
      <c r="M41" s="31" t="s">
        <v>249</v>
      </c>
      <c r="N41" s="2" t="s">
        <v>250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0">L41&amp;" "&amp;A41</f>
        <v>MPXH6115A6U 1</v>
      </c>
    </row>
    <row r="42" spans="1:24" ht="26.25" thickBot="1">
      <c r="A42" s="18">
        <v>1</v>
      </c>
      <c r="B42" s="18">
        <f t="shared" si="49"/>
        <v>1</v>
      </c>
      <c r="C42" s="4" t="s">
        <v>79</v>
      </c>
      <c r="D42" s="4" t="s">
        <v>79</v>
      </c>
      <c r="E42" s="3" t="s">
        <v>208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49"/>
        <v>1</v>
      </c>
      <c r="C43" s="12" t="s">
        <v>111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1">P44*A44</f>
        <v>2.4</v>
      </c>
      <c r="S44" s="4"/>
      <c r="T44" s="4" t="str">
        <f t="shared" ref="T44" si="52">IF(NOT(M44=""),A44&amp;","&amp;M44,"")</f>
        <v>1,F2720-ND</v>
      </c>
      <c r="U44" s="4" t="str">
        <f t="shared" ref="U44" si="53">IF(NOT(M44=""),B44&amp;","&amp;M44,"")</f>
        <v>1,F2720-ND</v>
      </c>
      <c r="V44" t="str">
        <f t="shared" ref="V44" si="54">A44&amp;"x "&amp;E44</f>
        <v>1x SP721APP</v>
      </c>
      <c r="W44" t="str">
        <f t="shared" ref="W44" si="55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270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25.5" customHeight="1" thickBot="1">
      <c r="A47" s="18">
        <v>1</v>
      </c>
      <c r="B47" s="26"/>
      <c r="C47" s="12" t="s">
        <v>272</v>
      </c>
      <c r="D47" s="12"/>
      <c r="E47" s="13" t="s">
        <v>273</v>
      </c>
      <c r="F47" s="3" t="s">
        <v>271</v>
      </c>
      <c r="G47" s="3" t="s">
        <v>104</v>
      </c>
      <c r="H47" s="13"/>
      <c r="I47" s="13"/>
      <c r="J47" s="13"/>
      <c r="K47" s="25"/>
      <c r="L47" s="13"/>
      <c r="M47" s="13"/>
      <c r="N47" s="2"/>
      <c r="O47" s="6"/>
      <c r="P47" s="6"/>
      <c r="Q47" s="6"/>
      <c r="R47" s="6"/>
      <c r="S47" s="4"/>
      <c r="T47" s="4"/>
      <c r="U47" s="4"/>
    </row>
    <row r="48" spans="1:24" ht="16.5" thickBot="1">
      <c r="A48" s="18">
        <v>6</v>
      </c>
      <c r="B48" s="26">
        <v>1</v>
      </c>
      <c r="C48" s="12" t="s">
        <v>259</v>
      </c>
      <c r="D48" s="12" t="s">
        <v>144</v>
      </c>
      <c r="E48" s="13" t="s">
        <v>260</v>
      </c>
      <c r="F48" s="3" t="s">
        <v>261</v>
      </c>
      <c r="G48" s="3"/>
      <c r="H48" s="13"/>
      <c r="I48" s="13">
        <v>1</v>
      </c>
      <c r="J48" s="13" t="s">
        <v>220</v>
      </c>
      <c r="K48" s="25" t="s">
        <v>138</v>
      </c>
      <c r="L48" s="13" t="s">
        <v>262</v>
      </c>
      <c r="M48" s="13" t="s">
        <v>263</v>
      </c>
      <c r="N48" s="2" t="s">
        <v>264</v>
      </c>
      <c r="O48" s="6">
        <v>0.16</v>
      </c>
      <c r="P48" s="6">
        <v>0.18099999999999999</v>
      </c>
      <c r="Q48" s="6">
        <f>O48*A48</f>
        <v>0.96</v>
      </c>
      <c r="R48" s="6">
        <f>P48*A48</f>
        <v>1.0859999999999999</v>
      </c>
      <c r="S48" s="4"/>
      <c r="T48" s="4" t="str">
        <f>IF(NOT(M48=""),A48&amp;","&amp;M48,"")</f>
        <v>6,WM9154-ND</v>
      </c>
      <c r="U48" s="4" t="str">
        <f>IF(NOT(M48=""),B48&amp;","&amp;M48,"")</f>
        <v>1,WM9154-ND</v>
      </c>
      <c r="V48" t="str">
        <f>A48&amp;"x "&amp;E48</f>
        <v>6x Female pin</v>
      </c>
      <c r="W48" t="str">
        <f>IF(NOT(N48=""),N48&amp;"|"&amp;A48,"")</f>
        <v>538-39-00-0078|6</v>
      </c>
      <c r="X48" t="str">
        <f>L48&amp;" "&amp;A48</f>
        <v>39-00-0078 6</v>
      </c>
    </row>
    <row r="49" spans="1:24" ht="16.5" thickBot="1">
      <c r="A49" s="18">
        <v>1</v>
      </c>
      <c r="B49" s="26">
        <v>1</v>
      </c>
      <c r="C49" s="12" t="s">
        <v>258</v>
      </c>
      <c r="D49" s="12" t="s">
        <v>144</v>
      </c>
      <c r="E49" s="13" t="s">
        <v>266</v>
      </c>
      <c r="F49" s="3" t="s">
        <v>265</v>
      </c>
      <c r="G49" s="3"/>
      <c r="H49" s="13"/>
      <c r="I49" s="13">
        <v>1</v>
      </c>
      <c r="J49" s="13" t="s">
        <v>220</v>
      </c>
      <c r="K49" s="25" t="s">
        <v>138</v>
      </c>
      <c r="L49" s="13" t="s">
        <v>267</v>
      </c>
      <c r="M49" s="13" t="s">
        <v>269</v>
      </c>
      <c r="N49" s="2" t="s">
        <v>268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6"/>
      <c r="B50" s="16"/>
      <c r="C50" s="4"/>
      <c r="D50" s="4"/>
      <c r="E50" s="3"/>
      <c r="F50" s="3"/>
      <c r="G50" s="3"/>
      <c r="H50" s="21"/>
      <c r="I50" s="8"/>
      <c r="J50" s="4"/>
      <c r="K50" s="8"/>
      <c r="L50" s="35" t="s">
        <v>70</v>
      </c>
      <c r="M50" s="36"/>
      <c r="N50" s="34"/>
      <c r="O50" s="1" t="s">
        <v>68</v>
      </c>
      <c r="P50" s="1"/>
      <c r="Q50" s="11">
        <f>SUM(Q3:Q49)</f>
        <v>74.170000000000016</v>
      </c>
      <c r="R50" s="11">
        <f>SUM(R3:R49)</f>
        <v>91.920000000000016</v>
      </c>
      <c r="S50" s="10" t="s">
        <v>69</v>
      </c>
    </row>
    <row r="54" spans="1:24">
      <c r="C54" t="s">
        <v>247</v>
      </c>
    </row>
    <row r="55" spans="1:24">
      <c r="C55" t="s">
        <v>295</v>
      </c>
    </row>
    <row r="56" spans="1:24">
      <c r="C56" t="s">
        <v>274</v>
      </c>
    </row>
  </sheetData>
  <mergeCells count="1">
    <mergeCell ref="L50:M50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2019-04-24T15:10:48Z</dcterms:modified>
</cp:coreProperties>
</file>