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rsp-paper\rsp-paper\code\"/>
    </mc:Choice>
  </mc:AlternateContent>
  <xr:revisionPtr revIDLastSave="0" documentId="13_ncr:1_{471761E1-E420-407C-9722-7E953CFA839E}" xr6:coauthVersionLast="47" xr6:coauthVersionMax="47" xr10:uidLastSave="{00000000-0000-0000-0000-000000000000}"/>
  <bookViews>
    <workbookView xWindow="-108" yWindow="-108" windowWidth="23256" windowHeight="12576" xr2:uid="{37B0A2FD-FB03-4D13-8F76-32D84EF07558}"/>
  </bookViews>
  <sheets>
    <sheet name="Info" sheetId="2" r:id="rId1"/>
    <sheet name="Inputs" sheetId="4" r:id="rId2"/>
    <sheet name="Thin theory" sheetId="5" r:id="rId3"/>
    <sheet name="Thick theory" sheetId="3" r:id="rId4"/>
    <sheet name="u" sheetId="6" r:id="rId5"/>
    <sheet name="w" sheetId="7" r:id="rId6"/>
    <sheet name="σφ" sheetId="8" r:id="rId7"/>
    <sheet name="σθ" sheetId="9" r:id="rId8"/>
  </sheets>
  <definedNames>
    <definedName name="a">'Thick theory'!$C$9</definedName>
    <definedName name="b">'Thick theory'!$C$10</definedName>
    <definedName name="beta_a1">'Thick theory'!$J$14</definedName>
    <definedName name="beta_a2">'Thick theory'!$J$19</definedName>
    <definedName name="beta_a3">'Thick theory'!$J$24</definedName>
    <definedName name="beta_a4">'Thick theory'!$J$29</definedName>
    <definedName name="beta_b1">'Thick theory'!$J$15</definedName>
    <definedName name="beta_b2">'Thick theory'!$J$20</definedName>
    <definedName name="beta_b3">'Thick theory'!$J$25</definedName>
    <definedName name="beta_b4">'Thick theory'!$J$30</definedName>
    <definedName name="betam">Inputs!$B$36</definedName>
    <definedName name="Cj_1">'Thick theory'!$J$73</definedName>
    <definedName name="Cj_2">'Thick theory'!$J$74</definedName>
    <definedName name="Cj_3">'Thick theory'!$J$75</definedName>
    <definedName name="Cj_4">'Thick theory'!$J$76</definedName>
    <definedName name="Cs">Inputs!$C$28</definedName>
    <definedName name="D">Inputs!$C$29</definedName>
    <definedName name="DD">Inputs!$C$29</definedName>
    <definedName name="Dm">Inputs!$C$29</definedName>
    <definedName name="Ds">Inputs!$C$29</definedName>
    <definedName name="E">Inputs!$B$4</definedName>
    <definedName name="G">Inputs!$C$30</definedName>
    <definedName name="k">Inputs!$B$6</definedName>
    <definedName name="L">Inputs!$B$10</definedName>
    <definedName name="Lambda_1">'Thick theory'!$J$6</definedName>
    <definedName name="Lambda_2">'Thick theory'!$J$7</definedName>
    <definedName name="Lambda_3">'Thick theory'!$J$8</definedName>
    <definedName name="Lambda_4">'Thick theory'!$J$9</definedName>
    <definedName name="lambda_thick">'Thick theory'!$C$11</definedName>
    <definedName name="lambda_thin">'Thin theory'!$C$9</definedName>
    <definedName name="nu">Inputs!$B$5</definedName>
    <definedName name="Nz">Inputs!$B$13</definedName>
    <definedName name="p">Inputs!$B$12</definedName>
    <definedName name="rad">Inputs!$B$8</definedName>
    <definedName name="t">Inputs!$B$9</definedName>
    <definedName name="uc">'Thick theory'!$L$74</definedName>
    <definedName name="w_a1">'Thick theory'!$J$12</definedName>
    <definedName name="w_a2">'Thick theory'!$J$17</definedName>
    <definedName name="w_a3">'Thick theory'!$J$22</definedName>
    <definedName name="w_a4">'Thick theory'!$J$27</definedName>
    <definedName name="w_b1">'Thick theory'!$J$13</definedName>
    <definedName name="w_b2">'Thick theory'!$J$18</definedName>
    <definedName name="w_b3">'Thick theory'!$J$23</definedName>
    <definedName name="w_b4">'Thick theory'!$J$28</definedName>
    <definedName name="wm">Inputs!$B$35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5" l="1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2" i="5"/>
  <c r="C10" i="3" l="1"/>
  <c r="C11" i="3" s="1"/>
  <c r="C9" i="3"/>
  <c r="J8" i="3" s="1"/>
  <c r="N51" i="3"/>
  <c r="N57" i="3" s="1"/>
  <c r="N62" i="3" s="1"/>
  <c r="N67" i="3" s="1"/>
  <c r="N52" i="3"/>
  <c r="N53" i="3"/>
  <c r="N54" i="3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M37" i="5"/>
  <c r="M38" i="5"/>
  <c r="M39" i="5"/>
  <c r="M40" i="5"/>
  <c r="C9" i="5"/>
  <c r="J7" i="5" s="1"/>
  <c r="I37" i="5" s="1"/>
  <c r="B6" i="4"/>
  <c r="B35" i="4"/>
  <c r="B36" i="4"/>
  <c r="C28" i="4"/>
  <c r="C29" i="4"/>
  <c r="C30" i="4"/>
  <c r="J23" i="3" l="1"/>
  <c r="M30" i="3"/>
  <c r="L53" i="3" s="1"/>
  <c r="J9" i="3"/>
  <c r="J30" i="3" s="1"/>
  <c r="J7" i="3"/>
  <c r="J18" i="3" s="1"/>
  <c r="M12" i="3" s="1"/>
  <c r="J6" i="3"/>
  <c r="M7" i="3" s="1"/>
  <c r="J51" i="3" s="1"/>
  <c r="J57" i="3" s="1"/>
  <c r="J62" i="3" s="1"/>
  <c r="J67" i="3" s="1"/>
  <c r="M34" i="3"/>
  <c r="M13" i="3"/>
  <c r="J25" i="3"/>
  <c r="M25" i="3" s="1"/>
  <c r="J24" i="3"/>
  <c r="M38" i="3" s="1"/>
  <c r="L54" i="3" s="1"/>
  <c r="M9" i="3"/>
  <c r="L51" i="3" s="1"/>
  <c r="L57" i="3" s="1"/>
  <c r="L62" i="3" s="1"/>
  <c r="L67" i="3" s="1"/>
  <c r="J21" i="5"/>
  <c r="J39" i="5" s="1"/>
  <c r="J17" i="5"/>
  <c r="K38" i="5" s="1"/>
  <c r="J16" i="5"/>
  <c r="J38" i="5" s="1"/>
  <c r="J23" i="5"/>
  <c r="L39" i="5" s="1"/>
  <c r="J18" i="5"/>
  <c r="L38" i="5" s="1"/>
  <c r="J15" i="5"/>
  <c r="I38" i="5" s="1"/>
  <c r="J31" i="5"/>
  <c r="J14" i="5"/>
  <c r="J30" i="5"/>
  <c r="J13" i="5"/>
  <c r="J29" i="5"/>
  <c r="J12" i="5"/>
  <c r="J28" i="5"/>
  <c r="J11" i="5"/>
  <c r="J20" i="5"/>
  <c r="I39" i="5" s="1"/>
  <c r="J27" i="5"/>
  <c r="L40" i="5" s="1"/>
  <c r="J10" i="5"/>
  <c r="L37" i="5" s="1"/>
  <c r="J22" i="5"/>
  <c r="K39" i="5" s="1"/>
  <c r="J26" i="5"/>
  <c r="K40" i="5" s="1"/>
  <c r="J9" i="5"/>
  <c r="K37" i="5" s="1"/>
  <c r="J25" i="5"/>
  <c r="J40" i="5" s="1"/>
  <c r="J8" i="5"/>
  <c r="J37" i="5" s="1"/>
  <c r="J24" i="5"/>
  <c r="I40" i="5" s="1"/>
  <c r="J29" i="3" l="1"/>
  <c r="M39" i="3" s="1"/>
  <c r="M54" i="3" s="1"/>
  <c r="M10" i="3"/>
  <c r="M51" i="3" s="1"/>
  <c r="M57" i="3" s="1"/>
  <c r="M62" i="3" s="1"/>
  <c r="M67" i="3" s="1"/>
  <c r="J20" i="3"/>
  <c r="M24" i="3" s="1"/>
  <c r="M33" i="3"/>
  <c r="J15" i="3"/>
  <c r="M40" i="3" s="1"/>
  <c r="M28" i="3"/>
  <c r="J53" i="3" s="1"/>
  <c r="N59" i="3" s="1"/>
  <c r="M8" i="3"/>
  <c r="K51" i="3" s="1"/>
  <c r="K57" i="3" s="1"/>
  <c r="K62" i="3" s="1"/>
  <c r="K67" i="3" s="1"/>
  <c r="J13" i="3" a="1"/>
  <c r="J13" i="3" s="1"/>
  <c r="M32" i="3" s="1"/>
  <c r="J14" i="3"/>
  <c r="M15" i="3" s="1"/>
  <c r="J19" i="3"/>
  <c r="M16" i="3" s="1"/>
  <c r="M29" i="3"/>
  <c r="K53" i="3" s="1"/>
  <c r="J28" i="3"/>
  <c r="M31" i="3"/>
  <c r="M53" i="3" s="1"/>
  <c r="M59" i="3" s="1"/>
  <c r="M36" i="3"/>
  <c r="J54" i="3" s="1"/>
  <c r="N60" i="3" s="1"/>
  <c r="M17" i="3"/>
  <c r="M21" i="3"/>
  <c r="L52" i="3" s="1"/>
  <c r="M46" i="3"/>
  <c r="M42" i="3"/>
  <c r="M26" i="3"/>
  <c r="M22" i="3"/>
  <c r="M52" i="3" s="1"/>
  <c r="M47" i="3"/>
  <c r="L59" i="3"/>
  <c r="M18" i="3"/>
  <c r="M43" i="3"/>
  <c r="I43" i="5" a="1"/>
  <c r="I43" i="5" s="1"/>
  <c r="M37" i="3" l="1"/>
  <c r="K54" i="3" s="1"/>
  <c r="M11" i="3"/>
  <c r="J59" i="3"/>
  <c r="M41" i="3"/>
  <c r="K59" i="3"/>
  <c r="M20" i="3"/>
  <c r="K52" i="3" s="1"/>
  <c r="M45" i="3"/>
  <c r="M23" i="3"/>
  <c r="M44" i="3"/>
  <c r="M19" i="3"/>
  <c r="J52" i="3" s="1"/>
  <c r="J58" i="3" s="1"/>
  <c r="J63" i="3" s="1"/>
  <c r="J68" i="3" s="1"/>
  <c r="M35" i="3"/>
  <c r="M14" i="3"/>
  <c r="M60" i="3"/>
  <c r="L60" i="3"/>
  <c r="K60" i="3"/>
  <c r="J60" i="3"/>
  <c r="R90" i="5"/>
  <c r="X90" i="5" s="1"/>
  <c r="Y90" i="5" s="1"/>
  <c r="Q89" i="5"/>
  <c r="R91" i="5"/>
  <c r="X91" i="5" s="1"/>
  <c r="Y91" i="5" s="1"/>
  <c r="Q90" i="5"/>
  <c r="R75" i="5"/>
  <c r="X75" i="5" s="1"/>
  <c r="Y75" i="5" s="1"/>
  <c r="Q74" i="5"/>
  <c r="R59" i="5"/>
  <c r="X59" i="5" s="1"/>
  <c r="Y59" i="5" s="1"/>
  <c r="Q58" i="5"/>
  <c r="R43" i="5"/>
  <c r="X43" i="5" s="1"/>
  <c r="Y43" i="5" s="1"/>
  <c r="Q42" i="5"/>
  <c r="R27" i="5"/>
  <c r="X27" i="5" s="1"/>
  <c r="Y27" i="5" s="1"/>
  <c r="Q26" i="5"/>
  <c r="R11" i="5"/>
  <c r="X11" i="5" s="1"/>
  <c r="Y11" i="5" s="1"/>
  <c r="Q10" i="5"/>
  <c r="R92" i="5"/>
  <c r="X92" i="5" s="1"/>
  <c r="Y92" i="5" s="1"/>
  <c r="Q91" i="5"/>
  <c r="R76" i="5"/>
  <c r="X76" i="5" s="1"/>
  <c r="Y76" i="5" s="1"/>
  <c r="Q75" i="5"/>
  <c r="R60" i="5"/>
  <c r="X60" i="5" s="1"/>
  <c r="Y60" i="5" s="1"/>
  <c r="Q59" i="5"/>
  <c r="R44" i="5"/>
  <c r="X44" i="5" s="1"/>
  <c r="Y44" i="5" s="1"/>
  <c r="Q43" i="5"/>
  <c r="R28" i="5"/>
  <c r="X28" i="5" s="1"/>
  <c r="Y28" i="5" s="1"/>
  <c r="Q27" i="5"/>
  <c r="R12" i="5"/>
  <c r="X12" i="5" s="1"/>
  <c r="Y12" i="5" s="1"/>
  <c r="Q11" i="5"/>
  <c r="R93" i="5"/>
  <c r="X93" i="5" s="1"/>
  <c r="Y93" i="5" s="1"/>
  <c r="Q92" i="5"/>
  <c r="R77" i="5"/>
  <c r="X77" i="5" s="1"/>
  <c r="Y77" i="5" s="1"/>
  <c r="Q76" i="5"/>
  <c r="R61" i="5"/>
  <c r="X61" i="5" s="1"/>
  <c r="Y61" i="5" s="1"/>
  <c r="Q60" i="5"/>
  <c r="R45" i="5"/>
  <c r="X45" i="5" s="1"/>
  <c r="Y45" i="5" s="1"/>
  <c r="Q44" i="5"/>
  <c r="R29" i="5"/>
  <c r="X29" i="5" s="1"/>
  <c r="Y29" i="5" s="1"/>
  <c r="Q28" i="5"/>
  <c r="R13" i="5"/>
  <c r="X13" i="5" s="1"/>
  <c r="Y13" i="5" s="1"/>
  <c r="Q12" i="5"/>
  <c r="Q97" i="5"/>
  <c r="R94" i="5"/>
  <c r="X94" i="5" s="1"/>
  <c r="Y94" i="5" s="1"/>
  <c r="S90" i="5"/>
  <c r="R86" i="5"/>
  <c r="X86" i="5" s="1"/>
  <c r="Y86" i="5" s="1"/>
  <c r="Q82" i="5"/>
  <c r="Q78" i="5"/>
  <c r="R73" i="5"/>
  <c r="X73" i="5" s="1"/>
  <c r="Y73" i="5" s="1"/>
  <c r="Q55" i="5"/>
  <c r="Q51" i="5"/>
  <c r="Q47" i="5"/>
  <c r="Q24" i="5"/>
  <c r="Q20" i="5"/>
  <c r="Q16" i="5"/>
  <c r="R6" i="5"/>
  <c r="X6" i="5" s="1"/>
  <c r="Y6" i="5" s="1"/>
  <c r="Q5" i="5"/>
  <c r="Q6" i="5"/>
  <c r="Q94" i="5"/>
  <c r="Q86" i="5"/>
  <c r="Q73" i="5"/>
  <c r="R69" i="5"/>
  <c r="X69" i="5" s="1"/>
  <c r="Y69" i="5" s="1"/>
  <c r="R65" i="5"/>
  <c r="X65" i="5" s="1"/>
  <c r="Y65" i="5" s="1"/>
  <c r="S43" i="5"/>
  <c r="R38" i="5"/>
  <c r="X38" i="5" s="1"/>
  <c r="Y38" i="5" s="1"/>
  <c r="R34" i="5"/>
  <c r="X34" i="5" s="1"/>
  <c r="Y34" i="5" s="1"/>
  <c r="R30" i="5"/>
  <c r="X30" i="5" s="1"/>
  <c r="Y30" i="5" s="1"/>
  <c r="S25" i="5"/>
  <c r="S74" i="5"/>
  <c r="Q69" i="5"/>
  <c r="Q65" i="5"/>
  <c r="Q61" i="5"/>
  <c r="Q38" i="5"/>
  <c r="Q34" i="5"/>
  <c r="Q30" i="5"/>
  <c r="R25" i="5"/>
  <c r="X25" i="5" s="1"/>
  <c r="Y25" i="5" s="1"/>
  <c r="R7" i="5"/>
  <c r="X7" i="5" s="1"/>
  <c r="Y7" i="5" s="1"/>
  <c r="R101" i="5"/>
  <c r="X101" i="5" s="1"/>
  <c r="Y101" i="5" s="1"/>
  <c r="R97" i="5"/>
  <c r="X97" i="5" s="1"/>
  <c r="Y97" i="5" s="1"/>
  <c r="Q95" i="5"/>
  <c r="S88" i="5"/>
  <c r="R83" i="5"/>
  <c r="X83" i="5" s="1"/>
  <c r="Y83" i="5" s="1"/>
  <c r="Q80" i="5"/>
  <c r="R58" i="5"/>
  <c r="X58" i="5" s="1"/>
  <c r="Y58" i="5" s="1"/>
  <c r="R55" i="5"/>
  <c r="X55" i="5" s="1"/>
  <c r="Y55" i="5" s="1"/>
  <c r="R47" i="5"/>
  <c r="X47" i="5" s="1"/>
  <c r="Y47" i="5" s="1"/>
  <c r="S41" i="5"/>
  <c r="R33" i="5"/>
  <c r="X33" i="5" s="1"/>
  <c r="Y33" i="5" s="1"/>
  <c r="R22" i="5"/>
  <c r="X22" i="5" s="1"/>
  <c r="Y22" i="5" s="1"/>
  <c r="Q19" i="5"/>
  <c r="R14" i="5"/>
  <c r="X14" i="5" s="1"/>
  <c r="Y14" i="5" s="1"/>
  <c r="R8" i="5"/>
  <c r="X8" i="5" s="1"/>
  <c r="Y8" i="5" s="1"/>
  <c r="R3" i="5"/>
  <c r="X3" i="5" s="1"/>
  <c r="Y3" i="5" s="1"/>
  <c r="Q3" i="5"/>
  <c r="Q93" i="5"/>
  <c r="Q31" i="5"/>
  <c r="R88" i="5"/>
  <c r="X88" i="5" s="1"/>
  <c r="Y88" i="5" s="1"/>
  <c r="Q83" i="5"/>
  <c r="R41" i="5"/>
  <c r="X41" i="5" s="1"/>
  <c r="Y41" i="5" s="1"/>
  <c r="Q33" i="5"/>
  <c r="Q25" i="5"/>
  <c r="Q22" i="5"/>
  <c r="R17" i="5"/>
  <c r="X17" i="5" s="1"/>
  <c r="Y17" i="5" s="1"/>
  <c r="Q14" i="5"/>
  <c r="S11" i="5"/>
  <c r="Q8" i="5"/>
  <c r="S4" i="5"/>
  <c r="R4" i="5"/>
  <c r="X4" i="5" s="1"/>
  <c r="Y4" i="5" s="1"/>
  <c r="R64" i="5"/>
  <c r="X64" i="5" s="1"/>
  <c r="Y64" i="5" s="1"/>
  <c r="R53" i="5"/>
  <c r="X53" i="5" s="1"/>
  <c r="Y53" i="5" s="1"/>
  <c r="Q36" i="5"/>
  <c r="Q88" i="5"/>
  <c r="S75" i="5"/>
  <c r="R50" i="5"/>
  <c r="X50" i="5" s="1"/>
  <c r="Y50" i="5" s="1"/>
  <c r="Q41" i="5"/>
  <c r="R36" i="5"/>
  <c r="X36" i="5" s="1"/>
  <c r="Y36" i="5" s="1"/>
  <c r="R31" i="5"/>
  <c r="X31" i="5" s="1"/>
  <c r="Y31" i="5" s="1"/>
  <c r="Q17" i="5"/>
  <c r="Q50" i="5"/>
  <c r="R102" i="5"/>
  <c r="X102" i="5" s="1"/>
  <c r="Y102" i="5" s="1"/>
  <c r="S95" i="5"/>
  <c r="R78" i="5"/>
  <c r="X78" i="5" s="1"/>
  <c r="Y78" i="5" s="1"/>
  <c r="Q56" i="5"/>
  <c r="R52" i="5"/>
  <c r="X52" i="5" s="1"/>
  <c r="Y52" i="5" s="1"/>
  <c r="Q46" i="5"/>
  <c r="S5" i="5"/>
  <c r="R5" i="5"/>
  <c r="X5" i="5" s="1"/>
  <c r="Y5" i="5" s="1"/>
  <c r="R82" i="5"/>
  <c r="X82" i="5" s="1"/>
  <c r="Y82" i="5" s="1"/>
  <c r="R74" i="5"/>
  <c r="X74" i="5" s="1"/>
  <c r="Y74" i="5" s="1"/>
  <c r="Q70" i="5"/>
  <c r="Q29" i="5"/>
  <c r="S27" i="5"/>
  <c r="R10" i="5"/>
  <c r="X10" i="5" s="1"/>
  <c r="Y10" i="5" s="1"/>
  <c r="S97" i="5"/>
  <c r="Q72" i="5"/>
  <c r="R23" i="5"/>
  <c r="X23" i="5" s="1"/>
  <c r="Y23" i="5" s="1"/>
  <c r="Q21" i="5"/>
  <c r="S19" i="5"/>
  <c r="S99" i="5"/>
  <c r="Q68" i="5"/>
  <c r="Q45" i="5"/>
  <c r="S33" i="5"/>
  <c r="Q102" i="5"/>
  <c r="R95" i="5"/>
  <c r="X95" i="5" s="1"/>
  <c r="Y95" i="5" s="1"/>
  <c r="S86" i="5"/>
  <c r="R84" i="5"/>
  <c r="X84" i="5" s="1"/>
  <c r="Y84" i="5" s="1"/>
  <c r="S80" i="5"/>
  <c r="S66" i="5"/>
  <c r="Q64" i="5"/>
  <c r="S58" i="5"/>
  <c r="Q52" i="5"/>
  <c r="R40" i="5"/>
  <c r="X40" i="5" s="1"/>
  <c r="Y40" i="5" s="1"/>
  <c r="R72" i="5"/>
  <c r="X72" i="5" s="1"/>
  <c r="Y72" i="5" s="1"/>
  <c r="Q66" i="5"/>
  <c r="R21" i="5"/>
  <c r="X21" i="5" s="1"/>
  <c r="Y21" i="5" s="1"/>
  <c r="S8" i="5"/>
  <c r="R68" i="5"/>
  <c r="X68" i="5" s="1"/>
  <c r="Y68" i="5" s="1"/>
  <c r="Q2" i="5"/>
  <c r="R35" i="5"/>
  <c r="X35" i="5" s="1"/>
  <c r="Y35" i="5" s="1"/>
  <c r="Q84" i="5"/>
  <c r="S82" i="5"/>
  <c r="R80" i="5"/>
  <c r="X80" i="5" s="1"/>
  <c r="Y80" i="5" s="1"/>
  <c r="R70" i="5"/>
  <c r="X70" i="5" s="1"/>
  <c r="Y70" i="5" s="1"/>
  <c r="R66" i="5"/>
  <c r="X66" i="5" s="1"/>
  <c r="Y66" i="5" s="1"/>
  <c r="R54" i="5"/>
  <c r="X54" i="5" s="1"/>
  <c r="Y54" i="5" s="1"/>
  <c r="Q40" i="5"/>
  <c r="S10" i="5"/>
  <c r="Q54" i="5"/>
  <c r="R2" i="5"/>
  <c r="X2" i="5" s="1"/>
  <c r="Y2" i="5" s="1"/>
  <c r="R98" i="5"/>
  <c r="X98" i="5" s="1"/>
  <c r="Y98" i="5" s="1"/>
  <c r="S85" i="5"/>
  <c r="Q79" i="5"/>
  <c r="Q71" i="5"/>
  <c r="R20" i="5"/>
  <c r="X20" i="5" s="1"/>
  <c r="Y20" i="5" s="1"/>
  <c r="Q7" i="5"/>
  <c r="Q9" i="5"/>
  <c r="S6" i="5"/>
  <c r="R63" i="5"/>
  <c r="X63" i="5" s="1"/>
  <c r="Y63" i="5" s="1"/>
  <c r="S100" i="5"/>
  <c r="Q63" i="5"/>
  <c r="S42" i="5"/>
  <c r="Q57" i="5"/>
  <c r="Q32" i="5"/>
  <c r="S26" i="5"/>
  <c r="Q18" i="5"/>
  <c r="R56" i="5"/>
  <c r="X56" i="5" s="1"/>
  <c r="Y56" i="5" s="1"/>
  <c r="R71" i="5"/>
  <c r="X71" i="5" s="1"/>
  <c r="Y71" i="5" s="1"/>
  <c r="S3" i="5"/>
  <c r="Q98" i="5"/>
  <c r="R85" i="5"/>
  <c r="X85" i="5" s="1"/>
  <c r="Y85" i="5" s="1"/>
  <c r="R67" i="5"/>
  <c r="X67" i="5" s="1"/>
  <c r="Y67" i="5" s="1"/>
  <c r="Q49" i="5"/>
  <c r="Q37" i="5"/>
  <c r="R46" i="5"/>
  <c r="X46" i="5" s="1"/>
  <c r="Y46" i="5" s="1"/>
  <c r="R81" i="5"/>
  <c r="X81" i="5" s="1"/>
  <c r="Y81" i="5" s="1"/>
  <c r="R48" i="5"/>
  <c r="X48" i="5" s="1"/>
  <c r="Y48" i="5" s="1"/>
  <c r="Q39" i="5"/>
  <c r="R57" i="5"/>
  <c r="X57" i="5" s="1"/>
  <c r="Y57" i="5" s="1"/>
  <c r="Q48" i="5"/>
  <c r="Q4" i="5"/>
  <c r="S16" i="5"/>
  <c r="R96" i="5"/>
  <c r="X96" i="5" s="1"/>
  <c r="Y96" i="5" s="1"/>
  <c r="Q35" i="5"/>
  <c r="R99" i="5"/>
  <c r="X99" i="5" s="1"/>
  <c r="Y99" i="5" s="1"/>
  <c r="R62" i="5"/>
  <c r="X62" i="5" s="1"/>
  <c r="Y62" i="5" s="1"/>
  <c r="S47" i="5"/>
  <c r="R18" i="5"/>
  <c r="X18" i="5" s="1"/>
  <c r="Y18" i="5" s="1"/>
  <c r="R15" i="5"/>
  <c r="X15" i="5" s="1"/>
  <c r="Y15" i="5" s="1"/>
  <c r="S20" i="5"/>
  <c r="Q85" i="5"/>
  <c r="Q67" i="5"/>
  <c r="R49" i="5"/>
  <c r="X49" i="5" s="1"/>
  <c r="Y49" i="5" s="1"/>
  <c r="R37" i="5"/>
  <c r="X37" i="5" s="1"/>
  <c r="Y37" i="5" s="1"/>
  <c r="S9" i="5"/>
  <c r="S55" i="5"/>
  <c r="S51" i="5"/>
  <c r="Q13" i="5"/>
  <c r="R100" i="5"/>
  <c r="X100" i="5" s="1"/>
  <c r="Y100" i="5" s="1"/>
  <c r="Q100" i="5"/>
  <c r="S89" i="5"/>
  <c r="S71" i="5"/>
  <c r="Q101" i="5"/>
  <c r="S73" i="5"/>
  <c r="R9" i="5"/>
  <c r="X9" i="5" s="1"/>
  <c r="Y9" i="5" s="1"/>
  <c r="R19" i="5"/>
  <c r="X19" i="5" s="1"/>
  <c r="Y19" i="5" s="1"/>
  <c r="R87" i="5"/>
  <c r="X87" i="5" s="1"/>
  <c r="Y87" i="5" s="1"/>
  <c r="Q81" i="5"/>
  <c r="R39" i="5"/>
  <c r="X39" i="5" s="1"/>
  <c r="Y39" i="5" s="1"/>
  <c r="S22" i="5"/>
  <c r="Q87" i="5"/>
  <c r="S57" i="5"/>
  <c r="R51" i="5"/>
  <c r="X51" i="5" s="1"/>
  <c r="Y51" i="5" s="1"/>
  <c r="R42" i="5"/>
  <c r="X42" i="5" s="1"/>
  <c r="Y42" i="5" s="1"/>
  <c r="R16" i="5"/>
  <c r="X16" i="5" s="1"/>
  <c r="Y16" i="5" s="1"/>
  <c r="S59" i="5"/>
  <c r="R32" i="5"/>
  <c r="X32" i="5" s="1"/>
  <c r="Y32" i="5" s="1"/>
  <c r="Q96" i="5"/>
  <c r="S24" i="5"/>
  <c r="Q99" i="5"/>
  <c r="R89" i="5"/>
  <c r="X89" i="5" s="1"/>
  <c r="Y89" i="5" s="1"/>
  <c r="Q77" i="5"/>
  <c r="Q62" i="5"/>
  <c r="Q53" i="5"/>
  <c r="R26" i="5"/>
  <c r="X26" i="5" s="1"/>
  <c r="Y26" i="5" s="1"/>
  <c r="R24" i="5"/>
  <c r="X24" i="5" s="1"/>
  <c r="Y24" i="5" s="1"/>
  <c r="Q15" i="5"/>
  <c r="R79" i="5"/>
  <c r="X79" i="5" s="1"/>
  <c r="Y79" i="5" s="1"/>
  <c r="Q23" i="5"/>
  <c r="S87" i="5"/>
  <c r="S35" i="5"/>
  <c r="S48" i="5"/>
  <c r="S62" i="5"/>
  <c r="S69" i="5"/>
  <c r="S98" i="5"/>
  <c r="S83" i="5"/>
  <c r="S53" i="5"/>
  <c r="S76" i="5"/>
  <c r="S68" i="5"/>
  <c r="S102" i="5"/>
  <c r="S36" i="5"/>
  <c r="S29" i="5"/>
  <c r="S39" i="5"/>
  <c r="S31" i="5"/>
  <c r="S2" i="5"/>
  <c r="S38" i="5"/>
  <c r="S92" i="5"/>
  <c r="S15" i="5"/>
  <c r="S56" i="5"/>
  <c r="S65" i="5"/>
  <c r="S96" i="5"/>
  <c r="S21" i="5"/>
  <c r="S40" i="5"/>
  <c r="S14" i="5"/>
  <c r="S63" i="5"/>
  <c r="S70" i="5"/>
  <c r="S23" i="5"/>
  <c r="S81" i="5"/>
  <c r="S91" i="5"/>
  <c r="S54" i="5"/>
  <c r="S61" i="5"/>
  <c r="S32" i="5"/>
  <c r="S64" i="5"/>
  <c r="S18" i="5"/>
  <c r="S72" i="5"/>
  <c r="S7" i="5"/>
  <c r="S28" i="5"/>
  <c r="S49" i="5"/>
  <c r="S17" i="5"/>
  <c r="S52" i="5"/>
  <c r="S37" i="5"/>
  <c r="S60" i="5"/>
  <c r="S30" i="5"/>
  <c r="S77" i="5"/>
  <c r="S67" i="5"/>
  <c r="S45" i="5"/>
  <c r="S94" i="5"/>
  <c r="S84" i="5"/>
  <c r="S12" i="5"/>
  <c r="S34" i="5"/>
  <c r="S78" i="5"/>
  <c r="S79" i="5"/>
  <c r="S44" i="5"/>
  <c r="S101" i="5"/>
  <c r="S46" i="5"/>
  <c r="S93" i="5"/>
  <c r="S13" i="5"/>
  <c r="S50" i="5"/>
  <c r="M58" i="3" l="1"/>
  <c r="M63" i="3" s="1"/>
  <c r="M68" i="3" s="1"/>
  <c r="L58" i="3"/>
  <c r="L63" i="3" s="1"/>
  <c r="L68" i="3" s="1"/>
  <c r="K58" i="3"/>
  <c r="N65" i="3" s="1"/>
  <c r="N58" i="3"/>
  <c r="N63" i="3" s="1"/>
  <c r="N68" i="3" s="1"/>
  <c r="U60" i="5"/>
  <c r="V60" i="5" s="1"/>
  <c r="U91" i="5"/>
  <c r="V91" i="5" s="1"/>
  <c r="U81" i="5"/>
  <c r="V81" i="5" s="1"/>
  <c r="U85" i="5"/>
  <c r="V85" i="5" s="1"/>
  <c r="U70" i="5"/>
  <c r="V70" i="5" s="1"/>
  <c r="U83" i="5"/>
  <c r="V83" i="5" s="1"/>
  <c r="W83" i="5"/>
  <c r="U76" i="5"/>
  <c r="V76" i="5" s="1"/>
  <c r="U10" i="5"/>
  <c r="V10" i="5" s="1"/>
  <c r="U77" i="5"/>
  <c r="V77" i="5" s="1"/>
  <c r="U37" i="5"/>
  <c r="V37" i="5" s="1"/>
  <c r="U49" i="5"/>
  <c r="V49" i="5" s="1"/>
  <c r="U84" i="5"/>
  <c r="V84" i="5" s="1"/>
  <c r="U88" i="5"/>
  <c r="V88" i="5" s="1"/>
  <c r="U31" i="5"/>
  <c r="V31" i="5" s="1"/>
  <c r="U92" i="5"/>
  <c r="V92" i="5" s="1"/>
  <c r="U101" i="5"/>
  <c r="V101" i="5" s="1"/>
  <c r="U2" i="5"/>
  <c r="V2" i="5" s="1"/>
  <c r="U11" i="5"/>
  <c r="V11" i="5" s="1"/>
  <c r="U96" i="5"/>
  <c r="V96" i="5" s="1"/>
  <c r="U98" i="5"/>
  <c r="V98" i="5" s="1"/>
  <c r="U45" i="5"/>
  <c r="V45" i="5" s="1"/>
  <c r="U46" i="5"/>
  <c r="V46" i="5" s="1"/>
  <c r="U68" i="5"/>
  <c r="V68" i="5" s="1"/>
  <c r="U27" i="5"/>
  <c r="V27" i="5" s="1"/>
  <c r="U58" i="5"/>
  <c r="V58" i="5" s="1"/>
  <c r="U100" i="5"/>
  <c r="V100" i="5" s="1"/>
  <c r="U97" i="5"/>
  <c r="V97" i="5" s="1"/>
  <c r="U19" i="5"/>
  <c r="V19" i="5" s="1"/>
  <c r="U6" i="5"/>
  <c r="V6" i="5" s="1"/>
  <c r="U74" i="5"/>
  <c r="V74" i="5" s="1"/>
  <c r="W74" i="5"/>
  <c r="U21" i="5"/>
  <c r="V21" i="5" s="1"/>
  <c r="U23" i="5"/>
  <c r="V23" i="5" s="1"/>
  <c r="U14" i="5"/>
  <c r="V14" i="5" s="1"/>
  <c r="U28" i="5"/>
  <c r="V28" i="5" s="1"/>
  <c r="U90" i="5"/>
  <c r="V90" i="5" s="1"/>
  <c r="U48" i="5"/>
  <c r="V48" i="5" s="1"/>
  <c r="U32" i="5"/>
  <c r="V32" i="5" s="1"/>
  <c r="U52" i="5"/>
  <c r="V52" i="5" s="1"/>
  <c r="U72" i="5"/>
  <c r="V72" i="5" s="1"/>
  <c r="U50" i="5"/>
  <c r="V50" i="5" s="1"/>
  <c r="U65" i="5"/>
  <c r="V65" i="5" s="1"/>
  <c r="U16" i="5"/>
  <c r="V16" i="5" s="1"/>
  <c r="U63" i="5"/>
  <c r="V63" i="5" s="1"/>
  <c r="U47" i="5"/>
  <c r="V47" i="5" s="1"/>
  <c r="U53" i="5"/>
  <c r="V53" i="5" s="1"/>
  <c r="U41" i="5"/>
  <c r="V41" i="5" s="1"/>
  <c r="U80" i="5"/>
  <c r="V80" i="5" s="1"/>
  <c r="U51" i="5"/>
  <c r="V51" i="5" s="1"/>
  <c r="U62" i="5"/>
  <c r="V62" i="5" s="1"/>
  <c r="U55" i="5"/>
  <c r="V55" i="5" s="1"/>
  <c r="U9" i="5"/>
  <c r="V9" i="5" s="1"/>
  <c r="U95" i="5"/>
  <c r="V95" i="5" s="1"/>
  <c r="U99" i="5"/>
  <c r="V99" i="5" s="1"/>
  <c r="U102" i="5"/>
  <c r="V102" i="5" s="1"/>
  <c r="U36" i="5"/>
  <c r="V36" i="5" s="1"/>
  <c r="U82" i="5"/>
  <c r="V82" i="5" s="1"/>
  <c r="U3" i="5"/>
  <c r="V3" i="5" s="1"/>
  <c r="U42" i="5"/>
  <c r="V42" i="5" s="1"/>
  <c r="U79" i="5"/>
  <c r="V79" i="5" s="1"/>
  <c r="U86" i="5"/>
  <c r="V86" i="5" s="1"/>
  <c r="U35" i="5"/>
  <c r="V35" i="5" s="1"/>
  <c r="U56" i="5"/>
  <c r="V56" i="5" s="1"/>
  <c r="U94" i="5"/>
  <c r="V94" i="5" s="1"/>
  <c r="U34" i="5"/>
  <c r="V34" i="5" s="1"/>
  <c r="U12" i="5"/>
  <c r="V12" i="5" s="1"/>
  <c r="U13" i="5"/>
  <c r="V13" i="5" s="1"/>
  <c r="U38" i="5"/>
  <c r="V38" i="5" s="1"/>
  <c r="U54" i="5"/>
  <c r="V54" i="5" s="1"/>
  <c r="U59" i="5"/>
  <c r="V59" i="5" s="1"/>
  <c r="U15" i="5"/>
  <c r="V15" i="5" s="1"/>
  <c r="U87" i="5"/>
  <c r="V87" i="5" s="1"/>
  <c r="U57" i="5"/>
  <c r="V57" i="5" s="1"/>
  <c r="U40" i="5"/>
  <c r="V40" i="5" s="1"/>
  <c r="U17" i="5"/>
  <c r="V17" i="5" s="1"/>
  <c r="U22" i="5"/>
  <c r="V22" i="5" s="1"/>
  <c r="U69" i="5"/>
  <c r="V69" i="5" s="1"/>
  <c r="U20" i="5"/>
  <c r="V20" i="5" s="1"/>
  <c r="U44" i="5"/>
  <c r="V44" i="5" s="1"/>
  <c r="U75" i="5"/>
  <c r="V75" i="5" s="1"/>
  <c r="U89" i="5"/>
  <c r="V89" i="5" s="1"/>
  <c r="U33" i="5"/>
  <c r="V33" i="5" s="1"/>
  <c r="U67" i="5"/>
  <c r="V67" i="5" s="1"/>
  <c r="U29" i="5"/>
  <c r="V29" i="5" s="1"/>
  <c r="U78" i="5"/>
  <c r="V78" i="5" s="1"/>
  <c r="W78" i="5"/>
  <c r="U26" i="5"/>
  <c r="V26" i="5" s="1"/>
  <c r="U7" i="5"/>
  <c r="V7" i="5" s="1"/>
  <c r="U93" i="5"/>
  <c r="V93" i="5" s="1"/>
  <c r="U71" i="5"/>
  <c r="V71" i="5" s="1"/>
  <c r="U73" i="5"/>
  <c r="V73" i="5" s="1"/>
  <c r="U30" i="5"/>
  <c r="V30" i="5" s="1"/>
  <c r="U66" i="5"/>
  <c r="V66" i="5" s="1"/>
  <c r="U8" i="5"/>
  <c r="V8" i="5" s="1"/>
  <c r="U43" i="5"/>
  <c r="V43" i="5" s="1"/>
  <c r="U18" i="5"/>
  <c r="V18" i="5" s="1"/>
  <c r="U5" i="5"/>
  <c r="V5" i="5" s="1"/>
  <c r="U4" i="5"/>
  <c r="V4" i="5" s="1"/>
  <c r="U61" i="5"/>
  <c r="V61" i="5" s="1"/>
  <c r="U39" i="5"/>
  <c r="V39" i="5" s="1"/>
  <c r="U64" i="5"/>
  <c r="V64" i="5" s="1"/>
  <c r="U25" i="5"/>
  <c r="V25" i="5" s="1"/>
  <c r="U24" i="5"/>
  <c r="V24" i="5" s="1"/>
  <c r="W29" i="5" l="1"/>
  <c r="W10" i="5"/>
  <c r="W13" i="5"/>
  <c r="W101" i="5"/>
  <c r="W40" i="5"/>
  <c r="J65" i="3"/>
  <c r="M65" i="3"/>
  <c r="N64" i="3"/>
  <c r="N69" i="3" s="1"/>
  <c r="L65" i="3"/>
  <c r="K63" i="3"/>
  <c r="K68" i="3" s="1"/>
  <c r="K64" i="3"/>
  <c r="K69" i="3" s="1"/>
  <c r="L64" i="3"/>
  <c r="L69" i="3" s="1"/>
  <c r="J64" i="3"/>
  <c r="J69" i="3" s="1"/>
  <c r="M64" i="3"/>
  <c r="M69" i="3" s="1"/>
  <c r="K65" i="3"/>
  <c r="W2" i="5"/>
  <c r="AD2" i="5" s="1"/>
  <c r="W36" i="5"/>
  <c r="W50" i="5"/>
  <c r="W4" i="5"/>
  <c r="W61" i="5"/>
  <c r="W21" i="5"/>
  <c r="W11" i="5"/>
  <c r="W76" i="5"/>
  <c r="W18" i="5"/>
  <c r="W38" i="5"/>
  <c r="W99" i="5"/>
  <c r="W43" i="5"/>
  <c r="W45" i="5"/>
  <c r="AD45" i="5" s="1"/>
  <c r="W77" i="5"/>
  <c r="AC77" i="5" s="1"/>
  <c r="W71" i="5"/>
  <c r="AE71" i="5" s="1"/>
  <c r="W14" i="5"/>
  <c r="AC14" i="5" s="1"/>
  <c r="W52" i="5"/>
  <c r="AE52" i="5" s="1"/>
  <c r="W12" i="5"/>
  <c r="W58" i="5"/>
  <c r="W25" i="5"/>
  <c r="W69" i="5"/>
  <c r="W92" i="5"/>
  <c r="AC92" i="5" s="1"/>
  <c r="W93" i="5"/>
  <c r="AE93" i="5" s="1"/>
  <c r="W55" i="5"/>
  <c r="AD55" i="5" s="1"/>
  <c r="W7" i="5"/>
  <c r="W56" i="5"/>
  <c r="W62" i="5"/>
  <c r="AD62" i="5" s="1"/>
  <c r="W72" i="5"/>
  <c r="AE72" i="5" s="1"/>
  <c r="W24" i="5"/>
  <c r="AE24" i="5" s="1"/>
  <c r="W54" i="5"/>
  <c r="AD54" i="5" s="1"/>
  <c r="W28" i="5"/>
  <c r="AD28" i="5" s="1"/>
  <c r="W60" i="5"/>
  <c r="AE60" i="5" s="1"/>
  <c r="W30" i="5"/>
  <c r="AC30" i="5" s="1"/>
  <c r="W89" i="5"/>
  <c r="AE89" i="5" s="1"/>
  <c r="W82" i="5"/>
  <c r="AE82" i="5" s="1"/>
  <c r="W53" i="5"/>
  <c r="AC53" i="5" s="1"/>
  <c r="W46" i="5"/>
  <c r="AE46" i="5" s="1"/>
  <c r="AE4" i="5"/>
  <c r="AC4" i="5"/>
  <c r="AD4" i="5"/>
  <c r="AB57" i="5"/>
  <c r="AA57" i="5"/>
  <c r="Z57" i="5"/>
  <c r="AB71" i="5"/>
  <c r="AA71" i="5"/>
  <c r="Z71" i="5"/>
  <c r="W57" i="5"/>
  <c r="Z82" i="5"/>
  <c r="AA82" i="5"/>
  <c r="AB82" i="5"/>
  <c r="Z50" i="5"/>
  <c r="AA50" i="5"/>
  <c r="AB50" i="5"/>
  <c r="W27" i="5"/>
  <c r="AB101" i="5"/>
  <c r="AA101" i="5"/>
  <c r="Z101" i="5"/>
  <c r="AB10" i="5"/>
  <c r="Z10" i="5"/>
  <c r="AA10" i="5"/>
  <c r="Z5" i="5"/>
  <c r="AB5" i="5"/>
  <c r="AA5" i="5"/>
  <c r="AB87" i="5"/>
  <c r="AA87" i="5"/>
  <c r="Z87" i="5"/>
  <c r="W5" i="5"/>
  <c r="W75" i="5"/>
  <c r="AB36" i="5"/>
  <c r="AA36" i="5"/>
  <c r="Z36" i="5"/>
  <c r="Z72" i="5"/>
  <c r="AA72" i="5"/>
  <c r="AB72" i="5"/>
  <c r="W68" i="5"/>
  <c r="AB92" i="5"/>
  <c r="AA92" i="5"/>
  <c r="Z92" i="5"/>
  <c r="AB76" i="5"/>
  <c r="AA76" i="5"/>
  <c r="Z76" i="5"/>
  <c r="AC18" i="5"/>
  <c r="AE18" i="5"/>
  <c r="AD18" i="5"/>
  <c r="AB15" i="5"/>
  <c r="AA15" i="5"/>
  <c r="Z15" i="5"/>
  <c r="AB41" i="5"/>
  <c r="Z41" i="5"/>
  <c r="AA41" i="5"/>
  <c r="AA31" i="5"/>
  <c r="Z31" i="5"/>
  <c r="AB31" i="5"/>
  <c r="AE83" i="5"/>
  <c r="AD83" i="5"/>
  <c r="AC83" i="5"/>
  <c r="Z18" i="5"/>
  <c r="AB18" i="5"/>
  <c r="AA18" i="5"/>
  <c r="W44" i="5"/>
  <c r="AB26" i="5"/>
  <c r="AA26" i="5"/>
  <c r="Z26" i="5"/>
  <c r="AA35" i="5"/>
  <c r="Z35" i="5"/>
  <c r="AB35" i="5"/>
  <c r="AB32" i="5"/>
  <c r="AA32" i="5"/>
  <c r="Z32" i="5"/>
  <c r="AC45" i="5"/>
  <c r="AB70" i="5"/>
  <c r="Z70" i="5"/>
  <c r="AA70" i="5"/>
  <c r="AB24" i="5"/>
  <c r="AA24" i="5"/>
  <c r="Z24" i="5"/>
  <c r="W26" i="5"/>
  <c r="W59" i="5"/>
  <c r="W35" i="5"/>
  <c r="AB53" i="5"/>
  <c r="AA53" i="5"/>
  <c r="Z53" i="5"/>
  <c r="AB45" i="5"/>
  <c r="AA45" i="5"/>
  <c r="Z45" i="5"/>
  <c r="W70" i="5"/>
  <c r="AE25" i="5"/>
  <c r="AC25" i="5"/>
  <c r="AD25" i="5"/>
  <c r="AC69" i="5"/>
  <c r="AE69" i="5"/>
  <c r="AD69" i="5"/>
  <c r="AB95" i="5"/>
  <c r="AA95" i="5"/>
  <c r="Z95" i="5"/>
  <c r="AA19" i="5"/>
  <c r="Z19" i="5"/>
  <c r="AB19" i="5"/>
  <c r="AB84" i="5"/>
  <c r="AA84" i="5"/>
  <c r="Z84" i="5"/>
  <c r="AB63" i="5"/>
  <c r="AA63" i="5"/>
  <c r="Z63" i="5"/>
  <c r="Z34" i="5"/>
  <c r="AB34" i="5"/>
  <c r="AA34" i="5"/>
  <c r="AA51" i="5"/>
  <c r="Z51" i="5"/>
  <c r="AB51" i="5"/>
  <c r="AB23" i="5"/>
  <c r="Z23" i="5"/>
  <c r="AA23" i="5"/>
  <c r="AA27" i="5"/>
  <c r="Z27" i="5"/>
  <c r="AB27" i="5"/>
  <c r="AD101" i="5"/>
  <c r="AC101" i="5"/>
  <c r="AE101" i="5"/>
  <c r="AD10" i="5"/>
  <c r="AC10" i="5"/>
  <c r="AE10" i="5"/>
  <c r="AB4" i="5"/>
  <c r="AA4" i="5"/>
  <c r="Z4" i="5"/>
  <c r="AB89" i="5"/>
  <c r="AA89" i="5"/>
  <c r="Z89" i="5"/>
  <c r="W34" i="5"/>
  <c r="W51" i="5"/>
  <c r="W23" i="5"/>
  <c r="AB94" i="5"/>
  <c r="AA94" i="5"/>
  <c r="Z94" i="5"/>
  <c r="AE36" i="5"/>
  <c r="AD36" i="5"/>
  <c r="AC36" i="5"/>
  <c r="AB68" i="5"/>
  <c r="AA68" i="5"/>
  <c r="Z68" i="5"/>
  <c r="AC76" i="5"/>
  <c r="AE76" i="5"/>
  <c r="AD76" i="5"/>
  <c r="AA93" i="5"/>
  <c r="AB93" i="5"/>
  <c r="Z93" i="5"/>
  <c r="W94" i="5"/>
  <c r="W80" i="5"/>
  <c r="AA44" i="5"/>
  <c r="AB44" i="5"/>
  <c r="Z44" i="5"/>
  <c r="AB102" i="5"/>
  <c r="AA102" i="5"/>
  <c r="Z102" i="5"/>
  <c r="AD74" i="5"/>
  <c r="AC74" i="5"/>
  <c r="AE74" i="5"/>
  <c r="Z7" i="5"/>
  <c r="AA7" i="5"/>
  <c r="AB7" i="5"/>
  <c r="W15" i="5"/>
  <c r="W102" i="5"/>
  <c r="W41" i="5"/>
  <c r="Z74" i="5"/>
  <c r="AB74" i="5"/>
  <c r="AA74" i="5"/>
  <c r="AA83" i="5"/>
  <c r="Z83" i="5"/>
  <c r="AB83" i="5"/>
  <c r="AA59" i="5"/>
  <c r="Z59" i="5"/>
  <c r="AB59" i="5"/>
  <c r="AE78" i="5"/>
  <c r="AC78" i="5"/>
  <c r="AD78" i="5"/>
  <c r="AA47" i="5"/>
  <c r="Z47" i="5"/>
  <c r="AB47" i="5"/>
  <c r="Z48" i="5"/>
  <c r="AB48" i="5"/>
  <c r="AA48" i="5"/>
  <c r="AA98" i="5"/>
  <c r="Z98" i="5"/>
  <c r="AB98" i="5"/>
  <c r="AB85" i="5"/>
  <c r="AA85" i="5"/>
  <c r="Z85" i="5"/>
  <c r="Z25" i="5"/>
  <c r="AB25" i="5"/>
  <c r="AA25" i="5"/>
  <c r="W8" i="5"/>
  <c r="AB69" i="5"/>
  <c r="AA69" i="5"/>
  <c r="Z69" i="5"/>
  <c r="W86" i="5"/>
  <c r="W47" i="5"/>
  <c r="W48" i="5"/>
  <c r="W98" i="5"/>
  <c r="W84" i="5"/>
  <c r="Z64" i="5"/>
  <c r="AB64" i="5"/>
  <c r="AA64" i="5"/>
  <c r="AB22" i="5"/>
  <c r="Z22" i="5"/>
  <c r="AA22" i="5"/>
  <c r="AD38" i="5"/>
  <c r="AC38" i="5"/>
  <c r="AE38" i="5"/>
  <c r="AB79" i="5"/>
  <c r="AA79" i="5"/>
  <c r="Z79" i="5"/>
  <c r="AA90" i="5"/>
  <c r="Z90" i="5"/>
  <c r="AB90" i="5"/>
  <c r="Z97" i="5"/>
  <c r="AB97" i="5"/>
  <c r="AA97" i="5"/>
  <c r="AB96" i="5"/>
  <c r="Z96" i="5"/>
  <c r="AA96" i="5"/>
  <c r="AB49" i="5"/>
  <c r="AA49" i="5"/>
  <c r="Z49" i="5"/>
  <c r="AB81" i="5"/>
  <c r="AA81" i="5"/>
  <c r="Z81" i="5"/>
  <c r="W64" i="5"/>
  <c r="W66" i="5"/>
  <c r="AB38" i="5"/>
  <c r="Z38" i="5"/>
  <c r="AA38" i="5"/>
  <c r="W79" i="5"/>
  <c r="W9" i="5"/>
  <c r="W63" i="5"/>
  <c r="W97" i="5"/>
  <c r="W96" i="5"/>
  <c r="W49" i="5"/>
  <c r="W81" i="5"/>
  <c r="AE50" i="5"/>
  <c r="AC50" i="5"/>
  <c r="AD50" i="5"/>
  <c r="AA75" i="5"/>
  <c r="Z75" i="5"/>
  <c r="AB75" i="5"/>
  <c r="AB80" i="5"/>
  <c r="AA80" i="5"/>
  <c r="Z80" i="5"/>
  <c r="AC21" i="5"/>
  <c r="AE21" i="5"/>
  <c r="AD21" i="5"/>
  <c r="AD92" i="5"/>
  <c r="W87" i="5"/>
  <c r="AB21" i="5"/>
  <c r="AA21" i="5"/>
  <c r="Z21" i="5"/>
  <c r="AD7" i="5"/>
  <c r="AC7" i="5"/>
  <c r="AE7" i="5"/>
  <c r="AE56" i="5"/>
  <c r="AD56" i="5"/>
  <c r="AC56" i="5"/>
  <c r="Z56" i="5"/>
  <c r="AB56" i="5"/>
  <c r="AA56" i="5"/>
  <c r="AB52" i="5"/>
  <c r="AA52" i="5"/>
  <c r="Z52" i="5"/>
  <c r="Z46" i="5"/>
  <c r="AB46" i="5"/>
  <c r="AA46" i="5"/>
  <c r="W31" i="5"/>
  <c r="AD43" i="5"/>
  <c r="AC43" i="5"/>
  <c r="AE43" i="5"/>
  <c r="AB20" i="5"/>
  <c r="AA20" i="5"/>
  <c r="Z20" i="5"/>
  <c r="AE99" i="5"/>
  <c r="AD99" i="5"/>
  <c r="AC99" i="5"/>
  <c r="AB6" i="5"/>
  <c r="AA6" i="5"/>
  <c r="Z6" i="5"/>
  <c r="AB88" i="5"/>
  <c r="AA88" i="5"/>
  <c r="Z88" i="5"/>
  <c r="AB43" i="5"/>
  <c r="AA43" i="5"/>
  <c r="Z43" i="5"/>
  <c r="W20" i="5"/>
  <c r="AB99" i="5"/>
  <c r="AA99" i="5"/>
  <c r="Z99" i="5"/>
  <c r="W32" i="5"/>
  <c r="W6" i="5"/>
  <c r="W88" i="5"/>
  <c r="Z8" i="5"/>
  <c r="AA8" i="5"/>
  <c r="AB8" i="5"/>
  <c r="AB86" i="5"/>
  <c r="AA86" i="5"/>
  <c r="Z86" i="5"/>
  <c r="Z78" i="5"/>
  <c r="AA78" i="5"/>
  <c r="AB78" i="5"/>
  <c r="AB54" i="5"/>
  <c r="Z54" i="5"/>
  <c r="AA54" i="5"/>
  <c r="W95" i="5"/>
  <c r="W19" i="5"/>
  <c r="W85" i="5"/>
  <c r="Z66" i="5"/>
  <c r="AA66" i="5"/>
  <c r="AB66" i="5"/>
  <c r="AC29" i="5"/>
  <c r="AE29" i="5"/>
  <c r="AD29" i="5"/>
  <c r="AA9" i="5"/>
  <c r="Z9" i="5"/>
  <c r="AB9" i="5"/>
  <c r="AB29" i="5"/>
  <c r="Z29" i="5"/>
  <c r="AA29" i="5"/>
  <c r="W22" i="5"/>
  <c r="W90" i="5"/>
  <c r="Z39" i="5"/>
  <c r="AA39" i="5"/>
  <c r="AB39" i="5"/>
  <c r="AA67" i="5"/>
  <c r="Z67" i="5"/>
  <c r="AB67" i="5"/>
  <c r="Z17" i="5"/>
  <c r="AA17" i="5"/>
  <c r="AB17" i="5"/>
  <c r="AD13" i="5"/>
  <c r="AC13" i="5"/>
  <c r="AE13" i="5"/>
  <c r="AA42" i="5"/>
  <c r="Z42" i="5"/>
  <c r="AB42" i="5"/>
  <c r="AE55" i="5"/>
  <c r="Z16" i="5"/>
  <c r="AB16" i="5"/>
  <c r="AA16" i="5"/>
  <c r="AB100" i="5"/>
  <c r="AA100" i="5"/>
  <c r="Z100" i="5"/>
  <c r="AE11" i="5"/>
  <c r="AD11" i="5"/>
  <c r="AC11" i="5"/>
  <c r="AB37" i="5"/>
  <c r="AA37" i="5"/>
  <c r="Z37" i="5"/>
  <c r="AA91" i="5"/>
  <c r="Z91" i="5"/>
  <c r="AB91" i="5"/>
  <c r="W39" i="5"/>
  <c r="AA30" i="5"/>
  <c r="AB30" i="5"/>
  <c r="Z30" i="5"/>
  <c r="W67" i="5"/>
  <c r="W17" i="5"/>
  <c r="AA13" i="5"/>
  <c r="Z13" i="5"/>
  <c r="AB13" i="5"/>
  <c r="W42" i="5"/>
  <c r="AA55" i="5"/>
  <c r="Z55" i="5"/>
  <c r="AB55" i="5"/>
  <c r="W16" i="5"/>
  <c r="Z28" i="5"/>
  <c r="AA28" i="5"/>
  <c r="AB28" i="5"/>
  <c r="W100" i="5"/>
  <c r="AB11" i="5"/>
  <c r="Z11" i="5"/>
  <c r="AA11" i="5"/>
  <c r="W37" i="5"/>
  <c r="W91" i="5"/>
  <c r="AE61" i="5"/>
  <c r="AD61" i="5"/>
  <c r="AC61" i="5"/>
  <c r="AB73" i="5"/>
  <c r="AA73" i="5"/>
  <c r="Z73" i="5"/>
  <c r="AB33" i="5"/>
  <c r="AA33" i="5"/>
  <c r="Z33" i="5"/>
  <c r="AE40" i="5"/>
  <c r="AD40" i="5"/>
  <c r="AC40" i="5"/>
  <c r="AE12" i="5"/>
  <c r="AD12" i="5"/>
  <c r="AC12" i="5"/>
  <c r="AB3" i="5"/>
  <c r="AA3" i="5"/>
  <c r="Z3" i="5"/>
  <c r="AB65" i="5"/>
  <c r="AA65" i="5"/>
  <c r="Z65" i="5"/>
  <c r="AE58" i="5"/>
  <c r="AD58" i="5"/>
  <c r="AC58" i="5"/>
  <c r="AE2" i="5"/>
  <c r="AB61" i="5"/>
  <c r="AA61" i="5"/>
  <c r="Z61" i="5"/>
  <c r="W73" i="5"/>
  <c r="W33" i="5"/>
  <c r="AB40" i="5"/>
  <c r="AA40" i="5"/>
  <c r="Z40" i="5"/>
  <c r="AA12" i="5"/>
  <c r="Z12" i="5"/>
  <c r="AB12" i="5"/>
  <c r="W3" i="5"/>
  <c r="AA62" i="5"/>
  <c r="Z62" i="5"/>
  <c r="AB62" i="5"/>
  <c r="W65" i="5"/>
  <c r="AB14" i="5"/>
  <c r="AA14" i="5"/>
  <c r="Z14" i="5"/>
  <c r="AB58" i="5"/>
  <c r="AA58" i="5"/>
  <c r="Z58" i="5"/>
  <c r="AB2" i="5"/>
  <c r="AA2" i="5"/>
  <c r="Z2" i="5"/>
  <c r="AB77" i="5"/>
  <c r="AA77" i="5"/>
  <c r="Z77" i="5"/>
  <c r="Z60" i="5"/>
  <c r="AB60" i="5"/>
  <c r="AA60" i="5"/>
  <c r="AC52" i="5" l="1"/>
  <c r="AD52" i="5"/>
  <c r="AE77" i="5"/>
  <c r="AD77" i="5"/>
  <c r="AC2" i="5"/>
  <c r="AE45" i="5"/>
  <c r="N70" i="3"/>
  <c r="L70" i="3"/>
  <c r="K70" i="3"/>
  <c r="M70" i="3"/>
  <c r="J76" i="3" s="1"/>
  <c r="J70" i="3"/>
  <c r="AC72" i="5"/>
  <c r="AE14" i="5"/>
  <c r="AD14" i="5"/>
  <c r="AE62" i="5"/>
  <c r="AC71" i="5"/>
  <c r="AD71" i="5"/>
  <c r="AC24" i="5"/>
  <c r="AD24" i="5"/>
  <c r="AC28" i="5"/>
  <c r="AE92" i="5"/>
  <c r="AD72" i="5"/>
  <c r="AE28" i="5"/>
  <c r="AD93" i="5"/>
  <c r="AC55" i="5"/>
  <c r="AC93" i="5"/>
  <c r="AD53" i="5"/>
  <c r="AE53" i="5"/>
  <c r="AC62" i="5"/>
  <c r="AE54" i="5"/>
  <c r="AD89" i="5"/>
  <c r="AD30" i="5"/>
  <c r="AE30" i="5"/>
  <c r="AC54" i="5"/>
  <c r="AC89" i="5"/>
  <c r="AC60" i="5"/>
  <c r="AD60" i="5"/>
  <c r="AD46" i="5"/>
  <c r="AC46" i="5"/>
  <c r="AC82" i="5"/>
  <c r="AD82" i="5"/>
  <c r="AC64" i="5"/>
  <c r="AE64" i="5"/>
  <c r="AD64" i="5"/>
  <c r="AD35" i="5"/>
  <c r="AC35" i="5"/>
  <c r="AE35" i="5"/>
  <c r="AE16" i="5"/>
  <c r="AD16" i="5"/>
  <c r="AC16" i="5"/>
  <c r="AE59" i="5"/>
  <c r="AD59" i="5"/>
  <c r="AC59" i="5"/>
  <c r="AE88" i="5"/>
  <c r="AD88" i="5"/>
  <c r="AC88" i="5"/>
  <c r="AE57" i="5"/>
  <c r="AC57" i="5"/>
  <c r="AD57" i="5"/>
  <c r="AD85" i="5"/>
  <c r="AC85" i="5"/>
  <c r="AE85" i="5"/>
  <c r="AD3" i="5"/>
  <c r="AC3" i="5"/>
  <c r="AE3" i="5"/>
  <c r="AE42" i="5"/>
  <c r="AD42" i="5"/>
  <c r="AC42" i="5"/>
  <c r="AC80" i="5"/>
  <c r="AD80" i="5"/>
  <c r="AE80" i="5"/>
  <c r="AC95" i="5"/>
  <c r="AD95" i="5"/>
  <c r="AE95" i="5"/>
  <c r="AD94" i="5"/>
  <c r="AE94" i="5"/>
  <c r="AC94" i="5"/>
  <c r="AD22" i="5"/>
  <c r="AC22" i="5"/>
  <c r="AE22" i="5"/>
  <c r="AE96" i="5"/>
  <c r="AD96" i="5"/>
  <c r="AC96" i="5"/>
  <c r="AE102" i="5"/>
  <c r="AD102" i="5"/>
  <c r="AC102" i="5"/>
  <c r="AE91" i="5"/>
  <c r="AD91" i="5"/>
  <c r="AC91" i="5"/>
  <c r="AE15" i="5"/>
  <c r="AC15" i="5"/>
  <c r="AD15" i="5"/>
  <c r="AE44" i="5"/>
  <c r="AC44" i="5"/>
  <c r="AD44" i="5"/>
  <c r="AD17" i="5"/>
  <c r="AC17" i="5"/>
  <c r="AE17" i="5"/>
  <c r="AE63" i="5"/>
  <c r="AD63" i="5"/>
  <c r="AC63" i="5"/>
  <c r="AE67" i="5"/>
  <c r="AD67" i="5"/>
  <c r="AC67" i="5"/>
  <c r="AE9" i="5"/>
  <c r="AD9" i="5"/>
  <c r="AC9" i="5"/>
  <c r="AD31" i="5"/>
  <c r="AC31" i="5"/>
  <c r="AE31" i="5"/>
  <c r="AE86" i="5"/>
  <c r="AD86" i="5"/>
  <c r="AC86" i="5"/>
  <c r="AC65" i="5"/>
  <c r="AE65" i="5"/>
  <c r="AD65" i="5"/>
  <c r="AC26" i="5"/>
  <c r="AE26" i="5"/>
  <c r="AD26" i="5"/>
  <c r="AE8" i="5"/>
  <c r="AD8" i="5"/>
  <c r="AC8" i="5"/>
  <c r="AE32" i="5"/>
  <c r="AD32" i="5"/>
  <c r="AC32" i="5"/>
  <c r="AE81" i="5"/>
  <c r="AD81" i="5"/>
  <c r="AC81" i="5"/>
  <c r="AC90" i="5"/>
  <c r="AE90" i="5"/>
  <c r="AD90" i="5"/>
  <c r="AE41" i="5"/>
  <c r="AD41" i="5"/>
  <c r="AC41" i="5"/>
  <c r="AC97" i="5"/>
  <c r="AD97" i="5"/>
  <c r="AE97" i="5"/>
  <c r="AE79" i="5"/>
  <c r="AD79" i="5"/>
  <c r="AC79" i="5"/>
  <c r="AE33" i="5"/>
  <c r="AD33" i="5"/>
  <c r="AC33" i="5"/>
  <c r="AE73" i="5"/>
  <c r="AC73" i="5"/>
  <c r="AD73" i="5"/>
  <c r="AC100" i="5"/>
  <c r="AD100" i="5"/>
  <c r="AE100" i="5"/>
  <c r="AE98" i="5"/>
  <c r="AD98" i="5"/>
  <c r="AC98" i="5"/>
  <c r="AE39" i="5"/>
  <c r="AD39" i="5"/>
  <c r="AC39" i="5"/>
  <c r="AD6" i="5"/>
  <c r="AC6" i="5"/>
  <c r="AE6" i="5"/>
  <c r="AE19" i="5"/>
  <c r="AC19" i="5"/>
  <c r="AD19" i="5"/>
  <c r="AC49" i="5"/>
  <c r="AE49" i="5"/>
  <c r="AD49" i="5"/>
  <c r="AE68" i="5"/>
  <c r="AC68" i="5"/>
  <c r="AD68" i="5"/>
  <c r="AC37" i="5"/>
  <c r="AE37" i="5"/>
  <c r="AD37" i="5"/>
  <c r="AE20" i="5"/>
  <c r="AD20" i="5"/>
  <c r="AC20" i="5"/>
  <c r="AD70" i="5"/>
  <c r="AC70" i="5"/>
  <c r="AE70" i="5"/>
  <c r="AC84" i="5"/>
  <c r="AE84" i="5"/>
  <c r="AD84" i="5"/>
  <c r="AE23" i="5"/>
  <c r="AD23" i="5"/>
  <c r="AC23" i="5"/>
  <c r="AE27" i="5"/>
  <c r="AD27" i="5"/>
  <c r="AC27" i="5"/>
  <c r="AD51" i="5"/>
  <c r="AC51" i="5"/>
  <c r="AE51" i="5"/>
  <c r="AC48" i="5"/>
  <c r="AE48" i="5"/>
  <c r="AD48" i="5"/>
  <c r="AC34" i="5"/>
  <c r="AE34" i="5"/>
  <c r="AD34" i="5"/>
  <c r="AD75" i="5"/>
  <c r="AE75" i="5"/>
  <c r="AC75" i="5"/>
  <c r="AE87" i="5"/>
  <c r="AD87" i="5"/>
  <c r="AC87" i="5"/>
  <c r="AE66" i="5"/>
  <c r="AD66" i="5"/>
  <c r="AC66" i="5"/>
  <c r="AD47" i="5"/>
  <c r="AC47" i="5"/>
  <c r="AE47" i="5"/>
  <c r="AC5" i="5"/>
  <c r="AE5" i="5"/>
  <c r="AD5" i="5"/>
  <c r="J75" i="3" l="1"/>
  <c r="J74" i="3" s="1"/>
  <c r="J73" i="3" s="1"/>
  <c r="Q102" i="3" l="1"/>
  <c r="Y102" i="3" s="1"/>
  <c r="R100" i="3"/>
  <c r="S98" i="3"/>
  <c r="R98" i="3"/>
  <c r="S49" i="3"/>
  <c r="T79" i="3"/>
  <c r="AB79" i="3" s="1"/>
  <c r="AC79" i="3" s="1"/>
  <c r="U77" i="3"/>
  <c r="Q64" i="3"/>
  <c r="Y64" i="3" s="1"/>
  <c r="U68" i="3"/>
  <c r="Q93" i="3"/>
  <c r="Y93" i="3" s="1"/>
  <c r="U50" i="3"/>
  <c r="T34" i="3"/>
  <c r="AB34" i="3" s="1"/>
  <c r="AC34" i="3" s="1"/>
  <c r="T50" i="3"/>
  <c r="AB50" i="3" s="1"/>
  <c r="AC50" i="3" s="1"/>
  <c r="S34" i="3"/>
  <c r="R7" i="3"/>
  <c r="R71" i="3"/>
  <c r="U43" i="3"/>
  <c r="R16" i="3"/>
  <c r="U45" i="3"/>
  <c r="R102" i="3"/>
  <c r="U84" i="3"/>
  <c r="Q22" i="3"/>
  <c r="Y22" i="3" s="1"/>
  <c r="Q3" i="3"/>
  <c r="Y3" i="3" s="1"/>
  <c r="U41" i="3"/>
  <c r="R72" i="3"/>
  <c r="Q75" i="3"/>
  <c r="Y75" i="3" s="1"/>
  <c r="S8" i="3"/>
  <c r="T52" i="3"/>
  <c r="AB52" i="3" s="1"/>
  <c r="AC52" i="3" s="1"/>
  <c r="U57" i="3"/>
  <c r="S11" i="3"/>
  <c r="Q46" i="3"/>
  <c r="Y46" i="3" s="1"/>
  <c r="U2" i="3"/>
  <c r="S32" i="3"/>
  <c r="S48" i="3"/>
  <c r="T5" i="3"/>
  <c r="AB5" i="3" s="1"/>
  <c r="AC5" i="3" s="1"/>
  <c r="U35" i="3"/>
  <c r="T29" i="3"/>
  <c r="AB29" i="3" s="1"/>
  <c r="AC29" i="3" s="1"/>
  <c r="Q87" i="3"/>
  <c r="Y87" i="3" s="1"/>
  <c r="T28" i="3"/>
  <c r="AB28" i="3" s="1"/>
  <c r="AC28" i="3" s="1"/>
  <c r="S51" i="3"/>
  <c r="S23" i="3"/>
  <c r="Q34" i="3"/>
  <c r="Y34" i="3" s="1"/>
  <c r="U83" i="3"/>
  <c r="U17" i="3"/>
  <c r="U44" i="3"/>
  <c r="T26" i="3"/>
  <c r="AB26" i="3" s="1"/>
  <c r="AC26" i="3" s="1"/>
  <c r="R13" i="3"/>
  <c r="S12" i="3"/>
  <c r="U3" i="3"/>
  <c r="S84" i="3"/>
  <c r="Q97" i="3"/>
  <c r="Y97" i="3" s="1"/>
  <c r="U26" i="3"/>
  <c r="S43" i="3"/>
  <c r="T22" i="3"/>
  <c r="AB22" i="3" s="1"/>
  <c r="AC22" i="3" s="1"/>
  <c r="R49" i="3"/>
  <c r="Q88" i="3"/>
  <c r="Y88" i="3" s="1"/>
  <c r="Q68" i="3"/>
  <c r="Y68" i="3" s="1"/>
  <c r="T92" i="3"/>
  <c r="AB92" i="3" s="1"/>
  <c r="AC92" i="3" s="1"/>
  <c r="S42" i="3"/>
  <c r="R15" i="3"/>
  <c r="T51" i="3"/>
  <c r="AB51" i="3" s="1"/>
  <c r="AC51" i="3" s="1"/>
  <c r="Q4" i="3"/>
  <c r="Y4" i="3" s="1"/>
  <c r="R38" i="3"/>
  <c r="U82" i="3"/>
  <c r="S95" i="3"/>
  <c r="U24" i="3"/>
  <c r="R25" i="3"/>
  <c r="Q14" i="3"/>
  <c r="Y14" i="3" s="1"/>
  <c r="T101" i="3"/>
  <c r="AB101" i="3" s="1"/>
  <c r="AC101" i="3" s="1"/>
  <c r="Q5" i="3"/>
  <c r="Y5" i="3" s="1"/>
  <c r="T86" i="3"/>
  <c r="AB86" i="3" s="1"/>
  <c r="AC86" i="3" s="1"/>
  <c r="S96" i="3"/>
  <c r="U23" i="3"/>
  <c r="S40" i="3"/>
  <c r="T100" i="3"/>
  <c r="AB100" i="3" s="1"/>
  <c r="AC100" i="3" s="1"/>
  <c r="S19" i="3"/>
  <c r="Q30" i="3"/>
  <c r="Y30" i="3" s="1"/>
  <c r="T95" i="3"/>
  <c r="AB95" i="3" s="1"/>
  <c r="AC95" i="3" s="1"/>
  <c r="Q11" i="3"/>
  <c r="Y11" i="3" s="1"/>
  <c r="R76" i="3"/>
  <c r="Q92" i="3"/>
  <c r="Y92" i="3" s="1"/>
  <c r="T18" i="3"/>
  <c r="AB18" i="3" s="1"/>
  <c r="AC18" i="3" s="1"/>
  <c r="T23" i="3"/>
  <c r="AB23" i="3" s="1"/>
  <c r="AC23" i="3" s="1"/>
  <c r="S26" i="3"/>
  <c r="S68" i="3"/>
  <c r="U64" i="3"/>
  <c r="R93" i="3"/>
  <c r="R101" i="3"/>
  <c r="S99" i="3"/>
  <c r="T97" i="3"/>
  <c r="AB97" i="3" s="1"/>
  <c r="AC97" i="3" s="1"/>
  <c r="S97" i="3"/>
  <c r="T48" i="3"/>
  <c r="AB48" i="3" s="1"/>
  <c r="AC48" i="3" s="1"/>
  <c r="U78" i="3"/>
  <c r="Q65" i="3"/>
  <c r="Y65" i="3" s="1"/>
  <c r="R63" i="3"/>
  <c r="U58" i="3"/>
  <c r="S91" i="3"/>
  <c r="U49" i="3"/>
  <c r="T33" i="3"/>
  <c r="AB33" i="3" s="1"/>
  <c r="AC33" i="3" s="1"/>
  <c r="T49" i="3"/>
  <c r="AB49" i="3" s="1"/>
  <c r="AC49" i="3" s="1"/>
  <c r="R33" i="3"/>
  <c r="S6" i="3"/>
  <c r="R92" i="3"/>
  <c r="U39" i="3"/>
  <c r="T4" i="3"/>
  <c r="AB4" i="3" s="1"/>
  <c r="AC4" i="3" s="1"/>
  <c r="U33" i="3"/>
  <c r="U99" i="3"/>
  <c r="T9" i="3"/>
  <c r="AB9" i="3" s="1"/>
  <c r="AC9" i="3" s="1"/>
  <c r="S90" i="3"/>
  <c r="U32" i="3"/>
  <c r="U10" i="3"/>
  <c r="S69" i="3"/>
  <c r="Q72" i="3"/>
  <c r="Y72" i="3" s="1"/>
  <c r="U52" i="3"/>
  <c r="Q23" i="3"/>
  <c r="Y23" i="3" s="1"/>
  <c r="U38" i="3"/>
  <c r="U14" i="3"/>
  <c r="Q50" i="3"/>
  <c r="Y50" i="3" s="1"/>
  <c r="T53" i="3"/>
  <c r="AB53" i="3" s="1"/>
  <c r="AC53" i="3" s="1"/>
  <c r="R32" i="3"/>
  <c r="T90" i="3"/>
  <c r="AB90" i="3" s="1"/>
  <c r="AC90" i="3" s="1"/>
  <c r="R2" i="3"/>
  <c r="T85" i="3"/>
  <c r="AB85" i="3" s="1"/>
  <c r="AC85" i="3" s="1"/>
  <c r="T10" i="3"/>
  <c r="AB10" i="3" s="1"/>
  <c r="AC10" i="3" s="1"/>
  <c r="R8" i="3"/>
  <c r="U56" i="3"/>
  <c r="T30" i="3"/>
  <c r="AB30" i="3" s="1"/>
  <c r="AC30" i="3" s="1"/>
  <c r="U59" i="3"/>
  <c r="R48" i="3"/>
  <c r="Q26" i="3"/>
  <c r="Y26" i="3" s="1"/>
  <c r="S50" i="3"/>
  <c r="R52" i="3"/>
  <c r="U15" i="3"/>
  <c r="U70" i="3"/>
  <c r="T70" i="3"/>
  <c r="AB70" i="3" s="1"/>
  <c r="AC70" i="3" s="1"/>
  <c r="R95" i="3"/>
  <c r="T58" i="3"/>
  <c r="AB58" i="3" s="1"/>
  <c r="AC58" i="3" s="1"/>
  <c r="U55" i="3"/>
  <c r="Q29" i="3"/>
  <c r="Y29" i="3" s="1"/>
  <c r="Q18" i="3"/>
  <c r="Y18" i="3" s="1"/>
  <c r="Q38" i="3"/>
  <c r="Y38" i="3" s="1"/>
  <c r="T83" i="3"/>
  <c r="AB83" i="3" s="1"/>
  <c r="AC83" i="3" s="1"/>
  <c r="U79" i="3"/>
  <c r="Q57" i="3"/>
  <c r="Y57" i="3" s="1"/>
  <c r="R26" i="3"/>
  <c r="Q20" i="3"/>
  <c r="Y20" i="3" s="1"/>
  <c r="U69" i="3"/>
  <c r="T56" i="3"/>
  <c r="AB56" i="3" s="1"/>
  <c r="AC56" i="3" s="1"/>
  <c r="R14" i="3"/>
  <c r="Q69" i="3"/>
  <c r="Y69" i="3" s="1"/>
  <c r="Q67" i="3"/>
  <c r="Y67" i="3" s="1"/>
  <c r="U91" i="3"/>
  <c r="S41" i="3"/>
  <c r="Q53" i="3"/>
  <c r="Y53" i="3" s="1"/>
  <c r="R39" i="3"/>
  <c r="Q60" i="3"/>
  <c r="Y60" i="3" s="1"/>
  <c r="T25" i="3"/>
  <c r="AB25" i="3" s="1"/>
  <c r="AC25" i="3" s="1"/>
  <c r="R66" i="3"/>
  <c r="Q79" i="3"/>
  <c r="Y79" i="3" s="1"/>
  <c r="U87" i="3"/>
  <c r="Q63" i="3"/>
  <c r="Y63" i="3" s="1"/>
  <c r="Q43" i="3"/>
  <c r="Y43" i="3" s="1"/>
  <c r="Q48" i="3"/>
  <c r="Y48" i="3" s="1"/>
  <c r="R46" i="3"/>
  <c r="T65" i="3"/>
  <c r="AB65" i="3" s="1"/>
  <c r="AC65" i="3" s="1"/>
  <c r="R78" i="3"/>
  <c r="S76" i="3"/>
  <c r="T102" i="3"/>
  <c r="AB102" i="3" s="1"/>
  <c r="AC102" i="3" s="1"/>
  <c r="S56" i="3"/>
  <c r="Q49" i="3"/>
  <c r="Y49" i="3" s="1"/>
  <c r="R20" i="3"/>
  <c r="Q81" i="3"/>
  <c r="Y81" i="3" s="1"/>
  <c r="S100" i="3"/>
  <c r="T98" i="3"/>
  <c r="AB98" i="3" s="1"/>
  <c r="AC98" i="3" s="1"/>
  <c r="U96" i="3"/>
  <c r="T96" i="3"/>
  <c r="AB96" i="3" s="1"/>
  <c r="AC96" i="3" s="1"/>
  <c r="U47" i="3"/>
  <c r="Q66" i="3"/>
  <c r="Y66" i="3" s="1"/>
  <c r="R64" i="3"/>
  <c r="S62" i="3"/>
  <c r="R57" i="3"/>
  <c r="U89" i="3"/>
  <c r="U48" i="3"/>
  <c r="Q13" i="3"/>
  <c r="Y13" i="3" s="1"/>
  <c r="S93" i="3"/>
  <c r="S16" i="3"/>
  <c r="Q32" i="3"/>
  <c r="Y32" i="3" s="1"/>
  <c r="U81" i="3"/>
  <c r="Q91" i="3"/>
  <c r="Y91" i="3" s="1"/>
  <c r="R43" i="3"/>
  <c r="S15" i="3"/>
  <c r="R67" i="3"/>
  <c r="S89" i="3"/>
  <c r="T20" i="3"/>
  <c r="AB20" i="3" s="1"/>
  <c r="AC20" i="3" s="1"/>
  <c r="U13" i="3"/>
  <c r="T94" i="3"/>
  <c r="AB94" i="3" s="1"/>
  <c r="AC94" i="3" s="1"/>
  <c r="Q58" i="3"/>
  <c r="Y58" i="3" s="1"/>
  <c r="S52" i="3"/>
  <c r="R69" i="3"/>
  <c r="Q42" i="3"/>
  <c r="Y42" i="3" s="1"/>
  <c r="R79" i="3"/>
  <c r="T99" i="3"/>
  <c r="AB99" i="3" s="1"/>
  <c r="AC99" i="3" s="1"/>
  <c r="U97" i="3"/>
  <c r="Q84" i="3"/>
  <c r="Y84" i="3" s="1"/>
  <c r="U95" i="3"/>
  <c r="Q35" i="3"/>
  <c r="Y35" i="3" s="1"/>
  <c r="R65" i="3"/>
  <c r="S63" i="3"/>
  <c r="T61" i="3"/>
  <c r="AB61" i="3" s="1"/>
  <c r="AC61" i="3" s="1"/>
  <c r="U30" i="3"/>
  <c r="T76" i="3"/>
  <c r="AB76" i="3" s="1"/>
  <c r="AC76" i="3" s="1"/>
  <c r="T47" i="3"/>
  <c r="AB47" i="3" s="1"/>
  <c r="AC47" i="3" s="1"/>
  <c r="S31" i="3"/>
  <c r="S47" i="3"/>
  <c r="R31" i="3"/>
  <c r="U4" i="3"/>
  <c r="R77" i="3"/>
  <c r="T31" i="3"/>
  <c r="AB31" i="3" s="1"/>
  <c r="AC31" i="3" s="1"/>
  <c r="Q16" i="3"/>
  <c r="Y16" i="3" s="1"/>
  <c r="Q74" i="3"/>
  <c r="Y74" i="3" s="1"/>
  <c r="U75" i="3"/>
  <c r="R45" i="3"/>
  <c r="Q9" i="3"/>
  <c r="Y9" i="3" s="1"/>
  <c r="S20" i="3"/>
  <c r="U100" i="3"/>
  <c r="U11" i="3"/>
  <c r="Q24" i="3"/>
  <c r="Y24" i="3" s="1"/>
  <c r="T80" i="3"/>
  <c r="AB80" i="3" s="1"/>
  <c r="AC80" i="3" s="1"/>
  <c r="Q76" i="3"/>
  <c r="Y76" i="3" s="1"/>
  <c r="R21" i="3"/>
  <c r="U67" i="3"/>
  <c r="U25" i="3"/>
  <c r="R24" i="3"/>
  <c r="S7" i="3"/>
  <c r="S67" i="3"/>
  <c r="T39" i="3"/>
  <c r="AB39" i="3" s="1"/>
  <c r="AC39" i="3" s="1"/>
  <c r="Q45" i="3"/>
  <c r="Y45" i="3" s="1"/>
  <c r="Q44" i="3"/>
  <c r="Y44" i="3" s="1"/>
  <c r="T66" i="3"/>
  <c r="AB66" i="3" s="1"/>
  <c r="AC66" i="3" s="1"/>
  <c r="U98" i="3"/>
  <c r="Q85" i="3"/>
  <c r="Y85" i="3" s="1"/>
  <c r="R83" i="3"/>
  <c r="Q83" i="3"/>
  <c r="Y83" i="3" s="1"/>
  <c r="R34" i="3"/>
  <c r="S64" i="3"/>
  <c r="T62" i="3"/>
  <c r="AB62" i="3" s="1"/>
  <c r="AC62" i="3" s="1"/>
  <c r="U60" i="3"/>
  <c r="U29" i="3"/>
  <c r="R73" i="3"/>
  <c r="T46" i="3"/>
  <c r="AB46" i="3" s="1"/>
  <c r="AC46" i="3" s="1"/>
  <c r="S30" i="3"/>
  <c r="S46" i="3"/>
  <c r="R30" i="3"/>
  <c r="U102" i="3"/>
  <c r="T72" i="3"/>
  <c r="AB72" i="3" s="1"/>
  <c r="AC72" i="3" s="1"/>
  <c r="T27" i="3"/>
  <c r="AB27" i="3" s="1"/>
  <c r="AC27" i="3" s="1"/>
  <c r="S4" i="3"/>
  <c r="Q56" i="3"/>
  <c r="Y56" i="3" s="1"/>
  <c r="R70" i="3"/>
  <c r="U88" i="3"/>
  <c r="T88" i="3"/>
  <c r="AB88" i="3" s="1"/>
  <c r="AC88" i="3" s="1"/>
  <c r="R19" i="3"/>
  <c r="Q71" i="3"/>
  <c r="Y71" i="3" s="1"/>
  <c r="U40" i="3"/>
  <c r="R44" i="3"/>
  <c r="R90" i="3"/>
  <c r="T14" i="3"/>
  <c r="AB14" i="3" s="1"/>
  <c r="AC14" i="3" s="1"/>
  <c r="T59" i="3"/>
  <c r="AB59" i="3" s="1"/>
  <c r="AC59" i="3" s="1"/>
  <c r="T82" i="3"/>
  <c r="AB82" i="3" s="1"/>
  <c r="AC82" i="3" s="1"/>
  <c r="T43" i="3"/>
  <c r="AB43" i="3" s="1"/>
  <c r="AC43" i="3" s="1"/>
  <c r="T69" i="3"/>
  <c r="AB69" i="3" s="1"/>
  <c r="AC69" i="3" s="1"/>
  <c r="T12" i="3"/>
  <c r="AB12" i="3" s="1"/>
  <c r="AC12" i="3" s="1"/>
  <c r="S94" i="3"/>
  <c r="S54" i="3"/>
  <c r="Q33" i="3"/>
  <c r="Y33" i="3" s="1"/>
  <c r="R91" i="3"/>
  <c r="S74" i="3"/>
  <c r="U54" i="3"/>
  <c r="S66" i="3"/>
  <c r="T40" i="3"/>
  <c r="AB40" i="3" s="1"/>
  <c r="AC40" i="3" s="1"/>
  <c r="R35" i="3"/>
  <c r="S92" i="3"/>
  <c r="Q80" i="3"/>
  <c r="Y80" i="3" s="1"/>
  <c r="R23" i="3"/>
  <c r="R18" i="3"/>
  <c r="Q86" i="3"/>
  <c r="Y86" i="3" s="1"/>
  <c r="R84" i="3"/>
  <c r="S82" i="3"/>
  <c r="R82" i="3"/>
  <c r="S33" i="3"/>
  <c r="T63" i="3"/>
  <c r="AB63" i="3" s="1"/>
  <c r="AC63" i="3" s="1"/>
  <c r="U61" i="3"/>
  <c r="Q95" i="3"/>
  <c r="Y95" i="3" s="1"/>
  <c r="U28" i="3"/>
  <c r="T68" i="3"/>
  <c r="AB68" i="3" s="1"/>
  <c r="AC68" i="3" s="1"/>
  <c r="T45" i="3"/>
  <c r="AB45" i="3" s="1"/>
  <c r="AC45" i="3" s="1"/>
  <c r="S29" i="3"/>
  <c r="S45" i="3"/>
  <c r="R29" i="3"/>
  <c r="R89" i="3"/>
  <c r="Q62" i="3"/>
  <c r="Y62" i="3" s="1"/>
  <c r="U18" i="3"/>
  <c r="Q2" i="3"/>
  <c r="Y2" i="3" s="1"/>
  <c r="R41" i="3"/>
  <c r="Q55" i="3"/>
  <c r="Y55" i="3" s="1"/>
  <c r="S85" i="3"/>
  <c r="S75" i="3"/>
  <c r="T6" i="3"/>
  <c r="AB6" i="3" s="1"/>
  <c r="AC6" i="3" s="1"/>
  <c r="R60" i="3"/>
  <c r="U36" i="3"/>
  <c r="R40" i="3"/>
  <c r="U101" i="3"/>
  <c r="T2" i="3"/>
  <c r="AB2" i="3" s="1"/>
  <c r="AC2" i="3" s="1"/>
  <c r="Q12" i="3"/>
  <c r="Y12" i="3" s="1"/>
  <c r="T73" i="3"/>
  <c r="AB73" i="3" s="1"/>
  <c r="AC73" i="3" s="1"/>
  <c r="T16" i="3"/>
  <c r="AB16" i="3" s="1"/>
  <c r="AC16" i="3" s="1"/>
  <c r="U31" i="3"/>
  <c r="R27" i="3"/>
  <c r="R47" i="3"/>
  <c r="U42" i="3"/>
  <c r="Q98" i="3"/>
  <c r="Y98" i="3" s="1"/>
  <c r="T42" i="3"/>
  <c r="AB42" i="3" s="1"/>
  <c r="AC42" i="3" s="1"/>
  <c r="T24" i="3"/>
  <c r="AB24" i="3" s="1"/>
  <c r="AC24" i="3" s="1"/>
  <c r="Q28" i="3"/>
  <c r="Y28" i="3" s="1"/>
  <c r="T13" i="3"/>
  <c r="AB13" i="3" s="1"/>
  <c r="AC13" i="3" s="1"/>
  <c r="R97" i="3"/>
  <c r="T41" i="3"/>
  <c r="AB41" i="3" s="1"/>
  <c r="AC41" i="3" s="1"/>
  <c r="R9" i="3"/>
  <c r="U22" i="3"/>
  <c r="Q70" i="3"/>
  <c r="Y70" i="3" s="1"/>
  <c r="U92" i="3"/>
  <c r="S102" i="3"/>
  <c r="S77" i="3"/>
  <c r="T15" i="3"/>
  <c r="AB15" i="3" s="1"/>
  <c r="AC15" i="3" s="1"/>
  <c r="U93" i="3"/>
  <c r="S39" i="3"/>
  <c r="Q39" i="3"/>
  <c r="Y39" i="3" s="1"/>
  <c r="U86" i="3"/>
  <c r="U94" i="3"/>
  <c r="R85" i="3"/>
  <c r="S83" i="3"/>
  <c r="T81" i="3"/>
  <c r="AB81" i="3" s="1"/>
  <c r="AC81" i="3" s="1"/>
  <c r="S81" i="3"/>
  <c r="T32" i="3"/>
  <c r="AB32" i="3" s="1"/>
  <c r="AC32" i="3" s="1"/>
  <c r="U62" i="3"/>
  <c r="Q96" i="3"/>
  <c r="Y96" i="3" s="1"/>
  <c r="R94" i="3"/>
  <c r="U27" i="3"/>
  <c r="S61" i="3"/>
  <c r="T44" i="3"/>
  <c r="AB44" i="3" s="1"/>
  <c r="AC44" i="3" s="1"/>
  <c r="S28" i="3"/>
  <c r="S44" i="3"/>
  <c r="R28" i="3"/>
  <c r="T87" i="3"/>
  <c r="AB87" i="3" s="1"/>
  <c r="AC87" i="3" s="1"/>
  <c r="Q59" i="3"/>
  <c r="Y59" i="3" s="1"/>
  <c r="T17" i="3"/>
  <c r="AB17" i="3" s="1"/>
  <c r="AC17" i="3" s="1"/>
  <c r="Q36" i="3"/>
  <c r="Y36" i="3" s="1"/>
  <c r="R37" i="3"/>
  <c r="R53" i="3"/>
  <c r="T75" i="3"/>
  <c r="AB75" i="3" s="1"/>
  <c r="AC75" i="3" s="1"/>
  <c r="S72" i="3"/>
  <c r="R5" i="3"/>
  <c r="Q54" i="3"/>
  <c r="Y54" i="3" s="1"/>
  <c r="U21" i="3"/>
  <c r="R36" i="3"/>
  <c r="Q94" i="3"/>
  <c r="Y94" i="3" s="1"/>
  <c r="R12" i="3"/>
  <c r="T57" i="3"/>
  <c r="AB57" i="3" s="1"/>
  <c r="AC57" i="3" s="1"/>
  <c r="U80" i="3"/>
  <c r="S27" i="3"/>
  <c r="U72" i="3"/>
  <c r="S14" i="3"/>
  <c r="R96" i="3"/>
  <c r="U74" i="3"/>
  <c r="U8" i="3"/>
  <c r="U53" i="3"/>
  <c r="T93" i="3"/>
  <c r="AB93" i="3" s="1"/>
  <c r="AC93" i="3" s="1"/>
  <c r="S71" i="3"/>
  <c r="Q47" i="3"/>
  <c r="Y47" i="3" s="1"/>
  <c r="U34" i="3"/>
  <c r="R68" i="3"/>
  <c r="T89" i="3"/>
  <c r="AB89" i="3" s="1"/>
  <c r="AC89" i="3" s="1"/>
  <c r="T3" i="3"/>
  <c r="AB3" i="3" s="1"/>
  <c r="AC3" i="3" s="1"/>
  <c r="S21" i="3"/>
  <c r="S65" i="3"/>
  <c r="S2" i="3"/>
  <c r="T60" i="3"/>
  <c r="AB60" i="3" s="1"/>
  <c r="AC60" i="3" s="1"/>
  <c r="Q90" i="3"/>
  <c r="Y90" i="3" s="1"/>
  <c r="T64" i="3"/>
  <c r="AB64" i="3" s="1"/>
  <c r="AC64" i="3" s="1"/>
  <c r="T67" i="3"/>
  <c r="AB67" i="3" s="1"/>
  <c r="AC67" i="3" s="1"/>
  <c r="S79" i="3"/>
  <c r="T38" i="3"/>
  <c r="AB38" i="3" s="1"/>
  <c r="AC38" i="3" s="1"/>
  <c r="Q89" i="3"/>
  <c r="Y89" i="3" s="1"/>
  <c r="Q37" i="3"/>
  <c r="Y37" i="3" s="1"/>
  <c r="T54" i="3"/>
  <c r="AB54" i="3" s="1"/>
  <c r="AC54" i="3" s="1"/>
  <c r="Q40" i="3"/>
  <c r="Y40" i="3" s="1"/>
  <c r="S59" i="3"/>
  <c r="U16" i="3"/>
  <c r="R10" i="3"/>
  <c r="U63" i="3"/>
  <c r="T8" i="3"/>
  <c r="AB8" i="3" s="1"/>
  <c r="AC8" i="3" s="1"/>
  <c r="S35" i="3"/>
  <c r="Q73" i="3"/>
  <c r="Y73" i="3" s="1"/>
  <c r="T21" i="3"/>
  <c r="AB21" i="3" s="1"/>
  <c r="AC21" i="3" s="1"/>
  <c r="S5" i="3"/>
  <c r="U66" i="3"/>
  <c r="T78" i="3"/>
  <c r="AB78" i="3" s="1"/>
  <c r="AC78" i="3" s="1"/>
  <c r="T37" i="3"/>
  <c r="AB37" i="3" s="1"/>
  <c r="AC37" i="3" s="1"/>
  <c r="S87" i="3"/>
  <c r="S24" i="3"/>
  <c r="Q7" i="3"/>
  <c r="Y7" i="3" s="1"/>
  <c r="Q6" i="3"/>
  <c r="Y6" i="3" s="1"/>
  <c r="U9" i="3"/>
  <c r="Q27" i="3"/>
  <c r="Y27" i="3" s="1"/>
  <c r="S36" i="3"/>
  <c r="S17" i="3"/>
  <c r="Q17" i="3"/>
  <c r="Y17" i="3" s="1"/>
  <c r="R74" i="3"/>
  <c r="R6" i="3"/>
  <c r="Q101" i="3"/>
  <c r="Y101" i="3" s="1"/>
  <c r="S78" i="3"/>
  <c r="T36" i="3"/>
  <c r="AB36" i="3" s="1"/>
  <c r="AC36" i="3" s="1"/>
  <c r="U85" i="3"/>
  <c r="U12" i="3"/>
  <c r="Q77" i="3"/>
  <c r="Y77" i="3" s="1"/>
  <c r="U90" i="3"/>
  <c r="S13" i="3"/>
  <c r="S10" i="3"/>
  <c r="U37" i="3"/>
  <c r="R59" i="3"/>
  <c r="T11" i="3"/>
  <c r="AB11" i="3" s="1"/>
  <c r="AC11" i="3" s="1"/>
  <c r="Q78" i="3"/>
  <c r="Y78" i="3" s="1"/>
  <c r="R3" i="3"/>
  <c r="S73" i="3"/>
  <c r="S53" i="3"/>
  <c r="S38" i="3"/>
  <c r="S37" i="3"/>
  <c r="R87" i="3"/>
  <c r="T84" i="3"/>
  <c r="AB84" i="3" s="1"/>
  <c r="AC84" i="3" s="1"/>
  <c r="U7" i="3"/>
  <c r="R88" i="3"/>
  <c r="S101" i="3"/>
  <c r="R81" i="3"/>
  <c r="T7" i="3"/>
  <c r="AB7" i="3" s="1"/>
  <c r="AC7" i="3" s="1"/>
  <c r="U20" i="3"/>
  <c r="R80" i="3"/>
  <c r="R4" i="3"/>
  <c r="U65" i="3"/>
  <c r="T77" i="3"/>
  <c r="AB77" i="3" s="1"/>
  <c r="AC77" i="3" s="1"/>
  <c r="T35" i="3"/>
  <c r="AB35" i="3" s="1"/>
  <c r="AC35" i="3" s="1"/>
  <c r="T74" i="3"/>
  <c r="AB74" i="3" s="1"/>
  <c r="AC74" i="3" s="1"/>
  <c r="R56" i="3"/>
  <c r="T55" i="3"/>
  <c r="AB55" i="3" s="1"/>
  <c r="AC55" i="3" s="1"/>
  <c r="S88" i="3"/>
  <c r="R51" i="3"/>
  <c r="R75" i="3"/>
  <c r="T19" i="3"/>
  <c r="AB19" i="3" s="1"/>
  <c r="AC19" i="3" s="1"/>
  <c r="S9" i="3"/>
  <c r="U46" i="3"/>
  <c r="R61" i="3"/>
  <c r="R54" i="3"/>
  <c r="Q100" i="3"/>
  <c r="Y100" i="3" s="1"/>
  <c r="U76" i="3"/>
  <c r="T71" i="3"/>
  <c r="AB71" i="3" s="1"/>
  <c r="AC71" i="3" s="1"/>
  <c r="R86" i="3"/>
  <c r="Q15" i="3"/>
  <c r="Y15" i="3" s="1"/>
  <c r="Q41" i="3"/>
  <c r="Y41" i="3" s="1"/>
  <c r="U73" i="3"/>
  <c r="Q52" i="3"/>
  <c r="Y52" i="3" s="1"/>
  <c r="R58" i="3"/>
  <c r="S55" i="3"/>
  <c r="U51" i="3"/>
  <c r="R22" i="3"/>
  <c r="Q99" i="3"/>
  <c r="Y99" i="3" s="1"/>
  <c r="Q31" i="3"/>
  <c r="Y31" i="3" s="1"/>
  <c r="S57" i="3"/>
  <c r="S18" i="3"/>
  <c r="Q51" i="3"/>
  <c r="Y51" i="3" s="1"/>
  <c r="U19" i="3"/>
  <c r="R42" i="3"/>
  <c r="U5" i="3"/>
  <c r="Q82" i="3"/>
  <c r="Y82" i="3" s="1"/>
  <c r="Q19" i="3"/>
  <c r="Y19" i="3" s="1"/>
  <c r="U71" i="3"/>
  <c r="S80" i="3"/>
  <c r="S60" i="3"/>
  <c r="Q8" i="3"/>
  <c r="Y8" i="3" s="1"/>
  <c r="Q21" i="3"/>
  <c r="Y21" i="3" s="1"/>
  <c r="R99" i="3"/>
  <c r="T91" i="3"/>
  <c r="AB91" i="3" s="1"/>
  <c r="AC91" i="3" s="1"/>
  <c r="Q61" i="3"/>
  <c r="Y61" i="3" s="1"/>
  <c r="S70" i="3"/>
  <c r="S3" i="3"/>
  <c r="R17" i="3"/>
  <c r="S25" i="3"/>
  <c r="Q25" i="3"/>
  <c r="Y25" i="3" s="1"/>
  <c r="R11" i="3"/>
  <c r="S86" i="3"/>
  <c r="R62" i="3"/>
  <c r="R55" i="3"/>
  <c r="Q10" i="3"/>
  <c r="Y10" i="3" s="1"/>
  <c r="R50" i="3"/>
  <c r="S22" i="3"/>
  <c r="U6" i="3"/>
  <c r="S58" i="3"/>
  <c r="L74" i="3"/>
  <c r="W100" i="3" l="1"/>
  <c r="Z100" i="3" s="1"/>
  <c r="W86" i="3"/>
  <c r="Z86" i="3" s="1"/>
  <c r="W49" i="3"/>
  <c r="Z49" i="3" s="1"/>
  <c r="W53" i="3"/>
  <c r="Z53" i="3" s="1"/>
  <c r="W34" i="3"/>
  <c r="Z34" i="3" s="1"/>
  <c r="W75" i="3"/>
  <c r="Z75" i="3" s="1"/>
  <c r="W93" i="3"/>
  <c r="Z93" i="3" s="1"/>
  <c r="W9" i="3"/>
  <c r="Z9" i="3" s="1"/>
  <c r="W94" i="3"/>
  <c r="Z94" i="3" s="1"/>
  <c r="W35" i="3"/>
  <c r="Z35" i="3" s="1"/>
  <c r="W38" i="3"/>
  <c r="Z38" i="3" s="1"/>
  <c r="W18" i="3"/>
  <c r="Z18" i="3" s="1"/>
  <c r="W31" i="3"/>
  <c r="Z31" i="3" s="1"/>
  <c r="W88" i="3"/>
  <c r="Z88" i="3" s="1"/>
  <c r="W64" i="3"/>
  <c r="Z64" i="3" s="1"/>
  <c r="W2" i="3"/>
  <c r="Z2" i="3" s="1"/>
  <c r="W79" i="3"/>
  <c r="Z79" i="3" s="1"/>
  <c r="W62" i="3"/>
  <c r="Z62" i="3" s="1"/>
  <c r="W6" i="3"/>
  <c r="Z6" i="3" s="1"/>
  <c r="W54" i="3"/>
  <c r="Z54" i="3" s="1"/>
  <c r="W32" i="3"/>
  <c r="Z32" i="3" s="1"/>
  <c r="W67" i="3"/>
  <c r="Z67" i="3" s="1"/>
  <c r="W3" i="3"/>
  <c r="Z3" i="3" s="1"/>
  <c r="W65" i="3"/>
  <c r="Z65" i="3" s="1"/>
  <c r="W60" i="3"/>
  <c r="Z60" i="3" s="1"/>
  <c r="W96" i="3"/>
  <c r="Z96" i="3" s="1"/>
  <c r="W77" i="3"/>
  <c r="Z77" i="3" s="1"/>
  <c r="W69" i="3"/>
  <c r="Z69" i="3" s="1"/>
  <c r="W50" i="3"/>
  <c r="Z50" i="3" s="1"/>
  <c r="W5" i="3"/>
  <c r="Z5" i="3" s="1"/>
  <c r="W87" i="3"/>
  <c r="Z87" i="3" s="1"/>
  <c r="W22" i="3"/>
  <c r="Z22" i="3" s="1"/>
  <c r="W25" i="3"/>
  <c r="Z25" i="3" s="1"/>
  <c r="W57" i="3"/>
  <c r="Z57" i="3" s="1"/>
  <c r="V97" i="3"/>
  <c r="X97" i="3" s="1"/>
  <c r="V81" i="3"/>
  <c r="X81" i="3" s="1"/>
  <c r="V65" i="3"/>
  <c r="X65" i="3" s="1"/>
  <c r="V96" i="3"/>
  <c r="X96" i="3" s="1"/>
  <c r="V80" i="3"/>
  <c r="X80" i="3" s="1"/>
  <c r="V64" i="3"/>
  <c r="X64" i="3" s="1"/>
  <c r="V95" i="3"/>
  <c r="X95" i="3" s="1"/>
  <c r="V79" i="3"/>
  <c r="X79" i="3" s="1"/>
  <c r="V63" i="3"/>
  <c r="X63" i="3" s="1"/>
  <c r="V94" i="3"/>
  <c r="X94" i="3" s="1"/>
  <c r="V78" i="3"/>
  <c r="X78" i="3" s="1"/>
  <c r="V62" i="3"/>
  <c r="X62" i="3" s="1"/>
  <c r="V46" i="3"/>
  <c r="X46" i="3" s="1"/>
  <c r="V30" i="3"/>
  <c r="X30" i="3" s="1"/>
  <c r="V93" i="3"/>
  <c r="X93" i="3" s="1"/>
  <c r="V77" i="3"/>
  <c r="X77" i="3" s="1"/>
  <c r="V61" i="3"/>
  <c r="X61" i="3" s="1"/>
  <c r="V92" i="3"/>
  <c r="X92" i="3" s="1"/>
  <c r="V76" i="3"/>
  <c r="X76" i="3" s="1"/>
  <c r="V60" i="3"/>
  <c r="X60" i="3" s="1"/>
  <c r="V91" i="3"/>
  <c r="X91" i="3" s="1"/>
  <c r="V75" i="3"/>
  <c r="X75" i="3" s="1"/>
  <c r="V59" i="3"/>
  <c r="X59" i="3" s="1"/>
  <c r="V90" i="3"/>
  <c r="X90" i="3" s="1"/>
  <c r="V89" i="3"/>
  <c r="X89" i="3" s="1"/>
  <c r="V45" i="3"/>
  <c r="X45" i="3" s="1"/>
  <c r="V44" i="3"/>
  <c r="X44" i="3" s="1"/>
  <c r="V43" i="3"/>
  <c r="X43" i="3" s="1"/>
  <c r="V42" i="3"/>
  <c r="X42" i="3" s="1"/>
  <c r="V41" i="3"/>
  <c r="X41" i="3" s="1"/>
  <c r="V40" i="3"/>
  <c r="X40" i="3" s="1"/>
  <c r="V39" i="3"/>
  <c r="X39" i="3" s="1"/>
  <c r="V38" i="3"/>
  <c r="X38" i="3" s="1"/>
  <c r="V37" i="3"/>
  <c r="X37" i="3" s="1"/>
  <c r="V36" i="3"/>
  <c r="X36" i="3" s="1"/>
  <c r="V35" i="3"/>
  <c r="X35" i="3" s="1"/>
  <c r="V34" i="3"/>
  <c r="X34" i="3" s="1"/>
  <c r="V33" i="3"/>
  <c r="X33" i="3" s="1"/>
  <c r="V32" i="3"/>
  <c r="X32" i="3" s="1"/>
  <c r="V31" i="3"/>
  <c r="X31" i="3" s="1"/>
  <c r="V22" i="3"/>
  <c r="X22" i="3" s="1"/>
  <c r="V6" i="3"/>
  <c r="X6" i="3" s="1"/>
  <c r="V50" i="3"/>
  <c r="X50" i="3" s="1"/>
  <c r="V49" i="3"/>
  <c r="X49" i="3" s="1"/>
  <c r="V71" i="3"/>
  <c r="X71" i="3" s="1"/>
  <c r="V87" i="3"/>
  <c r="X87" i="3" s="1"/>
  <c r="V51" i="3"/>
  <c r="X51" i="3" s="1"/>
  <c r="V102" i="3"/>
  <c r="X102" i="3" s="1"/>
  <c r="V74" i="3"/>
  <c r="X74" i="3" s="1"/>
  <c r="V66" i="3"/>
  <c r="X66" i="3" s="1"/>
  <c r="V52" i="3"/>
  <c r="X52" i="3" s="1"/>
  <c r="V19" i="3"/>
  <c r="X19" i="3" s="1"/>
  <c r="V3" i="3"/>
  <c r="X3" i="3" s="1"/>
  <c r="V53" i="3"/>
  <c r="X53" i="3" s="1"/>
  <c r="V85" i="3"/>
  <c r="X85" i="3" s="1"/>
  <c r="V100" i="3"/>
  <c r="X100" i="3" s="1"/>
  <c r="V69" i="3"/>
  <c r="X69" i="3" s="1"/>
  <c r="V88" i="3"/>
  <c r="X88" i="3" s="1"/>
  <c r="V67" i="3"/>
  <c r="X67" i="3" s="1"/>
  <c r="V99" i="3"/>
  <c r="X99" i="3" s="1"/>
  <c r="V47" i="3"/>
  <c r="X47" i="3" s="1"/>
  <c r="V4" i="3"/>
  <c r="X4" i="3" s="1"/>
  <c r="V5" i="3"/>
  <c r="X5" i="3" s="1"/>
  <c r="V10" i="3"/>
  <c r="X10" i="3" s="1"/>
  <c r="V11" i="3"/>
  <c r="X11" i="3" s="1"/>
  <c r="V12" i="3"/>
  <c r="X12" i="3" s="1"/>
  <c r="V72" i="3"/>
  <c r="X72" i="3" s="1"/>
  <c r="V82" i="3"/>
  <c r="X82" i="3" s="1"/>
  <c r="V20" i="3"/>
  <c r="X20" i="3" s="1"/>
  <c r="V9" i="3"/>
  <c r="X9" i="3" s="1"/>
  <c r="V83" i="3"/>
  <c r="X83" i="3" s="1"/>
  <c r="V25" i="3"/>
  <c r="X25" i="3" s="1"/>
  <c r="V98" i="3"/>
  <c r="X98" i="3" s="1"/>
  <c r="V28" i="3"/>
  <c r="X28" i="3" s="1"/>
  <c r="V21" i="3"/>
  <c r="X21" i="3" s="1"/>
  <c r="V23" i="3"/>
  <c r="X23" i="3" s="1"/>
  <c r="V24" i="3"/>
  <c r="X24" i="3" s="1"/>
  <c r="V68" i="3"/>
  <c r="X68" i="3" s="1"/>
  <c r="V13" i="3"/>
  <c r="X13" i="3" s="1"/>
  <c r="V56" i="3"/>
  <c r="X56" i="3" s="1"/>
  <c r="V48" i="3"/>
  <c r="X48" i="3" s="1"/>
  <c r="V7" i="3"/>
  <c r="X7" i="3" s="1"/>
  <c r="V84" i="3"/>
  <c r="X84" i="3" s="1"/>
  <c r="V101" i="3"/>
  <c r="X101" i="3" s="1"/>
  <c r="V58" i="3"/>
  <c r="X58" i="3" s="1"/>
  <c r="V54" i="3"/>
  <c r="X54" i="3" s="1"/>
  <c r="V8" i="3"/>
  <c r="X8" i="3" s="1"/>
  <c r="V29" i="3"/>
  <c r="X29" i="3" s="1"/>
  <c r="V57" i="3"/>
  <c r="X57" i="3" s="1"/>
  <c r="V15" i="3"/>
  <c r="X15" i="3" s="1"/>
  <c r="V55" i="3"/>
  <c r="X55" i="3" s="1"/>
  <c r="V17" i="3"/>
  <c r="X17" i="3" s="1"/>
  <c r="V70" i="3"/>
  <c r="X70" i="3" s="1"/>
  <c r="V86" i="3"/>
  <c r="X86" i="3" s="1"/>
  <c r="V18" i="3"/>
  <c r="X18" i="3" s="1"/>
  <c r="V14" i="3"/>
  <c r="X14" i="3" s="1"/>
  <c r="V73" i="3"/>
  <c r="X73" i="3" s="1"/>
  <c r="V27" i="3"/>
  <c r="X27" i="3" s="1"/>
  <c r="V26" i="3"/>
  <c r="X26" i="3" s="1"/>
  <c r="V2" i="3"/>
  <c r="X2" i="3" s="1"/>
  <c r="V16" i="3"/>
  <c r="X16" i="3" s="1"/>
  <c r="W70" i="3"/>
  <c r="Z70" i="3" s="1"/>
  <c r="W8" i="3"/>
  <c r="Z8" i="3" s="1"/>
  <c r="W10" i="3"/>
  <c r="Z10" i="3" s="1"/>
  <c r="W52" i="3"/>
  <c r="Z52" i="3" s="1"/>
  <c r="W76" i="3"/>
  <c r="Z76" i="3" s="1"/>
  <c r="W58" i="3"/>
  <c r="Z58" i="3" s="1"/>
  <c r="W78" i="3"/>
  <c r="Z78" i="3" s="1"/>
  <c r="W11" i="3"/>
  <c r="Z11" i="3" s="1"/>
  <c r="W46" i="3"/>
  <c r="Z46" i="3" s="1"/>
  <c r="W27" i="3"/>
  <c r="Z27" i="3" s="1"/>
  <c r="W44" i="3"/>
  <c r="Z44" i="3" s="1"/>
  <c r="W4" i="3"/>
  <c r="Z4" i="3" s="1"/>
  <c r="W45" i="3"/>
  <c r="Z45" i="3" s="1"/>
  <c r="W74" i="3"/>
  <c r="Z74" i="3" s="1"/>
  <c r="W47" i="3"/>
  <c r="Z47" i="3" s="1"/>
  <c r="W80" i="3"/>
  <c r="Z80" i="3" s="1"/>
  <c r="W16" i="3"/>
  <c r="Z16" i="3" s="1"/>
  <c r="W29" i="3"/>
  <c r="Z29" i="3" s="1"/>
  <c r="W37" i="3"/>
  <c r="Z37" i="3" s="1"/>
  <c r="W36" i="3"/>
  <c r="Z36" i="3" s="1"/>
  <c r="W95" i="3"/>
  <c r="Z95" i="3" s="1"/>
  <c r="W101" i="3"/>
  <c r="Z101" i="3" s="1"/>
  <c r="W90" i="3"/>
  <c r="Z90" i="3" s="1"/>
  <c r="W28" i="3"/>
  <c r="Z28" i="3" s="1"/>
  <c r="W14" i="3"/>
  <c r="Z14" i="3" s="1"/>
  <c r="W51" i="3"/>
  <c r="Z51" i="3" s="1"/>
  <c r="W30" i="3"/>
  <c r="Z30" i="3" s="1"/>
  <c r="W84" i="3"/>
  <c r="Z84" i="3" s="1"/>
  <c r="W33" i="3"/>
  <c r="Z33" i="3" s="1"/>
  <c r="W83" i="3"/>
  <c r="Z83" i="3" s="1"/>
  <c r="W24" i="3"/>
  <c r="Z24" i="3" s="1"/>
  <c r="W48" i="3"/>
  <c r="Z48" i="3" s="1"/>
  <c r="W23" i="3"/>
  <c r="Z23" i="3" s="1"/>
  <c r="W97" i="3"/>
  <c r="Z97" i="3" s="1"/>
  <c r="W81" i="3"/>
  <c r="Z81" i="3" s="1"/>
  <c r="W61" i="3"/>
  <c r="Z61" i="3" s="1"/>
  <c r="W71" i="3"/>
  <c r="Z71" i="3" s="1"/>
  <c r="W41" i="3"/>
  <c r="Z41" i="3" s="1"/>
  <c r="W73" i="3"/>
  <c r="Z73" i="3" s="1"/>
  <c r="W15" i="3"/>
  <c r="Z15" i="3" s="1"/>
  <c r="W66" i="3"/>
  <c r="Z66" i="3" s="1"/>
  <c r="W43" i="3"/>
  <c r="Z43" i="3" s="1"/>
  <c r="W20" i="3"/>
  <c r="Z20" i="3" s="1"/>
  <c r="W26" i="3"/>
  <c r="Z26" i="3" s="1"/>
  <c r="W91" i="3"/>
  <c r="Z91" i="3" s="1"/>
  <c r="W40" i="3"/>
  <c r="Z40" i="3" s="1"/>
  <c r="W7" i="3"/>
  <c r="Z7" i="3" s="1"/>
  <c r="W99" i="3"/>
  <c r="Z99" i="3" s="1"/>
  <c r="W12" i="3"/>
  <c r="Z12" i="3" s="1"/>
  <c r="W89" i="3"/>
  <c r="Z89" i="3" s="1"/>
  <c r="W68" i="3"/>
  <c r="Z68" i="3" s="1"/>
  <c r="W21" i="3"/>
  <c r="Z21" i="3" s="1"/>
  <c r="W42" i="3"/>
  <c r="Z42" i="3" s="1"/>
  <c r="W13" i="3"/>
  <c r="Z13" i="3" s="1"/>
  <c r="W19" i="3"/>
  <c r="Z19" i="3" s="1"/>
  <c r="W59" i="3"/>
  <c r="Z59" i="3" s="1"/>
  <c r="W82" i="3"/>
  <c r="Z82" i="3" s="1"/>
  <c r="W56" i="3"/>
  <c r="Z56" i="3" s="1"/>
  <c r="W17" i="3"/>
  <c r="Z17" i="3" s="1"/>
  <c r="W39" i="3"/>
  <c r="Z39" i="3" s="1"/>
  <c r="W98" i="3"/>
  <c r="Z98" i="3" s="1"/>
  <c r="W55" i="3"/>
  <c r="Z55" i="3" s="1"/>
  <c r="W85" i="3"/>
  <c r="Z85" i="3" s="1"/>
  <c r="W63" i="3"/>
  <c r="Z63" i="3" s="1"/>
  <c r="W72" i="3"/>
  <c r="Z72" i="3" s="1"/>
  <c r="W92" i="3"/>
  <c r="Z92" i="3" s="1"/>
  <c r="W102" i="3"/>
  <c r="Z102" i="3" s="1"/>
  <c r="AA71" i="3" l="1"/>
  <c r="AA61" i="3"/>
  <c r="AA95" i="3"/>
  <c r="AI95" i="3" s="1"/>
  <c r="AA37" i="3"/>
  <c r="AA47" i="3"/>
  <c r="AA51" i="3"/>
  <c r="AA41" i="3"/>
  <c r="AA14" i="3"/>
  <c r="AA45" i="3"/>
  <c r="AA79" i="3"/>
  <c r="AA2" i="3"/>
  <c r="AI2" i="3" s="1"/>
  <c r="AA63" i="3"/>
  <c r="AH63" i="3" s="1"/>
  <c r="AA65" i="3"/>
  <c r="AI65" i="3" s="1"/>
  <c r="AA18" i="3"/>
  <c r="AH18" i="3" s="1"/>
  <c r="AA26" i="3"/>
  <c r="AI26" i="3" s="1"/>
  <c r="AA24" i="3"/>
  <c r="AG24" i="3" s="1"/>
  <c r="AA33" i="3"/>
  <c r="AA29" i="3"/>
  <c r="AI29" i="3" s="1"/>
  <c r="AA5" i="3"/>
  <c r="AI5" i="3" s="1"/>
  <c r="AA80" i="3"/>
  <c r="AI80" i="3" s="1"/>
  <c r="AA52" i="3"/>
  <c r="AA64" i="3"/>
  <c r="AA36" i="3"/>
  <c r="AA46" i="3"/>
  <c r="AA82" i="3"/>
  <c r="AI82" i="3" s="1"/>
  <c r="AA11" i="3"/>
  <c r="AH11" i="3" s="1"/>
  <c r="AA35" i="3"/>
  <c r="AG35" i="3" s="1"/>
  <c r="AA50" i="3"/>
  <c r="AI50" i="3" s="1"/>
  <c r="AA84" i="3"/>
  <c r="AI84" i="3" s="1"/>
  <c r="AA10" i="3"/>
  <c r="AI10" i="3" s="1"/>
  <c r="AA49" i="3"/>
  <c r="AH49" i="3" s="1"/>
  <c r="AA56" i="3"/>
  <c r="AI56" i="3" s="1"/>
  <c r="AA48" i="3"/>
  <c r="AA96" i="3"/>
  <c r="AI96" i="3" s="1"/>
  <c r="AF68" i="3"/>
  <c r="AE68" i="3"/>
  <c r="AD68" i="3"/>
  <c r="AF44" i="3"/>
  <c r="AE44" i="3"/>
  <c r="AD44" i="3"/>
  <c r="AF92" i="3"/>
  <c r="AE92" i="3"/>
  <c r="AD92" i="3"/>
  <c r="AE32" i="3"/>
  <c r="AF32" i="3"/>
  <c r="AD32" i="3"/>
  <c r="AF59" i="3"/>
  <c r="AE59" i="3"/>
  <c r="AD59" i="3"/>
  <c r="AE28" i="3"/>
  <c r="AF28" i="3"/>
  <c r="AD28" i="3"/>
  <c r="AF50" i="3"/>
  <c r="AD50" i="3"/>
  <c r="AE50" i="3"/>
  <c r="AA32" i="3"/>
  <c r="AA31" i="3"/>
  <c r="AA34" i="3"/>
  <c r="AE22" i="3"/>
  <c r="AD22" i="3"/>
  <c r="AF22" i="3"/>
  <c r="AD17" i="3"/>
  <c r="AF17" i="3"/>
  <c r="AE17" i="3"/>
  <c r="AF81" i="3"/>
  <c r="AE81" i="3"/>
  <c r="AD81" i="3"/>
  <c r="AF65" i="3"/>
  <c r="AE65" i="3"/>
  <c r="AD65" i="3"/>
  <c r="AA9" i="3"/>
  <c r="AA17" i="3"/>
  <c r="AA20" i="3"/>
  <c r="AA81" i="3"/>
  <c r="AA30" i="3"/>
  <c r="AE93" i="3"/>
  <c r="AF93" i="3"/>
  <c r="AD93" i="3"/>
  <c r="AF89" i="3"/>
  <c r="AE89" i="3"/>
  <c r="AD89" i="3"/>
  <c r="AI51" i="3"/>
  <c r="AG51" i="3"/>
  <c r="AH51" i="3"/>
  <c r="AE27" i="3"/>
  <c r="AF27" i="3"/>
  <c r="AD27" i="3"/>
  <c r="AA87" i="3"/>
  <c r="AE56" i="3"/>
  <c r="AD56" i="3"/>
  <c r="AF56" i="3"/>
  <c r="AA89" i="3"/>
  <c r="AA43" i="3"/>
  <c r="AA97" i="3"/>
  <c r="AD75" i="3"/>
  <c r="AE75" i="3"/>
  <c r="AF75" i="3"/>
  <c r="AG82" i="3"/>
  <c r="AE12" i="3"/>
  <c r="AF12" i="3"/>
  <c r="AD12" i="3"/>
  <c r="AD16" i="3"/>
  <c r="AF16" i="3"/>
  <c r="AE16" i="3"/>
  <c r="AI46" i="3"/>
  <c r="AH46" i="3"/>
  <c r="AG46" i="3"/>
  <c r="AF70" i="3"/>
  <c r="AE70" i="3"/>
  <c r="AD70" i="3"/>
  <c r="AF5" i="3"/>
  <c r="AE5" i="3"/>
  <c r="AD5" i="3"/>
  <c r="AF82" i="3"/>
  <c r="AD82" i="3"/>
  <c r="AE82" i="3"/>
  <c r="AA12" i="3"/>
  <c r="AA23" i="3"/>
  <c r="AE31" i="3"/>
  <c r="AF31" i="3"/>
  <c r="AD31" i="3"/>
  <c r="AE34" i="3"/>
  <c r="AD34" i="3"/>
  <c r="AF34" i="3"/>
  <c r="AF99" i="3"/>
  <c r="AE99" i="3"/>
  <c r="AD99" i="3"/>
  <c r="AE15" i="3"/>
  <c r="AD15" i="3"/>
  <c r="AF15" i="3"/>
  <c r="AI48" i="3"/>
  <c r="AH48" i="3"/>
  <c r="AG48" i="3"/>
  <c r="AF63" i="3"/>
  <c r="AE63" i="3"/>
  <c r="AD63" i="3"/>
  <c r="AA59" i="3"/>
  <c r="AA99" i="3"/>
  <c r="AA15" i="3"/>
  <c r="AF48" i="3"/>
  <c r="AE48" i="3"/>
  <c r="AD48" i="3"/>
  <c r="AA28" i="3"/>
  <c r="AF80" i="3"/>
  <c r="AD80" i="3"/>
  <c r="AE80" i="3"/>
  <c r="AF11" i="3"/>
  <c r="AE11" i="3"/>
  <c r="AD11" i="3"/>
  <c r="AF69" i="3"/>
  <c r="AE69" i="3"/>
  <c r="AD69" i="3"/>
  <c r="AF54" i="3"/>
  <c r="AE54" i="3"/>
  <c r="AD54" i="3"/>
  <c r="AF53" i="3"/>
  <c r="AE53" i="3"/>
  <c r="AD53" i="3"/>
  <c r="AH36" i="3"/>
  <c r="AI36" i="3"/>
  <c r="AG36" i="3"/>
  <c r="AI52" i="3"/>
  <c r="AH52" i="3"/>
  <c r="AG52" i="3"/>
  <c r="AA22" i="3"/>
  <c r="AA68" i="3"/>
  <c r="AE10" i="3"/>
  <c r="AD10" i="3"/>
  <c r="AF10" i="3"/>
  <c r="AA69" i="3"/>
  <c r="AA54" i="3"/>
  <c r="AE18" i="3"/>
  <c r="AF18" i="3"/>
  <c r="AD18" i="3"/>
  <c r="AA53" i="3"/>
  <c r="AE39" i="3"/>
  <c r="AF39" i="3"/>
  <c r="AD39" i="3"/>
  <c r="AH61" i="3"/>
  <c r="AG61" i="3"/>
  <c r="AI61" i="3"/>
  <c r="AF4" i="3"/>
  <c r="AE4" i="3"/>
  <c r="AD4" i="3"/>
  <c r="AF2" i="3"/>
  <c r="AE2" i="3"/>
  <c r="AD2" i="3"/>
  <c r="AE37" i="3"/>
  <c r="AF37" i="3"/>
  <c r="AD37" i="3"/>
  <c r="AA44" i="3"/>
  <c r="AA88" i="3"/>
  <c r="AF14" i="3"/>
  <c r="AD14" i="3"/>
  <c r="AE14" i="3"/>
  <c r="AA70" i="3"/>
  <c r="AF73" i="3"/>
  <c r="AE73" i="3"/>
  <c r="AD73" i="3"/>
  <c r="AG47" i="3"/>
  <c r="AI47" i="3"/>
  <c r="AH47" i="3"/>
  <c r="AA7" i="3"/>
  <c r="AF77" i="3"/>
  <c r="AE77" i="3"/>
  <c r="AD77" i="3"/>
  <c r="AF6" i="3"/>
  <c r="AE6" i="3"/>
  <c r="AD6" i="3"/>
  <c r="AF38" i="3"/>
  <c r="AE38" i="3"/>
  <c r="AD38" i="3"/>
  <c r="AE64" i="3"/>
  <c r="AD64" i="3"/>
  <c r="AF64" i="3"/>
  <c r="AA92" i="3"/>
  <c r="AF51" i="3"/>
  <c r="AE51" i="3"/>
  <c r="AD51" i="3"/>
  <c r="AE29" i="3"/>
  <c r="AF29" i="3"/>
  <c r="AD29" i="3"/>
  <c r="AA27" i="3"/>
  <c r="AA8" i="3"/>
  <c r="AF88" i="3"/>
  <c r="AE88" i="3"/>
  <c r="AD88" i="3"/>
  <c r="AE23" i="3"/>
  <c r="AD23" i="3"/>
  <c r="AF23" i="3"/>
  <c r="AE90" i="3"/>
  <c r="AD90" i="3"/>
  <c r="AF90" i="3"/>
  <c r="AD13" i="3"/>
  <c r="AF13" i="3"/>
  <c r="AE13" i="3"/>
  <c r="AA77" i="3"/>
  <c r="AA6" i="3"/>
  <c r="AA38" i="3"/>
  <c r="AF49" i="3"/>
  <c r="AE49" i="3"/>
  <c r="AD49" i="3"/>
  <c r="AF102" i="3"/>
  <c r="AE102" i="3"/>
  <c r="AD102" i="3"/>
  <c r="AE30" i="3"/>
  <c r="AD30" i="3"/>
  <c r="AF30" i="3"/>
  <c r="AG37" i="3"/>
  <c r="AH37" i="3"/>
  <c r="AI37" i="3"/>
  <c r="AF3" i="3"/>
  <c r="AD3" i="3"/>
  <c r="AE3" i="3"/>
  <c r="AA67" i="3"/>
  <c r="AF46" i="3"/>
  <c r="AD46" i="3"/>
  <c r="AE46" i="3"/>
  <c r="AF19" i="3"/>
  <c r="AD19" i="3"/>
  <c r="AE19" i="3"/>
  <c r="AA85" i="3"/>
  <c r="AD57" i="3"/>
  <c r="AE57" i="3"/>
  <c r="AF57" i="3"/>
  <c r="AF62" i="3"/>
  <c r="AE62" i="3"/>
  <c r="AD62" i="3"/>
  <c r="AF86" i="3"/>
  <c r="AE86" i="3"/>
  <c r="AD86" i="3"/>
  <c r="AA102" i="3"/>
  <c r="AA75" i="3"/>
  <c r="AA72" i="3"/>
  <c r="AA66" i="3"/>
  <c r="AA16" i="3"/>
  <c r="AF85" i="3"/>
  <c r="AE85" i="3"/>
  <c r="AD85" i="3"/>
  <c r="AF55" i="3"/>
  <c r="AE55" i="3"/>
  <c r="AD55" i="3"/>
  <c r="AH41" i="3"/>
  <c r="AG41" i="3"/>
  <c r="AI41" i="3"/>
  <c r="AE74" i="3"/>
  <c r="AD74" i="3"/>
  <c r="AF74" i="3"/>
  <c r="AF41" i="3"/>
  <c r="AE41" i="3"/>
  <c r="AD41" i="3"/>
  <c r="AA74" i="3"/>
  <c r="AD91" i="3"/>
  <c r="AF91" i="3"/>
  <c r="AE91" i="3"/>
  <c r="AG33" i="3"/>
  <c r="AI33" i="3"/>
  <c r="AH33" i="3"/>
  <c r="AG95" i="3"/>
  <c r="AH45" i="3"/>
  <c r="AG45" i="3"/>
  <c r="AI45" i="3"/>
  <c r="AD76" i="3"/>
  <c r="AF76" i="3"/>
  <c r="AE76" i="3"/>
  <c r="AA57" i="3"/>
  <c r="AF96" i="3"/>
  <c r="AE96" i="3"/>
  <c r="AD96" i="3"/>
  <c r="AA62" i="3"/>
  <c r="AE35" i="3"/>
  <c r="AD35" i="3"/>
  <c r="AF35" i="3"/>
  <c r="AA86" i="3"/>
  <c r="AF21" i="3"/>
  <c r="AE21" i="3"/>
  <c r="AD21" i="3"/>
  <c r="AE97" i="3"/>
  <c r="AF97" i="3"/>
  <c r="AD97" i="3"/>
  <c r="AF8" i="3"/>
  <c r="AE8" i="3"/>
  <c r="AD8" i="3"/>
  <c r="AF67" i="3"/>
  <c r="AE67" i="3"/>
  <c r="AD67" i="3"/>
  <c r="AE66" i="3"/>
  <c r="AD66" i="3"/>
  <c r="AF66" i="3"/>
  <c r="AI14" i="3"/>
  <c r="AH14" i="3"/>
  <c r="AG14" i="3"/>
  <c r="AF78" i="3"/>
  <c r="AE78" i="3"/>
  <c r="AD78" i="3"/>
  <c r="AA19" i="3"/>
  <c r="AA73" i="3"/>
  <c r="AD24" i="3"/>
  <c r="AF24" i="3"/>
  <c r="AE24" i="3"/>
  <c r="AA90" i="3"/>
  <c r="AF47" i="3"/>
  <c r="AE47" i="3"/>
  <c r="AD47" i="3"/>
  <c r="AA78" i="3"/>
  <c r="AA40" i="3"/>
  <c r="AA58" i="3"/>
  <c r="AF42" i="3"/>
  <c r="AD42" i="3"/>
  <c r="AE42" i="3"/>
  <c r="AH71" i="3"/>
  <c r="AG71" i="3"/>
  <c r="AI71" i="3"/>
  <c r="AF25" i="3"/>
  <c r="AE25" i="3"/>
  <c r="AD25" i="3"/>
  <c r="AD60" i="3"/>
  <c r="AF60" i="3"/>
  <c r="AE60" i="3"/>
  <c r="AI79" i="3"/>
  <c r="AH79" i="3"/>
  <c r="AG79" i="3"/>
  <c r="AF94" i="3"/>
  <c r="AE94" i="3"/>
  <c r="AD94" i="3"/>
  <c r="AF100" i="3"/>
  <c r="AE100" i="3"/>
  <c r="AD100" i="3"/>
  <c r="AD9" i="3"/>
  <c r="AF9" i="3"/>
  <c r="AE9" i="3"/>
  <c r="AE20" i="3"/>
  <c r="AF20" i="3"/>
  <c r="AD20" i="3"/>
  <c r="AF87" i="3"/>
  <c r="AE87" i="3"/>
  <c r="AD87" i="3"/>
  <c r="AI64" i="3"/>
  <c r="AH64" i="3"/>
  <c r="AG64" i="3"/>
  <c r="AF43" i="3"/>
  <c r="AE43" i="3"/>
  <c r="AD43" i="3"/>
  <c r="AG29" i="3"/>
  <c r="AA3" i="3"/>
  <c r="AA93" i="3"/>
  <c r="AF72" i="3"/>
  <c r="AE72" i="3"/>
  <c r="AD72" i="3"/>
  <c r="AF7" i="3"/>
  <c r="AE7" i="3"/>
  <c r="AD7" i="3"/>
  <c r="AD40" i="3"/>
  <c r="AF40" i="3"/>
  <c r="AE40" i="3"/>
  <c r="AF83" i="3"/>
  <c r="AE83" i="3"/>
  <c r="AD83" i="3"/>
  <c r="AF101" i="3"/>
  <c r="AE101" i="3"/>
  <c r="AD101" i="3"/>
  <c r="AD58" i="3"/>
  <c r="AF58" i="3"/>
  <c r="AE58" i="3"/>
  <c r="AA55" i="3"/>
  <c r="AA13" i="3"/>
  <c r="AA83" i="3"/>
  <c r="AA101" i="3"/>
  <c r="AF98" i="3"/>
  <c r="AE98" i="3"/>
  <c r="AD98" i="3"/>
  <c r="AA98" i="3"/>
  <c r="AA42" i="3"/>
  <c r="AA91" i="3"/>
  <c r="AF71" i="3"/>
  <c r="AE71" i="3"/>
  <c r="AD71" i="3"/>
  <c r="AE33" i="3"/>
  <c r="AF33" i="3"/>
  <c r="AD33" i="3"/>
  <c r="AD95" i="3"/>
  <c r="AF95" i="3"/>
  <c r="AE95" i="3"/>
  <c r="AF45" i="3"/>
  <c r="AE45" i="3"/>
  <c r="AD45" i="3"/>
  <c r="AA76" i="3"/>
  <c r="AA39" i="3"/>
  <c r="AA21" i="3"/>
  <c r="AE26" i="3"/>
  <c r="AF26" i="3"/>
  <c r="AD26" i="3"/>
  <c r="AE61" i="3"/>
  <c r="AD61" i="3"/>
  <c r="AF61" i="3"/>
  <c r="AF84" i="3"/>
  <c r="AE84" i="3"/>
  <c r="AD84" i="3"/>
  <c r="AE36" i="3"/>
  <c r="AF36" i="3"/>
  <c r="AD36" i="3"/>
  <c r="AA4" i="3"/>
  <c r="AF52" i="3"/>
  <c r="AE52" i="3"/>
  <c r="AD52" i="3"/>
  <c r="AA25" i="3"/>
  <c r="AA60" i="3"/>
  <c r="AF79" i="3"/>
  <c r="AE79" i="3"/>
  <c r="AD79" i="3"/>
  <c r="AA94" i="3"/>
  <c r="AA100" i="3"/>
  <c r="AH95" i="3" l="1"/>
  <c r="AG65" i="3"/>
  <c r="AH65" i="3"/>
  <c r="AG2" i="3"/>
  <c r="AH2" i="3"/>
  <c r="AG10" i="3"/>
  <c r="AH50" i="3"/>
  <c r="AG50" i="3"/>
  <c r="AG84" i="3"/>
  <c r="AH84" i="3"/>
  <c r="AH82" i="3"/>
  <c r="AI18" i="3"/>
  <c r="AG56" i="3"/>
  <c r="AG18" i="3"/>
  <c r="AH56" i="3"/>
  <c r="AI63" i="3"/>
  <c r="AG63" i="3"/>
  <c r="AI24" i="3"/>
  <c r="AH24" i="3"/>
  <c r="AH10" i="3"/>
  <c r="AG96" i="3"/>
  <c r="AH96" i="3"/>
  <c r="AH29" i="3"/>
  <c r="AG26" i="3"/>
  <c r="AG49" i="3"/>
  <c r="AH26" i="3"/>
  <c r="AI49" i="3"/>
  <c r="AG5" i="3"/>
  <c r="AH5" i="3"/>
  <c r="AG80" i="3"/>
  <c r="AH80" i="3"/>
  <c r="AI35" i="3"/>
  <c r="AG11" i="3"/>
  <c r="AH35" i="3"/>
  <c r="AI11" i="3"/>
  <c r="AI98" i="3"/>
  <c r="AH98" i="3"/>
  <c r="AG98" i="3"/>
  <c r="AI20" i="3"/>
  <c r="AH20" i="3"/>
  <c r="AG20" i="3"/>
  <c r="AI58" i="3"/>
  <c r="AH58" i="3"/>
  <c r="AG58" i="3"/>
  <c r="AI70" i="3"/>
  <c r="AH70" i="3"/>
  <c r="AG70" i="3"/>
  <c r="AI68" i="3"/>
  <c r="AH68" i="3"/>
  <c r="AG68" i="3"/>
  <c r="AI31" i="3"/>
  <c r="AG31" i="3"/>
  <c r="AH31" i="3"/>
  <c r="AG88" i="3"/>
  <c r="AH88" i="3"/>
  <c r="AI88" i="3"/>
  <c r="AI15" i="3"/>
  <c r="AH15" i="3"/>
  <c r="AG15" i="3"/>
  <c r="AI55" i="3"/>
  <c r="AH55" i="3"/>
  <c r="AG55" i="3"/>
  <c r="AI38" i="3"/>
  <c r="AH38" i="3"/>
  <c r="AG38" i="3"/>
  <c r="AH4" i="3"/>
  <c r="AI4" i="3"/>
  <c r="AG4" i="3"/>
  <c r="AI77" i="3"/>
  <c r="AH77" i="3"/>
  <c r="AG77" i="3"/>
  <c r="AI34" i="3"/>
  <c r="AH34" i="3"/>
  <c r="AG34" i="3"/>
  <c r="AI85" i="3"/>
  <c r="AH85" i="3"/>
  <c r="AG85" i="3"/>
  <c r="AG40" i="3"/>
  <c r="AI40" i="3"/>
  <c r="AH40" i="3"/>
  <c r="AI100" i="3"/>
  <c r="AH100" i="3"/>
  <c r="AG100" i="3"/>
  <c r="AI90" i="3"/>
  <c r="AH90" i="3"/>
  <c r="AG90" i="3"/>
  <c r="AG44" i="3"/>
  <c r="AI44" i="3"/>
  <c r="AH44" i="3"/>
  <c r="AH53" i="3"/>
  <c r="AG53" i="3"/>
  <c r="AI53" i="3"/>
  <c r="AH39" i="3"/>
  <c r="AI39" i="3"/>
  <c r="AG39" i="3"/>
  <c r="AH87" i="3"/>
  <c r="AG87" i="3"/>
  <c r="AI87" i="3"/>
  <c r="AH9" i="3"/>
  <c r="AG9" i="3"/>
  <c r="AI9" i="3"/>
  <c r="AH78" i="3"/>
  <c r="AG78" i="3"/>
  <c r="AI78" i="3"/>
  <c r="AI93" i="3"/>
  <c r="AH93" i="3"/>
  <c r="AG93" i="3"/>
  <c r="AI67" i="3"/>
  <c r="AH67" i="3"/>
  <c r="AG67" i="3"/>
  <c r="AI7" i="3"/>
  <c r="AH7" i="3"/>
  <c r="AG7" i="3"/>
  <c r="AH27" i="3"/>
  <c r="AI27" i="3"/>
  <c r="AG27" i="3"/>
  <c r="AH76" i="3"/>
  <c r="AG76" i="3"/>
  <c r="AI76" i="3"/>
  <c r="AI28" i="3"/>
  <c r="AH28" i="3"/>
  <c r="AG28" i="3"/>
  <c r="AI22" i="3"/>
  <c r="AH22" i="3"/>
  <c r="AG22" i="3"/>
  <c r="AI32" i="3"/>
  <c r="AG32" i="3"/>
  <c r="AH32" i="3"/>
  <c r="AH3" i="3"/>
  <c r="AG3" i="3"/>
  <c r="AI3" i="3"/>
  <c r="AI97" i="3"/>
  <c r="AH97" i="3"/>
  <c r="AG97" i="3"/>
  <c r="AI23" i="3"/>
  <c r="AG23" i="3"/>
  <c r="AH23" i="3"/>
  <c r="AH12" i="3"/>
  <c r="AI12" i="3"/>
  <c r="AG12" i="3"/>
  <c r="AI86" i="3"/>
  <c r="AH86" i="3"/>
  <c r="AG86" i="3"/>
  <c r="AI92" i="3"/>
  <c r="AH92" i="3"/>
  <c r="AG92" i="3"/>
  <c r="AG57" i="3"/>
  <c r="AI57" i="3"/>
  <c r="AH57" i="3"/>
  <c r="AH74" i="3"/>
  <c r="AG74" i="3"/>
  <c r="AI74" i="3"/>
  <c r="AI43" i="3"/>
  <c r="AG43" i="3"/>
  <c r="AH43" i="3"/>
  <c r="AG72" i="3"/>
  <c r="AI72" i="3"/>
  <c r="AH72" i="3"/>
  <c r="AI75" i="3"/>
  <c r="AH75" i="3"/>
  <c r="AG75" i="3"/>
  <c r="AI102" i="3"/>
  <c r="AH102" i="3"/>
  <c r="AG102" i="3"/>
  <c r="AG13" i="3"/>
  <c r="AI13" i="3"/>
  <c r="AH13" i="3"/>
  <c r="AH59" i="3"/>
  <c r="AG59" i="3"/>
  <c r="AI59" i="3"/>
  <c r="AI60" i="3"/>
  <c r="AH60" i="3"/>
  <c r="AG60" i="3"/>
  <c r="AI73" i="3"/>
  <c r="AH73" i="3"/>
  <c r="AG73" i="3"/>
  <c r="AG54" i="3"/>
  <c r="AI54" i="3"/>
  <c r="AH54" i="3"/>
  <c r="AG89" i="3"/>
  <c r="AI89" i="3"/>
  <c r="AH89" i="3"/>
  <c r="AI66" i="3"/>
  <c r="AH66" i="3"/>
  <c r="AG66" i="3"/>
  <c r="AI6" i="3"/>
  <c r="AH6" i="3"/>
  <c r="AG6" i="3"/>
  <c r="AI101" i="3"/>
  <c r="AH101" i="3"/>
  <c r="AG101" i="3"/>
  <c r="AI99" i="3"/>
  <c r="AH99" i="3"/>
  <c r="AG99" i="3"/>
  <c r="AI62" i="3"/>
  <c r="AH62" i="3"/>
  <c r="AG62" i="3"/>
  <c r="AI94" i="3"/>
  <c r="AH94" i="3"/>
  <c r="AG94" i="3"/>
  <c r="AI25" i="3"/>
  <c r="AH25" i="3"/>
  <c r="AG25" i="3"/>
  <c r="AI91" i="3"/>
  <c r="AH91" i="3"/>
  <c r="AG91" i="3"/>
  <c r="AI19" i="3"/>
  <c r="AG19" i="3"/>
  <c r="AH19" i="3"/>
  <c r="AI69" i="3"/>
  <c r="AH69" i="3"/>
  <c r="AG69" i="3"/>
  <c r="AI30" i="3"/>
  <c r="AH30" i="3"/>
  <c r="AG30" i="3"/>
  <c r="AH17" i="3"/>
  <c r="AG17" i="3"/>
  <c r="AI17" i="3"/>
  <c r="AI83" i="3"/>
  <c r="AH83" i="3"/>
  <c r="AG83" i="3"/>
  <c r="AI21" i="3"/>
  <c r="AH21" i="3"/>
  <c r="AG21" i="3"/>
  <c r="AI42" i="3"/>
  <c r="AH42" i="3"/>
  <c r="AG42" i="3"/>
  <c r="AI16" i="3"/>
  <c r="AG16" i="3"/>
  <c r="AH16" i="3"/>
  <c r="AI8" i="3"/>
  <c r="AH8" i="3"/>
  <c r="AG8" i="3"/>
  <c r="AI81" i="3"/>
  <c r="AH81" i="3"/>
  <c r="AG8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<sst xmlns="http://schemas.openxmlformats.org/spreadsheetml/2006/main" count="256" uniqueCount="182">
  <si>
    <t>Poisson's ratio</t>
  </si>
  <si>
    <t>Young's modulus</t>
  </si>
  <si>
    <t>[L]</t>
  </si>
  <si>
    <t>Edge load</t>
  </si>
  <si>
    <t>Pressure</t>
  </si>
  <si>
    <t>Radius</t>
  </si>
  <si>
    <t>Thickness</t>
  </si>
  <si>
    <t>Length</t>
  </si>
  <si>
    <t>Top edge BC</t>
  </si>
  <si>
    <t>Shear correction factor</t>
  </si>
  <si>
    <t>[-]</t>
  </si>
  <si>
    <t>Bottom edge BC</t>
  </si>
  <si>
    <t>[F/L]</t>
  </si>
  <si>
    <t>INPUTS</t>
  </si>
  <si>
    <t>HARD-CODED INPUTS</t>
  </si>
  <si>
    <t>Material inputs</t>
  </si>
  <si>
    <t>Geometric inputs</t>
  </si>
  <si>
    <t>Loading inputs</t>
  </si>
  <si>
    <t>Flexural stiffness C</t>
  </si>
  <si>
    <t>Bending stiffness D</t>
  </si>
  <si>
    <t>Shear modulus G</t>
  </si>
  <si>
    <t>BC2f</t>
  </si>
  <si>
    <t>BC1r</t>
  </si>
  <si>
    <t>The following inputs are embedded in the processes of the present spreadsheet and changing them requires considerable alterations at the level of computing the matrix of Cj coefficients.</t>
  </si>
  <si>
    <t>[F.L]</t>
  </si>
  <si>
    <t>[F/L^2]</t>
  </si>
  <si>
    <t>Material parameters</t>
  </si>
  <si>
    <t>Solution parameters</t>
  </si>
  <si>
    <t>Real positive parameter a</t>
  </si>
  <si>
    <t>Real positive parameter b</t>
  </si>
  <si>
    <t>Boundary layer parameters</t>
  </si>
  <si>
    <t>Thick theory eigenvalues</t>
  </si>
  <si>
    <t>[1/L]</t>
  </si>
  <si>
    <t>Λ1</t>
  </si>
  <si>
    <t>Λ2</t>
  </si>
  <si>
    <t>Λ3</t>
  </si>
  <si>
    <t>Λ4</t>
  </si>
  <si>
    <t>Thick theory eigenvectors</t>
  </si>
  <si>
    <t>φ1</t>
  </si>
  <si>
    <t>φ4</t>
  </si>
  <si>
    <t>φ3</t>
  </si>
  <si>
    <t>φ2</t>
  </si>
  <si>
    <t>w_a1</t>
  </si>
  <si>
    <t>w_b1</t>
  </si>
  <si>
    <t>β_a1</t>
  </si>
  <si>
    <t>β_b1</t>
  </si>
  <si>
    <t>w_a2</t>
  </si>
  <si>
    <t>w_b2</t>
  </si>
  <si>
    <t>β_a2</t>
  </si>
  <si>
    <t>β_b2</t>
  </si>
  <si>
    <t>w_a3</t>
  </si>
  <si>
    <t>w_b3</t>
  </si>
  <si>
    <t>β_a3</t>
  </si>
  <si>
    <t>β_b3</t>
  </si>
  <si>
    <t>w_a4</t>
  </si>
  <si>
    <t>w_b4</t>
  </si>
  <si>
    <t>β_a4</t>
  </si>
  <si>
    <t>β_b4</t>
  </si>
  <si>
    <t>Top edge boundary condition factors</t>
  </si>
  <si>
    <t>w_C1_t</t>
  </si>
  <si>
    <t>w_C2_t</t>
  </si>
  <si>
    <t>w_C4_t</t>
  </si>
  <si>
    <t>w_C3_t</t>
  </si>
  <si>
    <t>wp_C1_t</t>
  </si>
  <si>
    <t>wp_C2_t</t>
  </si>
  <si>
    <t>wp_C3_t</t>
  </si>
  <si>
    <t>wp_C4_t</t>
  </si>
  <si>
    <t>β_C1_t</t>
  </si>
  <si>
    <t>β_C2_t</t>
  </si>
  <si>
    <t>β_C3_t</t>
  </si>
  <si>
    <t>β_C4_t</t>
  </si>
  <si>
    <t>βp_C1_t</t>
  </si>
  <si>
    <t>βp_C2_t</t>
  </si>
  <si>
    <t>βp_C3_t</t>
  </si>
  <si>
    <t>βp_C4_t</t>
  </si>
  <si>
    <t>Bottom edge boundary condition factors</t>
  </si>
  <si>
    <t>βpp_C1_t</t>
  </si>
  <si>
    <t>βpp_C2_t</t>
  </si>
  <si>
    <t>βpp_C3_t</t>
  </si>
  <si>
    <t>βpp_C4_t</t>
  </si>
  <si>
    <t>w_C1_b</t>
  </si>
  <si>
    <t>w_C2_b</t>
  </si>
  <si>
    <t>w_C3_b</t>
  </si>
  <si>
    <t>w_C4_b</t>
  </si>
  <si>
    <t>wp_C1_b</t>
  </si>
  <si>
    <t>wp_C2_b</t>
  </si>
  <si>
    <t>wp_C3_b</t>
  </si>
  <si>
    <t>wp_C4_b</t>
  </si>
  <si>
    <t>β_C1_b</t>
  </si>
  <si>
    <t>β_C2_b</t>
  </si>
  <si>
    <t>β_C3_b</t>
  </si>
  <si>
    <t>β_C4_b</t>
  </si>
  <si>
    <t>βp_C1_b</t>
  </si>
  <si>
    <t>βp_C2_b</t>
  </si>
  <si>
    <t>βp_C3_b</t>
  </si>
  <si>
    <t>βp_C4_b</t>
  </si>
  <si>
    <t>βpp_C1_b</t>
  </si>
  <si>
    <t>βpp_C2_b</t>
  </si>
  <si>
    <t>βpp_C3_b</t>
  </si>
  <si>
    <t>βpp_C4_b</t>
  </si>
  <si>
    <t>Gauss elimination (1st step/column)</t>
  </si>
  <si>
    <t>Gauss elimination (2nd step/column)</t>
  </si>
  <si>
    <t>Gauss elimination (3rd step/column)</t>
  </si>
  <si>
    <t>Membrane theory solution</t>
  </si>
  <si>
    <t>βm</t>
  </si>
  <si>
    <t>wm</t>
  </si>
  <si>
    <t>Cj factors</t>
  </si>
  <si>
    <t>Solution of complex matrix system</t>
  </si>
  <si>
    <t>Point ID</t>
  </si>
  <si>
    <t>LHS - Boundary conditions matrix (BC2f-BC1r)</t>
  </si>
  <si>
    <t>RHS - Particular  (membrane theory) solution</t>
  </si>
  <si>
    <t>z</t>
  </si>
  <si>
    <t>w</t>
  </si>
  <si>
    <t>dwds</t>
  </si>
  <si>
    <t>β</t>
  </si>
  <si>
    <t>dβds</t>
  </si>
  <si>
    <t>d2βds2</t>
  </si>
  <si>
    <t>u</t>
  </si>
  <si>
    <t>duds</t>
  </si>
  <si>
    <t>uc</t>
  </si>
  <si>
    <t>σφ_in</t>
  </si>
  <si>
    <t>σφ_mid</t>
  </si>
  <si>
    <t>σφ_out</t>
  </si>
  <si>
    <t>σθ_in</t>
  </si>
  <si>
    <t>σθ_mid</t>
  </si>
  <si>
    <t>σθ_out</t>
  </si>
  <si>
    <t>Thick bending half-wavelength λ</t>
  </si>
  <si>
    <t>Thin bending half-wavelength λ</t>
  </si>
  <si>
    <t>w_t</t>
  </si>
  <si>
    <t>βp_t</t>
  </si>
  <si>
    <t>w_b</t>
  </si>
  <si>
    <t>β_b</t>
  </si>
  <si>
    <t>THICK CYLINDRICAL SHELL THEORY SOLUTION</t>
  </si>
  <si>
    <t>Thick theory Cj unknowns coefficients</t>
  </si>
  <si>
    <t>Thin theory Cj unknowns coefficients</t>
  </si>
  <si>
    <t>wpp_C1_t</t>
  </si>
  <si>
    <t>wpp_C2_t</t>
  </si>
  <si>
    <t>wpp_C3_t</t>
  </si>
  <si>
    <t>wpp_C4_t</t>
  </si>
  <si>
    <t>wpp_C1_b</t>
  </si>
  <si>
    <t>wpp_C2_b</t>
  </si>
  <si>
    <t>wpp_C3_b</t>
  </si>
  <si>
    <t>wpp_C4_b</t>
  </si>
  <si>
    <t>RHS -Particular solution</t>
  </si>
  <si>
    <t>Solution of real matrix system</t>
  </si>
  <si>
    <t>d2wds2</t>
  </si>
  <si>
    <t>Nφ</t>
  </si>
  <si>
    <t>Nθ</t>
  </si>
  <si>
    <t>Mφ</t>
  </si>
  <si>
    <t>Mθ</t>
  </si>
  <si>
    <t>by Achilleas Filippidis and Adam J. Sadowski</t>
  </si>
  <si>
    <t>Spreadsheet drafted by Achilleas Filippidis</t>
  </si>
  <si>
    <t>Last modified on 23/10/2024</t>
  </si>
  <si>
    <t>TAB NAME</t>
  </si>
  <si>
    <t>INFORMATION</t>
  </si>
  <si>
    <t>Inputs</t>
  </si>
  <si>
    <t>Editable model parametrs that can control the thin or thick shell theory solution to the cylinder problem</t>
  </si>
  <si>
    <t>Thin theory</t>
  </si>
  <si>
    <t>Thick theory</t>
  </si>
  <si>
    <t>σφ</t>
  </si>
  <si>
    <t>σθ</t>
  </si>
  <si>
    <t>Classical thin shell theory solution to the problem of a cylinder under meridional edge load and/or normal pressure</t>
  </si>
  <si>
    <t>Thick shell theory solution to the problem of a cylinder under meridional edge load and/or normal pressure</t>
  </si>
  <si>
    <t>The present spreadsheet accompanies the manuscript "Selected closed-form algebraic solutions for linear stress and buckling analyses of elastic shear-flexible axisymmetric cylindrical shells"</t>
  </si>
  <si>
    <t>Comparison of meridional u displacement profiles for thin and thick shell theories</t>
  </si>
  <si>
    <t>Comparison of normal w displacement profiles for thin and thick shell theories</t>
  </si>
  <si>
    <t>Circumferential stress σθ patterns for inner, middle and outer surfaces of the cylinder's wall</t>
  </si>
  <si>
    <t>Meridional stress σφ patterns  for inner, middle and outer surfaces of the cylinder's wall</t>
  </si>
  <si>
    <t xml:space="preserve">The following thin shell theory bending solution is based on the following article
</t>
  </si>
  <si>
    <t>Rotter, J. M., &amp; Sadowski, A. J. (2012)</t>
  </si>
  <si>
    <t>Engineering Structures, 42, 258-265.</t>
  </si>
  <si>
    <t xml:space="preserve">Cylindrical shell bending theory for orthotropic shells </t>
  </si>
  <si>
    <t>under general axisymmetric pressure distributions</t>
  </si>
  <si>
    <t xml:space="preserve">The following thick shell theory bending solution 
</t>
  </si>
  <si>
    <t>Selected closed-form algebraic solutions for linear stress</t>
  </si>
  <si>
    <t>and buckling analyses of elastic shear-flexible axisymmetric cylindrical shells</t>
  </si>
  <si>
    <t>is based on the following article:</t>
  </si>
  <si>
    <t>u (real)</t>
  </si>
  <si>
    <t>w (real)</t>
  </si>
  <si>
    <t>abs(u)</t>
  </si>
  <si>
    <t>ABAQUS FE data are not included for comparison purposes in this spreadsheet, but can be found in the GitHub repository of the article</t>
  </si>
  <si>
    <t>(illustration including these results my be generated through the Python stress analysis scripts).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</si>
</sst>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000"/>
    <numFmt numFmtId="166" formatCode="0.00000"/>
    <numFmt numFmtId="167" formatCode="0.00000000"/>
    <numFmt numFmtId="168" formatCode="0.0000E+00"/>
  </numFmts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4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1" fontId="0" fillId="0" borderId="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21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right" vertical="center"/>
    </xf>
    <xf numFmtId="2" fontId="0" fillId="0" borderId="27" xfId="0" applyNumberFormat="1" applyBorder="1" applyAlignment="1">
      <alignment horizontal="right" vertical="center"/>
    </xf>
    <xf numFmtId="2" fontId="0" fillId="0" borderId="22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5" fontId="0" fillId="0" borderId="2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65" fontId="0" fillId="0" borderId="0" xfId="0" applyNumberFormat="1"/>
    <xf numFmtId="165" fontId="0" fillId="0" borderId="14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7" fillId="0" borderId="0" xfId="0" applyFont="1"/>
    <xf numFmtId="0" fontId="0" fillId="0" borderId="14" xfId="0" applyBorder="1"/>
    <xf numFmtId="0" fontId="0" fillId="0" borderId="6" xfId="0" applyBorder="1"/>
    <xf numFmtId="2" fontId="0" fillId="2" borderId="6" xfId="0" applyNumberFormat="1" applyFill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2" borderId="25" xfId="0" applyNumberFormat="1" applyFill="1" applyBorder="1" applyAlignment="1">
      <alignment horizontal="center" vertical="center"/>
    </xf>
    <xf numFmtId="165" fontId="0" fillId="2" borderId="28" xfId="0" applyNumberFormat="1" applyFill="1" applyBorder="1" applyAlignment="1">
      <alignment horizontal="center" vertical="center"/>
    </xf>
    <xf numFmtId="165" fontId="0" fillId="2" borderId="26" xfId="0" applyNumberFormat="1" applyFill="1" applyBorder="1" applyAlignment="1">
      <alignment horizontal="center" vertical="center"/>
    </xf>
    <xf numFmtId="165" fontId="0" fillId="2" borderId="18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19" xfId="0" applyNumberFormat="1" applyFill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2" fontId="0" fillId="2" borderId="28" xfId="0" applyNumberFormat="1" applyFill="1" applyBorder="1" applyAlignment="1">
      <alignment horizontal="center" vertical="center"/>
    </xf>
    <xf numFmtId="2" fontId="0" fillId="2" borderId="26" xfId="0" applyNumberFormat="1" applyFill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19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16" xfId="0" applyNumberFormat="1" applyFill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9" xfId="0" applyNumberFormat="1" applyBorder="1" applyAlignment="1">
      <alignment horizontal="center" vertical="center" wrapText="1"/>
    </xf>
    <xf numFmtId="2" fontId="0" fillId="2" borderId="2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5" fontId="1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3">
    <cellStyle name="Hyperlink 2" xfId="2" xr:uid="{EC67D5A4-73EE-4244-9770-156BD9A64210}"/>
    <cellStyle name="Normal" xfId="0" builtinId="0"/>
    <cellStyle name="Normal 2" xfId="1" xr:uid="{215E896C-539C-4E6E-8E1A-0FF39307925D}"/>
  </cellStyles>
  <dxfs count="0"/>
  <tableStyles count="0" defaultTableStyle="TableStyleMedium2" defaultPivotStyle="PivotStyleLight16"/>
  <colors>
    <mruColors>
      <color rgb="FFFF0101"/>
      <color rgb="FF0400AC"/>
      <color rgb="FF7979FF"/>
      <color rgb="FF820000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196968508661607E-2"/>
          <c:y val="8.7078614334835353E-2"/>
          <c:w val="0.92815879564316428"/>
          <c:h val="0.89050570336566082"/>
        </c:manualLayout>
      </c:layout>
      <c:scatterChart>
        <c:scatterStyle val="lineMarker"/>
        <c:varyColors val="0"/>
        <c:ser>
          <c:idx val="1"/>
          <c:order val="0"/>
          <c:tx>
            <c:v>Thin theory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'Thin theory'!$T$2:$T$1022</c:f>
              <c:numCache>
                <c:formatCode>0.000000</c:formatCode>
                <c:ptCount val="1021"/>
                <c:pt idx="0">
                  <c:v>5.4732483072883904E-5</c:v>
                </c:pt>
                <c:pt idx="1">
                  <c:v>5.4222163420859205E-5</c:v>
                </c:pt>
                <c:pt idx="2">
                  <c:v>5.3708627883124387E-5</c:v>
                </c:pt>
                <c:pt idx="3">
                  <c:v>5.3191912146866928E-5</c:v>
                </c:pt>
                <c:pt idx="4">
                  <c:v>5.2672072050598608E-5</c:v>
                </c:pt>
                <c:pt idx="5">
                  <c:v>5.2149180696459265E-5</c:v>
                </c:pt>
                <c:pt idx="6">
                  <c:v>5.1623325775561628E-5</c:v>
                </c:pt>
                <c:pt idx="7">
                  <c:v>5.1094607101418673E-5</c:v>
                </c:pt>
                <c:pt idx="8">
                  <c:v>5.0563134345496577E-5</c:v>
                </c:pt>
                <c:pt idx="9">
                  <c:v>5.002902496810656E-5</c:v>
                </c:pt>
                <c:pt idx="10">
                  <c:v>4.9492402337174407E-5</c:v>
                </c:pt>
                <c:pt idx="11">
                  <c:v>4.8953394026892064E-5</c:v>
                </c:pt>
                <c:pt idx="12">
                  <c:v>4.8412130287851088E-5</c:v>
                </c:pt>
                <c:pt idx="13">
                  <c:v>4.7868742679968193E-5</c:v>
                </c:pt>
                <c:pt idx="14">
                  <c:v>4.7323362859328977E-5</c:v>
                </c:pt>
                <c:pt idx="15">
                  <c:v>4.6776121509984617E-5</c:v>
                </c:pt>
                <c:pt idx="16">
                  <c:v>4.6227147411728098E-5</c:v>
                </c:pt>
                <c:pt idx="17">
                  <c:v>4.5676566634941579E-5</c:v>
                </c:pt>
                <c:pt idx="18">
                  <c:v>4.5124501853734517E-5</c:v>
                </c:pt>
                <c:pt idx="19">
                  <c:v>4.4571071768776418E-5</c:v>
                </c:pt>
                <c:pt idx="20">
                  <c:v>4.4016390631457973E-5</c:v>
                </c:pt>
                <c:pt idx="21">
                  <c:v>4.3460567861284885E-5</c:v>
                </c:pt>
                <c:pt idx="22">
                  <c:v>4.2903707748710928E-5</c:v>
                </c:pt>
                <c:pt idx="23">
                  <c:v>4.234590923594582E-5</c:v>
                </c:pt>
                <c:pt idx="24">
                  <c:v>4.1787265768622582E-5</c:v>
                </c:pt>
                <c:pt idx="25">
                  <c:v>4.1227865211573167E-5</c:v>
                </c:pt>
                <c:pt idx="26">
                  <c:v>4.0667789822335845E-5</c:v>
                </c:pt>
                <c:pt idx="27">
                  <c:v>4.0107116276397609E-5</c:v>
                </c:pt>
                <c:pt idx="28">
                  <c:v>3.9545915738557474E-5</c:v>
                </c:pt>
                <c:pt idx="29">
                  <c:v>3.8984253975176662E-5</c:v>
                </c:pt>
                <c:pt idx="30">
                  <c:v>3.842219150245731E-5</c:v>
                </c:pt>
                <c:pt idx="31">
                  <c:v>3.7859783766259655E-5</c:v>
                </c:pt>
                <c:pt idx="32">
                  <c:v>3.7297081349325217E-5</c:v>
                </c:pt>
                <c:pt idx="33">
                  <c:v>3.6734130202119571E-5</c:v>
                </c:pt>
                <c:pt idx="34">
                  <c:v>3.6170971893839809E-5</c:v>
                </c:pt>
                <c:pt idx="35">
                  <c:v>3.560764388044761E-5</c:v>
                </c:pt>
                <c:pt idx="36">
                  <c:v>3.504417978688787E-5</c:v>
                </c:pt>
                <c:pt idx="37">
                  <c:v>3.4480609700933358E-5</c:v>
                </c:pt>
                <c:pt idx="38">
                  <c:v>3.3916960476356962E-5</c:v>
                </c:pt>
                <c:pt idx="39">
                  <c:v>3.3353256043374746E-5</c:v>
                </c:pt>
                <c:pt idx="40">
                  <c:v>3.2789517724523538E-5</c:v>
                </c:pt>
                <c:pt idx="41">
                  <c:v>3.2225764554336051E-5</c:v>
                </c:pt>
                <c:pt idx="42">
                  <c:v>3.166201360135482E-5</c:v>
                </c:pt>
                <c:pt idx="43">
                  <c:v>3.1098280291182075E-5</c:v>
                </c:pt>
                <c:pt idx="44">
                  <c:v>3.0534578729396968E-5</c:v>
                </c:pt>
                <c:pt idx="45">
                  <c:v>2.9970922023283711E-5</c:v>
                </c:pt>
                <c:pt idx="46">
                  <c:v>2.9407322601404237E-5</c:v>
                </c:pt>
                <c:pt idx="47">
                  <c:v>2.8843792530117198E-5</c:v>
                </c:pt>
                <c:pt idx="48">
                  <c:v>2.8280343826191375E-5</c:v>
                </c:pt>
                <c:pt idx="49">
                  <c:v>2.7716988764686559E-5</c:v>
                </c:pt>
                <c:pt idx="50">
                  <c:v>2.7153740181278105E-5</c:v>
                </c:pt>
                <c:pt idx="51">
                  <c:v>2.6590611768184052E-5</c:v>
                </c:pt>
                <c:pt idx="52">
                  <c:v>2.6027618362815322E-5</c:v>
                </c:pt>
                <c:pt idx="53">
                  <c:v>2.5464776228211345E-5</c:v>
                </c:pt>
                <c:pt idx="54">
                  <c:v>2.4902103324245095E-5</c:v>
                </c:pt>
                <c:pt idx="55">
                  <c:v>2.4339619568484677E-5</c:v>
                </c:pt>
                <c:pt idx="56">
                  <c:v>2.3777347085482598E-5</c:v>
                </c:pt>
                <c:pt idx="57">
                  <c:v>2.3215310443130604E-5</c:v>
                </c:pt>
                <c:pt idx="58">
                  <c:v>2.2653536874567306E-5</c:v>
                </c:pt>
                <c:pt idx="59">
                  <c:v>2.2092056483959445E-5</c:v>
                </c:pt>
                <c:pt idx="60">
                  <c:v>2.1530902434295638E-5</c:v>
                </c:pt>
                <c:pt idx="61">
                  <c:v>2.0970111115135953E-5</c:v>
                </c:pt>
                <c:pt idx="62">
                  <c:v>2.0409722288052018E-5</c:v>
                </c:pt>
                <c:pt idx="63">
                  <c:v>1.9849779207272418E-5</c:v>
                </c:pt>
                <c:pt idx="64">
                  <c:v>1.9290328712818273E-5</c:v>
                </c:pt>
                <c:pt idx="65">
                  <c:v>1.8731421293175815E-5</c:v>
                </c:pt>
                <c:pt idx="66">
                  <c:v>1.8173111114308493E-5</c:v>
                </c:pt>
                <c:pt idx="67">
                  <c:v>1.7615456011562339E-5</c:v>
                </c:pt>
                <c:pt idx="68">
                  <c:v>1.7058517440767929E-5</c:v>
                </c:pt>
                <c:pt idx="69">
                  <c:v>1.6502360384592223E-5</c:v>
                </c:pt>
                <c:pt idx="70">
                  <c:v>1.5947053209946948E-5</c:v>
                </c:pt>
                <c:pt idx="71">
                  <c:v>1.5392667472020134E-5</c:v>
                </c:pt>
                <c:pt idx="72">
                  <c:v>1.483927766026696E-5</c:v>
                </c:pt>
                <c:pt idx="73">
                  <c:v>1.4286960881479134E-5</c:v>
                </c:pt>
                <c:pt idx="74">
                  <c:v>1.3735796474852583E-5</c:v>
                </c:pt>
                <c:pt idx="75">
                  <c:v>1.3185865553795172E-5</c:v>
                </c:pt>
                <c:pt idx="76">
                  <c:v>1.2637250469064898E-5</c:v>
                </c:pt>
                <c:pt idx="77">
                  <c:v>1.2090034187708609E-5</c:v>
                </c:pt>
                <c:pt idx="78">
                  <c:v>1.1544299582187799E-5</c:v>
                </c:pt>
                <c:pt idx="79">
                  <c:v>1.1000128624037255E-5</c:v>
                </c:pt>
                <c:pt idx="80">
                  <c:v>1.0457601476409445E-5</c:v>
                </c:pt>
                <c:pt idx="81">
                  <c:v>9.9167954799206578E-6</c:v>
                </c:pt>
                <c:pt idx="82">
                  <c:v>9.3777840263390449E-6</c:v>
                </c:pt>
                <c:pt idx="83">
                  <c:v>8.8406353148490994E-6</c:v>
                </c:pt>
                <c:pt idx="84">
                  <c:v>8.3054109858976149E-6</c:v>
                </c:pt>
                <c:pt idx="85">
                  <c:v>7.7721646279820276E-6</c:v>
                </c:pt>
                <c:pt idx="86">
                  <c:v>7.2409401531913463E-6</c:v>
                </c:pt>
                <c:pt idx="87">
                  <c:v>6.7117700378604672E-6</c:v>
                </c:pt>
                <c:pt idx="88">
                  <c:v>6.1846734253611968E-6</c:v>
                </c:pt>
                <c:pt idx="89">
                  <c:v>5.6596540888347422E-6</c:v>
                </c:pt>
                <c:pt idx="90">
                  <c:v>5.1366982525825472E-6</c:v>
                </c:pt>
                <c:pt idx="91">
                  <c:v>4.615772271882648E-6</c:v>
                </c:pt>
                <c:pt idx="92">
                  <c:v>4.0968201721980484E-6</c:v>
                </c:pt>
                <c:pt idx="93">
                  <c:v>3.5797610501015715E-6</c:v>
                </c:pt>
                <c:pt idx="94">
                  <c:v>3.0644863397667475E-6</c:v>
                </c:pt>
                <c:pt idx="95">
                  <c:v>2.5508569505777272E-6</c:v>
                </c:pt>
                <c:pt idx="96">
                  <c:v>2.0387002833002913E-6</c:v>
                </c:pt>
                <c:pt idx="97">
                  <c:v>1.5278071343407627E-6</c:v>
                </c:pt>
                <c:pt idx="98">
                  <c:v>1.0179284999081326E-6</c:v>
                </c:pt>
                <c:pt idx="99">
                  <c:v>5.0877229439365494E-7</c:v>
                </c:pt>
                <c:pt idx="100">
                  <c:v>0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FC-493B-9E10-7310CA2444D3}"/>
            </c:ext>
          </c:extLst>
        </c:ser>
        <c:ser>
          <c:idx val="3"/>
          <c:order val="1"/>
          <c:tx>
            <c:v>Thick theory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'Thick theory'!$X$2:$X$102</c:f>
              <c:numCache>
                <c:formatCode>General</c:formatCode>
                <c:ptCount val="101"/>
                <c:pt idx="0">
                  <c:v>5.4842017719650597E-5</c:v>
                </c:pt>
                <c:pt idx="1">
                  <c:v>5.4331488995956898E-5</c:v>
                </c:pt>
                <c:pt idx="2">
                  <c:v>5.3817375174289398E-5</c:v>
                </c:pt>
                <c:pt idx="3">
                  <c:v>5.3299780344033097E-5</c:v>
                </c:pt>
                <c:pt idx="4">
                  <c:v>5.2778822253680002E-5</c:v>
                </c:pt>
                <c:pt idx="5">
                  <c:v>5.2254629665771399E-5</c:v>
                </c:pt>
                <c:pt idx="6">
                  <c:v>5.1727339958469702E-5</c:v>
                </c:pt>
                <c:pt idx="7">
                  <c:v>5.11970969612594E-5</c:v>
                </c:pt>
                <c:pt idx="8">
                  <c:v>5.0664049012044201E-5</c:v>
                </c:pt>
                <c:pt idx="9">
                  <c:v>5.0128347222816497E-5</c:v>
                </c:pt>
                <c:pt idx="10">
                  <c:v>4.9590143941085598E-5</c:v>
                </c:pt>
                <c:pt idx="11">
                  <c:v>4.9049591394367597E-5</c:v>
                </c:pt>
                <c:pt idx="12">
                  <c:v>4.8506840505239402E-5</c:v>
                </c:pt>
                <c:pt idx="13">
                  <c:v>4.7962039864728298E-5</c:v>
                </c:pt>
                <c:pt idx="14">
                  <c:v>4.7415334852148599E-5</c:v>
                </c:pt>
                <c:pt idx="15">
                  <c:v>4.6866866889875803E-5</c:v>
                </c:pt>
                <c:pt idx="16">
                  <c:v>4.6316772821983703E-5</c:v>
                </c:pt>
                <c:pt idx="17">
                  <c:v>4.5765184406126999E-5</c:v>
                </c:pt>
                <c:pt idx="18">
                  <c:v>4.5212227908542401E-5</c:v>
                </c:pt>
                <c:pt idx="19">
                  <c:v>4.4658023792546002E-5</c:v>
                </c:pt>
                <c:pt idx="20">
                  <c:v>4.4102686491428298E-5</c:v>
                </c:pt>
                <c:pt idx="21">
                  <c:v>4.3546324257169197E-5</c:v>
                </c:pt>
                <c:pt idx="22">
                  <c:v>4.2989039076930098E-5</c:v>
                </c:pt>
                <c:pt idx="23">
                  <c:v>4.2430926649803397E-5</c:v>
                </c:pt>
                <c:pt idx="24">
                  <c:v>4.1872076416822301E-5</c:v>
                </c:pt>
                <c:pt idx="25">
                  <c:v>4.13125716377442E-5</c:v>
                </c:pt>
                <c:pt idx="26">
                  <c:v>4.0752489508623501E-5</c:v>
                </c:pt>
                <c:pt idx="27">
                  <c:v>4.0191901314669697E-5</c:v>
                </c:pt>
                <c:pt idx="28">
                  <c:v>3.9630872613361599E-5</c:v>
                </c:pt>
                <c:pt idx="29">
                  <c:v>3.9069463443232102E-5</c:v>
                </c:pt>
                <c:pt idx="30">
                  <c:v>3.8507728554174803E-5</c:v>
                </c:pt>
                <c:pt idx="31">
                  <c:v>3.7945717655529299E-5</c:v>
                </c:pt>
                <c:pt idx="32">
                  <c:v>3.7383475678592399E-5</c:v>
                </c:pt>
                <c:pt idx="33">
                  <c:v>3.6821043050570099E-5</c:v>
                </c:pt>
                <c:pt idx="34">
                  <c:v>3.6258455977325597E-5</c:v>
                </c:pt>
                <c:pt idx="35">
                  <c:v>3.5695746732603198E-5</c:v>
                </c:pt>
                <c:pt idx="36">
                  <c:v>3.5132943951704598E-5</c:v>
                </c:pt>
                <c:pt idx="37">
                  <c:v>3.4570072927868899E-5</c:v>
                </c:pt>
                <c:pt idx="38">
                  <c:v>3.40071559098607E-5</c:v>
                </c:pt>
                <c:pt idx="39">
                  <c:v>3.3444212399501403E-5</c:v>
                </c:pt>
                <c:pt idx="40">
                  <c:v>3.2881259448085797E-5</c:v>
                </c:pt>
                <c:pt idx="41">
                  <c:v>3.2318311950810498E-5</c:v>
                </c:pt>
                <c:pt idx="42">
                  <c:v>3.1755382938508597E-5</c:v>
                </c:pt>
                <c:pt idx="43">
                  <c:v>3.1192483866123698E-5</c:v>
                </c:pt>
                <c:pt idx="44">
                  <c:v>3.0629624897481303E-5</c:v>
                </c:pt>
                <c:pt idx="45">
                  <c:v>3.0066815186017799E-5</c:v>
                </c:pt>
                <c:pt idx="46">
                  <c:v>2.9504063151205599E-5</c:v>
                </c:pt>
                <c:pt idx="47">
                  <c:v>2.89413767504807E-5</c:v>
                </c:pt>
                <c:pt idx="48">
                  <c:v>2.83787637465168E-5</c:v>
                </c:pt>
                <c:pt idx="49">
                  <c:v>2.7816231969717899E-5</c:v>
                </c:pt>
                <c:pt idx="50">
                  <c:v>2.7253789575805699E-5</c:v>
                </c:pt>
                <c:pt idx="51">
                  <c:v>2.66914452983668E-5</c:v>
                </c:pt>
                <c:pt idx="52">
                  <c:v>2.6129208696193299E-5</c:v>
                </c:pt>
                <c:pt idx="53">
                  <c:v>2.55670903952043E-5</c:v>
                </c:pt>
                <c:pt idx="54">
                  <c:v>2.50051023246704E-5</c:v>
                </c:pt>
                <c:pt idx="55">
                  <c:v>2.4443257947381899E-5</c:v>
                </c:pt>
                <c:pt idx="56">
                  <c:v>2.38815724833027E-5</c:v>
                </c:pt>
                <c:pt idx="57">
                  <c:v>2.3320063126137202E-5</c:v>
                </c:pt>
                <c:pt idx="58">
                  <c:v>2.2758749252107099E-5</c:v>
                </c:pt>
                <c:pt idx="59">
                  <c:v>2.2197652620088099E-5</c:v>
                </c:pt>
                <c:pt idx="60">
                  <c:v>2.1636797562092501E-5</c:v>
                </c:pt>
                <c:pt idx="61">
                  <c:v>2.1076211162909501E-5</c:v>
                </c:pt>
                <c:pt idx="62">
                  <c:v>2.05159234275186E-5</c:v>
                </c:pt>
                <c:pt idx="63">
                  <c:v>1.9955967434688401E-5</c:v>
                </c:pt>
                <c:pt idx="64">
                  <c:v>1.9396379474948801E-5</c:v>
                </c:pt>
                <c:pt idx="65">
                  <c:v>1.8837199170894E-5</c:v>
                </c:pt>
                <c:pt idx="66">
                  <c:v>1.82784695775244E-5</c:v>
                </c:pt>
                <c:pt idx="67">
                  <c:v>1.7720237260078602E-5</c:v>
                </c:pt>
                <c:pt idx="68">
                  <c:v>1.71625523465374E-5</c:v>
                </c:pt>
                <c:pt idx="69">
                  <c:v>1.6605468551702199E-5</c:v>
                </c:pt>
                <c:pt idx="70">
                  <c:v>1.6049043169463401E-5</c:v>
                </c:pt>
                <c:pt idx="71">
                  <c:v>1.54933370295808E-5</c:v>
                </c:pt>
                <c:pt idx="72">
                  <c:v>1.49384144149978E-5</c:v>
                </c:pt>
                <c:pt idx="73">
                  <c:v>1.4384342935409501E-5</c:v>
                </c:pt>
                <c:pt idx="74">
                  <c:v>1.3831193352500299E-5</c:v>
                </c:pt>
                <c:pt idx="75">
                  <c:v>1.3279039351966401E-5</c:v>
                </c:pt>
                <c:pt idx="76">
                  <c:v>1.2727957257139501E-5</c:v>
                </c:pt>
                <c:pt idx="77">
                  <c:v>1.21780256787377E-5</c:v>
                </c:pt>
                <c:pt idx="78">
                  <c:v>1.1629325094992799E-5</c:v>
                </c:pt>
                <c:pt idx="79">
                  <c:v>1.1081937356136799E-5</c:v>
                </c:pt>
                <c:pt idx="80">
                  <c:v>1.05359451069872E-5</c:v>
                </c:pt>
                <c:pt idx="81">
                  <c:v>9.9914311211493508E-6</c:v>
                </c:pt>
                <c:pt idx="82">
                  <c:v>9.4484775401642097E-6</c:v>
                </c:pt>
                <c:pt idx="83">
                  <c:v>8.9071650107720002E-6</c:v>
                </c:pt>
                <c:pt idx="84">
                  <c:v>8.3675717133496301E-6</c:v>
                </c:pt>
                <c:pt idx="85">
                  <c:v>7.8297722745115105E-6</c:v>
                </c:pt>
                <c:pt idx="86">
                  <c:v>7.2938365568535902E-6</c:v>
                </c:pt>
                <c:pt idx="87">
                  <c:v>6.7598283188717397E-6</c:v>
                </c:pt>
                <c:pt idx="88">
                  <c:v>6.22780373821065E-6</c:v>
                </c:pt>
                <c:pt idx="89">
                  <c:v>5.6978097916035003E-6</c:v>
                </c:pt>
                <c:pt idx="90">
                  <c:v>5.1698824851589399E-6</c:v>
                </c:pt>
                <c:pt idx="91">
                  <c:v>4.6440449290475996E-6</c:v>
                </c:pt>
                <c:pt idx="92">
                  <c:v>4.1203052511484297E-6</c:v>
                </c:pt>
                <c:pt idx="93">
                  <c:v>3.59865434484616E-6</c:v>
                </c:pt>
                <c:pt idx="94">
                  <c:v>3.0790634469366E-6</c:v>
                </c:pt>
                <c:pt idx="95">
                  <c:v>2.5614815425100999E-6</c:v>
                </c:pt>
                <c:pt idx="96">
                  <c:v>2.0458325947572299E-6</c:v>
                </c:pt>
                <c:pt idx="97">
                  <c:v>1.5320125988879401E-6</c:v>
                </c:pt>
                <c:pt idx="98">
                  <c:v>1.0198864607920499E-6</c:v>
                </c:pt>
                <c:pt idx="99">
                  <c:v>5.0928470270520398E-7</c:v>
                </c:pt>
                <c:pt idx="100">
                  <c:v>1.7787691892340301E-20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FC-493B-9E10-7310CA244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018272"/>
        <c:axId val="1008510432"/>
      </c:scatterChart>
      <c:valAx>
        <c:axId val="10100182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 [L]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10432"/>
        <c:crosses val="autoZero"/>
        <c:crossBetween val="midCat"/>
      </c:valAx>
      <c:valAx>
        <c:axId val="10085104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z meridional coordinate [mm]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018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1083633437507963"/>
          <c:y val="0.85928664565514845"/>
          <c:w val="0.1095549769125207"/>
          <c:h val="8.8006988672327688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0196968508661607E-2"/>
          <c:y val="9.6862164624566219E-2"/>
          <c:w val="0.92815879564316428"/>
          <c:h val="0.88071490599873603"/>
        </c:manualLayout>
      </c:layout>
      <c:scatterChart>
        <c:scatterStyle val="lineMarker"/>
        <c:varyColors val="0"/>
        <c:ser>
          <c:idx val="1"/>
          <c:order val="0"/>
          <c:tx>
            <c:v>Thin theory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'Thin theory'!$Q$2:$Q$1022</c:f>
              <c:numCache>
                <c:formatCode>0.000000</c:formatCode>
                <c:ptCount val="1021"/>
                <c:pt idx="0">
                  <c:v>0</c:v>
                </c:pt>
                <c:pt idx="1">
                  <c:v>4.8094050727110179E-7</c:v>
                </c:pt>
                <c:pt idx="2">
                  <c:v>9.5821462332315047E-7</c:v>
                </c:pt>
                <c:pt idx="3">
                  <c:v>1.4285923932497688E-6</c:v>
                </c:pt>
                <c:pt idx="4">
                  <c:v>1.8892904174848435E-6</c:v>
                </c:pt>
                <c:pt idx="5">
                  <c:v>2.3379397801777786E-6</c:v>
                </c:pt>
                <c:pt idx="6">
                  <c:v>2.7725546334967929E-6</c:v>
                </c:pt>
                <c:pt idx="7">
                  <c:v>3.1915015998960942E-6</c:v>
                </c:pt>
                <c:pt idx="8">
                  <c:v>3.5934701282288611E-6</c:v>
                </c:pt>
                <c:pt idx="9">
                  <c:v>3.9774439155217642E-6</c:v>
                </c:pt>
                <c:pt idx="10">
                  <c:v>4.3426734841806E-6</c:v>
                </c:pt>
                <c:pt idx="11">
                  <c:v>4.6886499843022429E-6</c:v>
                </c:pt>
                <c:pt idx="12">
                  <c:v>5.0150802725423188E-6</c:v>
                </c:pt>
                <c:pt idx="13">
                  <c:v>5.3218633025513709E-6</c:v>
                </c:pt>
                <c:pt idx="14">
                  <c:v>5.6090678472549842E-6</c:v>
                </c:pt>
                <c:pt idx="15">
                  <c:v>5.8769115601276691E-6</c:v>
                </c:pt>
                <c:pt idx="16">
                  <c:v>6.125741371005077E-6</c:v>
                </c:pt>
                <c:pt idx="17">
                  <c:v>6.356015201802486E-6</c:v>
                </c:pt>
                <c:pt idx="18">
                  <c:v>6.5682849786697775E-6</c:v>
                </c:pt>
                <c:pt idx="19">
                  <c:v>6.763180909522793E-6</c:v>
                </c:pt>
                <c:pt idx="20">
                  <c:v>6.9413969894611181E-6</c:v>
                </c:pt>
                <c:pt idx="21">
                  <c:v>7.1036776912253217E-6</c:v>
                </c:pt>
                <c:pt idx="22">
                  <c:v>7.2508057934799689E-6</c:v>
                </c:pt>
                <c:pt idx="23">
                  <c:v>7.3835912962505817E-6</c:v>
                </c:pt>
                <c:pt idx="24">
                  <c:v>7.5028613702159477E-6</c:v>
                </c:pt>
                <c:pt idx="25">
                  <c:v>7.6094512846876362E-6</c:v>
                </c:pt>
                <c:pt idx="26">
                  <c:v>7.7041962579254904E-6</c:v>
                </c:pt>
                <c:pt idx="27">
                  <c:v>7.7879241728746636E-6</c:v>
                </c:pt>
                <c:pt idx="28">
                  <c:v>7.8614491014034248E-6</c:v>
                </c:pt>
                <c:pt idx="29">
                  <c:v>7.9255655806123371E-6</c:v>
                </c:pt>
                <c:pt idx="30">
                  <c:v>7.9810435857195675E-6</c:v>
                </c:pt>
                <c:pt idx="31">
                  <c:v>8.0286241453522923E-6</c:v>
                </c:pt>
                <c:pt idx="32">
                  <c:v>8.0690155467432854E-6</c:v>
                </c:pt>
                <c:pt idx="33">
                  <c:v>8.1028900803006539E-6</c:v>
                </c:pt>
                <c:pt idx="34">
                  <c:v>8.1308812752471273E-6</c:v>
                </c:pt>
                <c:pt idx="35">
                  <c:v>8.1535815804765296E-6</c:v>
                </c:pt>
                <c:pt idx="36">
                  <c:v>8.171540447415431E-6</c:v>
                </c:pt>
                <c:pt idx="37">
                  <c:v>8.1852627744771693E-6</c:v>
                </c:pt>
                <c:pt idx="38">
                  <c:v>8.1952076756258387E-6</c:v>
                </c:pt>
                <c:pt idx="39">
                  <c:v>8.2017875386049589E-6</c:v>
                </c:pt>
                <c:pt idx="40">
                  <c:v>8.2053673415069986E-6</c:v>
                </c:pt>
                <c:pt idx="41">
                  <c:v>8.2062641995460626E-6</c:v>
                </c:pt>
                <c:pt idx="42">
                  <c:v>8.2047471171291235E-6</c:v>
                </c:pt>
                <c:pt idx="43">
                  <c:v>8.2010369235855438E-6</c:v>
                </c:pt>
                <c:pt idx="44">
                  <c:v>8.1953063741960176E-6</c:v>
                </c:pt>
                <c:pt idx="45">
                  <c:v>8.1876804014482159E-6</c:v>
                </c:pt>
                <c:pt idx="46">
                  <c:v>8.1782365047257126E-6</c:v>
                </c:pt>
                <c:pt idx="47">
                  <c:v>8.1670052698991173E-6</c:v>
                </c:pt>
                <c:pt idx="48">
                  <c:v>8.1539710135241778E-6</c:v>
                </c:pt>
                <c:pt idx="49">
                  <c:v>8.1390725495520198E-6</c:v>
                </c:pt>
                <c:pt idx="50">
                  <c:v>8.1222040796132307E-6</c:v>
                </c:pt>
                <c:pt idx="51">
                  <c:v>8.1032162110415701E-6</c:v>
                </c:pt>
                <c:pt idx="52">
                  <c:v>8.0819171098464982E-6</c:v>
                </c:pt>
                <c:pt idx="53">
                  <c:v>8.058073798817441E-6</c:v>
                </c:pt>
                <c:pt idx="54">
                  <c:v>8.0314136138376953E-6</c:v>
                </c:pt>
                <c:pt idx="55">
                  <c:v>8.0016258342921197E-6</c:v>
                </c:pt>
                <c:pt idx="56">
                  <c:v>7.9683635061593762E-6</c:v>
                </c:pt>
                <c:pt idx="57">
                  <c:v>7.9312454789746829E-6</c:v>
                </c:pt>
                <c:pt idx="58">
                  <c:v>7.8898586803195013E-6</c:v>
                </c:pt>
                <c:pt idx="59">
                  <c:v>7.8437606538258415E-6</c:v>
                </c:pt>
                <c:pt idx="60">
                  <c:v>7.7924823888584717E-6</c:v>
                </c:pt>
                <c:pt idx="61">
                  <c:v>7.7355314720405251E-6</c:v>
                </c:pt>
                <c:pt idx="62">
                  <c:v>7.6723955925966107E-6</c:v>
                </c:pt>
                <c:pt idx="63">
                  <c:v>7.6025464350808015E-6</c:v>
                </c:pt>
                <c:pt idx="64">
                  <c:v>7.5254439944103867E-6</c:v>
                </c:pt>
                <c:pt idx="65">
                  <c:v>7.4405413492138963E-6</c:v>
                </c:pt>
                <c:pt idx="66">
                  <c:v>7.3472899302943995E-6</c:v>
                </c:pt>
                <c:pt idx="67">
                  <c:v>7.2451453214755597E-6</c:v>
                </c:pt>
                <c:pt idx="68">
                  <c:v>7.1335736302043205E-6</c:v>
                </c:pt>
                <c:pt idx="69">
                  <c:v>7.0120584649941425E-6</c:v>
                </c:pt>
                <c:pt idx="70">
                  <c:v>6.8801085560676031E-6</c:v>
                </c:pt>
                <c:pt idx="71">
                  <c:v>6.737266054355408E-6</c:v>
                </c:pt>
                <c:pt idx="72">
                  <c:v>6.5831155422865601E-6</c:v>
                </c:pt>
                <c:pt idx="73">
                  <c:v>6.4172937875153975E-6</c:v>
                </c:pt>
                <c:pt idx="74">
                  <c:v>6.2395002678268155E-6</c:v>
                </c:pt>
                <c:pt idx="75">
                  <c:v>6.0495084918905271E-6</c:v>
                </c:pt>
                <c:pt idx="76">
                  <c:v>5.8471781362462833E-6</c:v>
                </c:pt>
                <c:pt idx="77">
                  <c:v>5.6324680138399947E-6</c:v>
                </c:pt>
                <c:pt idx="78">
                  <c:v>5.4054498835402924E-6</c:v>
                </c:pt>
                <c:pt idx="79">
                  <c:v>5.1663231032895434E-6</c:v>
                </c:pt>
                <c:pt idx="80">
                  <c:v>4.9154301218249888E-6</c:v>
                </c:pt>
                <c:pt idx="81">
                  <c:v>4.653272795187714E-6</c:v>
                </c:pt>
                <c:pt idx="82">
                  <c:v>4.3805295044616229E-6</c:v>
                </c:pt>
                <c:pt idx="83">
                  <c:v>4.0980730402960984E-6</c:v>
                </c:pt>
                <c:pt idx="84">
                  <c:v>3.8069892077093842E-6</c:v>
                </c:pt>
                <c:pt idx="85">
                  <c:v>3.5085960913930234E-6</c:v>
                </c:pt>
                <c:pt idx="86">
                  <c:v>3.2044639071921469E-6</c:v>
                </c:pt>
                <c:pt idx="87">
                  <c:v>2.8964353495763417E-6</c:v>
                </c:pt>
                <c:pt idx="88">
                  <c:v>2.5866463277025892E-6</c:v>
                </c:pt>
                <c:pt idx="89">
                  <c:v>2.2775469640703041E-6</c:v>
                </c:pt>
                <c:pt idx="90">
                  <c:v>1.9719227097539667E-6</c:v>
                </c:pt>
                <c:pt idx="91">
                  <c:v>1.6729154087521886E-6</c:v>
                </c:pt>
                <c:pt idx="92">
                  <c:v>1.38404412110655E-6</c:v>
                </c:pt>
                <c:pt idx="93">
                  <c:v>1.1092254901225481E-6</c:v>
                </c:pt>
                <c:pt idx="94">
                  <c:v>8.527934132850116E-7</c:v>
                </c:pt>
                <c:pt idx="95">
                  <c:v>6.1951774933336048E-7</c:v>
                </c:pt>
                <c:pt idx="96">
                  <c:v>4.1462176549540023E-7</c:v>
                </c:pt>
                <c:pt idx="97">
                  <c:v>2.4379799913818257E-7</c:v>
                </c:pt>
                <c:pt idx="98">
                  <c:v>1.1322217716766542E-7</c:v>
                </c:pt>
                <c:pt idx="99">
                  <c:v>2.9564804502949017E-8</c:v>
                </c:pt>
                <c:pt idx="100">
                  <c:v>0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6-4ADB-9566-67F495EBA00A}"/>
            </c:ext>
          </c:extLst>
        </c:ser>
        <c:ser>
          <c:idx val="3"/>
          <c:order val="1"/>
          <c:tx>
            <c:v>Thick theory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'Thick theory'!$Y$2:$Y$102</c:f>
              <c:numCache>
                <c:formatCode>General</c:formatCode>
                <c:ptCount val="101"/>
                <c:pt idx="0">
                  <c:v>3.3881317890171999E-21</c:v>
                </c:pt>
                <c:pt idx="1">
                  <c:v>5.4140825802376998E-7</c:v>
                </c:pt>
                <c:pt idx="2">
                  <c:v>1.06845886602496E-6</c:v>
                </c:pt>
                <c:pt idx="3">
                  <c:v>1.5789057825352101E-6</c:v>
                </c:pt>
                <c:pt idx="4">
                  <c:v>2.0709162596325199E-6</c:v>
                </c:pt>
                <c:pt idx="5">
                  <c:v>2.5430331617975302E-6</c:v>
                </c:pt>
                <c:pt idx="6">
                  <c:v>2.9941391249787799E-6</c:v>
                </c:pt>
                <c:pt idx="7">
                  <c:v>3.4234225998186299E-6</c:v>
                </c:pt>
                <c:pt idx="8">
                  <c:v>3.8303458027161497E-6</c:v>
                </c:pt>
                <c:pt idx="9">
                  <c:v>4.2146145804844404E-6</c:v>
                </c:pt>
                <c:pt idx="10">
                  <c:v>4.5761501786364197E-6</c:v>
                </c:pt>
                <c:pt idx="11">
                  <c:v>4.9150628896516404E-6</c:v>
                </c:pt>
                <c:pt idx="12">
                  <c:v>5.2316275457853303E-6</c:v>
                </c:pt>
                <c:pt idx="13">
                  <c:v>5.5262608109342399E-6</c:v>
                </c:pt>
                <c:pt idx="14">
                  <c:v>5.79950021762811E-6</c:v>
                </c:pt>
                <c:pt idx="15">
                  <c:v>6.05198488823804E-6</c:v>
                </c:pt>
                <c:pt idx="16">
                  <c:v>6.2844378738507099E-6</c:v>
                </c:pt>
                <c:pt idx="17">
                  <c:v>6.4976500398286703E-6</c:v>
                </c:pt>
                <c:pt idx="18">
                  <c:v>6.6924654237436504E-6</c:v>
                </c:pt>
                <c:pt idx="19">
                  <c:v>6.8697679890210002E-6</c:v>
                </c:pt>
                <c:pt idx="20">
                  <c:v>7.0304696961664098E-6</c:v>
                </c:pt>
                <c:pt idx="21">
                  <c:v>7.1754998127603297E-6</c:v>
                </c:pt>
                <c:pt idx="22">
                  <c:v>7.3057953834142697E-6</c:v>
                </c:pt>
                <c:pt idx="23">
                  <c:v>7.42229278149741E-6</c:v>
                </c:pt>
                <c:pt idx="24">
                  <c:v>7.5259202655872796E-6</c:v>
                </c:pt>
                <c:pt idx="25">
                  <c:v>7.6175914651997401E-6</c:v>
                </c:pt>
                <c:pt idx="26">
                  <c:v>7.6981997223470996E-6</c:v>
                </c:pt>
                <c:pt idx="27">
                  <c:v>7.7686132177968594E-6</c:v>
                </c:pt>
                <c:pt idx="28">
                  <c:v>7.8296708135041596E-6</c:v>
                </c:pt>
                <c:pt idx="29">
                  <c:v>7.8821785455174906E-6</c:v>
                </c:pt>
                <c:pt idx="30">
                  <c:v>7.9269067046659501E-6</c:v>
                </c:pt>
                <c:pt idx="31">
                  <c:v>7.9645874454874506E-6</c:v>
                </c:pt>
                <c:pt idx="32">
                  <c:v>7.9959128671153906E-6</c:v>
                </c:pt>
                <c:pt idx="33">
                  <c:v>8.0215335131752597E-6</c:v>
                </c:pt>
                <c:pt idx="34">
                  <c:v>8.0420572411259494E-6</c:v>
                </c:pt>
                <c:pt idx="35">
                  <c:v>8.0580484148891697E-6</c:v>
                </c:pt>
                <c:pt idx="36">
                  <c:v>8.0700273780248001E-6</c:v>
                </c:pt>
                <c:pt idx="37">
                  <c:v>8.0784701681133906E-6</c:v>
                </c:pt>
                <c:pt idx="38">
                  <c:v>8.0838084363854204E-6</c:v>
                </c:pt>
                <c:pt idx="39">
                  <c:v>8.0864295399789303E-6</c:v>
                </c:pt>
                <c:pt idx="40">
                  <c:v>8.0866767775044707E-6</c:v>
                </c:pt>
                <c:pt idx="41">
                  <c:v>8.08484974184165E-6</c:v>
                </c:pt>
                <c:pt idx="42">
                  <c:v>8.0812047672805101E-6</c:v>
                </c:pt>
                <c:pt idx="43">
                  <c:v>8.0759554512503505E-6</c:v>
                </c:pt>
                <c:pt idx="44">
                  <c:v>8.06927323394708E-6</c:v>
                </c:pt>
                <c:pt idx="45">
                  <c:v>8.0612880221768293E-6</c:v>
                </c:pt>
                <c:pt idx="46">
                  <c:v>8.0520888466797896E-6</c:v>
                </c:pt>
                <c:pt idx="47">
                  <c:v>8.0417245450849904E-6</c:v>
                </c:pt>
                <c:pt idx="48">
                  <c:v>8.0302044654767993E-6</c:v>
                </c:pt>
                <c:pt idx="49">
                  <c:v>8.0174991883290392E-6</c:v>
                </c:pt>
                <c:pt idx="50">
                  <c:v>8.0035412672870294E-6</c:v>
                </c:pt>
                <c:pt idx="51">
                  <c:v>7.9882259919527706E-6</c:v>
                </c:pt>
                <c:pt idx="52">
                  <c:v>7.9714121784587399E-6</c:v>
                </c:pt>
                <c:pt idx="53">
                  <c:v>7.9529229962020408E-6</c:v>
                </c:pt>
                <c:pt idx="54">
                  <c:v>7.9325468416565207E-6</c:v>
                </c:pt>
                <c:pt idx="55">
                  <c:v>7.9100382726862902E-6</c:v>
                </c:pt>
                <c:pt idx="56">
                  <c:v>7.8851190192519107E-6</c:v>
                </c:pt>
                <c:pt idx="57">
                  <c:v>7.8574790888279198E-6</c:v>
                </c:pt>
                <c:pt idx="58">
                  <c:v>7.8267779872383704E-6</c:v>
                </c:pt>
                <c:pt idx="59">
                  <c:v>7.7926460779609901E-6</c:v>
                </c:pt>
                <c:pt idx="60">
                  <c:v>7.7546861052469308E-6</c:v>
                </c:pt>
                <c:pt idx="61">
                  <c:v>7.7124749086463E-6</c:v>
                </c:pt>
                <c:pt idx="62">
                  <c:v>7.6655653587110306E-6</c:v>
                </c:pt>
                <c:pt idx="63">
                  <c:v>7.61348854575775E-6</c:v>
                </c:pt>
                <c:pt idx="64">
                  <c:v>7.5557562556011299E-6</c:v>
                </c:pt>
                <c:pt idx="65">
                  <c:v>7.4918637680995197E-6</c:v>
                </c:pt>
                <c:pt idx="66">
                  <c:v>7.4212930161722599E-6</c:v>
                </c:pt>
                <c:pt idx="67">
                  <c:v>7.3435161446329896E-6</c:v>
                </c:pt>
                <c:pt idx="68">
                  <c:v>7.2579995097138197E-6</c:v>
                </c:pt>
                <c:pt idx="69">
                  <c:v>7.1642081615055603E-6</c:v>
                </c:pt>
                <c:pt idx="70">
                  <c:v>7.0616108526825597E-6</c:v>
                </c:pt>
                <c:pt idx="71">
                  <c:v>6.9496856177849602E-6</c:v>
                </c:pt>
                <c:pt idx="72">
                  <c:v>6.8279259679617298E-6</c:v>
                </c:pt>
                <c:pt idx="73">
                  <c:v>6.6958477463983296E-6</c:v>
                </c:pt>
                <c:pt idx="74">
                  <c:v>6.5529966896188202E-6</c:v>
                </c:pt>
                <c:pt idx="75">
                  <c:v>6.39895673942173E-6</c:v>
                </c:pt>
                <c:pt idx="76">
                  <c:v>6.2333591493310199E-6</c:v>
                </c:pt>
                <c:pt idx="77">
                  <c:v>6.0558924280660101E-6</c:v>
                </c:pt>
                <c:pt idx="78">
                  <c:v>5.8663131606011303E-6</c:v>
                </c:pt>
                <c:pt idx="79">
                  <c:v>5.6644577448378399E-6</c:v>
                </c:pt>
                <c:pt idx="80">
                  <c:v>5.4502550786815803E-6</c:v>
                </c:pt>
                <c:pt idx="81">
                  <c:v>5.2237402283414401E-6</c:v>
                </c:pt>
                <c:pt idx="82">
                  <c:v>4.9850691038755697E-6</c:v>
                </c:pt>
                <c:pt idx="83">
                  <c:v>4.7345341623188302E-6</c:v>
                </c:pt>
                <c:pt idx="84">
                  <c:v>4.4725811520715002E-6</c:v>
                </c:pt>
                <c:pt idx="85">
                  <c:v>4.1998269045209102E-6</c:v>
                </c:pt>
                <c:pt idx="86">
                  <c:v>3.9170781700253597E-6</c:v>
                </c:pt>
                <c:pt idx="87">
                  <c:v>3.62535148533003E-6</c:v>
                </c:pt>
                <c:pt idx="88">
                  <c:v>3.3258940481184002E-6</c:v>
                </c:pt>
                <c:pt idx="89">
                  <c:v>3.0202055616421099E-6</c:v>
                </c:pt>
                <c:pt idx="90">
                  <c:v>2.7100609981308601E-6</c:v>
                </c:pt>
                <c:pt idx="91">
                  <c:v>2.3975342138705701E-6</c:v>
                </c:pt>
                <c:pt idx="92">
                  <c:v>2.08502233136849E-6</c:v>
                </c:pt>
                <c:pt idx="93">
                  <c:v>1.7752707848089801E-6</c:v>
                </c:pt>
                <c:pt idx="94">
                  <c:v>1.4713989039667701E-6</c:v>
                </c:pt>
                <c:pt idx="95">
                  <c:v>1.17692588880259E-6</c:v>
                </c:pt>
                <c:pt idx="96">
                  <c:v>8.9579700204847802E-7</c:v>
                </c:pt>
                <c:pt idx="97">
                  <c:v>6.3240978013542403E-7</c:v>
                </c:pt>
                <c:pt idx="98">
                  <c:v>3.91640033758762E-7</c:v>
                </c:pt>
                <c:pt idx="99">
                  <c:v>1.7886737818160501E-7</c:v>
                </c:pt>
                <c:pt idx="100">
                  <c:v>1.0967761449769199E-18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6-4ADB-9566-67F495EBA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018272"/>
        <c:axId val="1008510432"/>
      </c:scatterChart>
      <c:valAx>
        <c:axId val="10100182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 [L]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10432"/>
        <c:crosses val="autoZero"/>
        <c:crossBetween val="midCat"/>
      </c:valAx>
      <c:valAx>
        <c:axId val="10085104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z meridional coordinate [mm]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018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1083633437507963"/>
          <c:y val="0.85928664565514845"/>
          <c:w val="0.1095549769125207"/>
          <c:h val="8.8006988672327688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971781235154166E-2"/>
          <c:y val="9.6862176156210622E-2"/>
          <c:w val="0.94855964163169781"/>
          <c:h val="0.88071490599873603"/>
        </c:manualLayout>
      </c:layout>
      <c:scatterChart>
        <c:scatterStyle val="lineMarker"/>
        <c:varyColors val="0"/>
        <c:ser>
          <c:idx val="1"/>
          <c:order val="0"/>
          <c:tx>
            <c:v>σφ_in (thin theory)</c:v>
          </c:tx>
          <c:spPr>
            <a:ln>
              <a:solidFill>
                <a:srgbClr val="FF8B8B"/>
              </a:solidFill>
            </a:ln>
          </c:spPr>
          <c:marker>
            <c:symbol val="none"/>
          </c:marker>
          <c:xVal>
            <c:numRef>
              <c:f>'Thin theory'!$Z$2:$Z$102</c:f>
              <c:numCache>
                <c:formatCode>0.000000</c:formatCode>
                <c:ptCount val="101"/>
                <c:pt idx="0">
                  <c:v>-1</c:v>
                </c:pt>
                <c:pt idx="1">
                  <c:v>-1.03258296985465</c:v>
                </c:pt>
                <c:pt idx="2">
                  <c:v>-1.0609543194964479</c:v>
                </c:pt>
                <c:pt idx="3">
                  <c:v>-1.0854002519786892</c:v>
                </c:pt>
                <c:pt idx="4">
                  <c:v>-1.1062028548735898</c:v>
                </c:pt>
                <c:pt idx="5">
                  <c:v>-1.1236384286284871</c:v>
                </c:pt>
                <c:pt idx="6">
                  <c:v>-1.1379760636451406</c:v>
                </c:pt>
                <c:pt idx="7">
                  <c:v>-1.1494764472408099</c:v>
                </c:pt>
                <c:pt idx="8">
                  <c:v>-1.1583908821392488</c:v>
                </c:pt>
                <c:pt idx="9">
                  <c:v>-1.1649604987108875</c:v>
                </c:pt>
                <c:pt idx="10">
                  <c:v>-1.1694156438197316</c:v>
                </c:pt>
                <c:pt idx="11">
                  <c:v>-1.1719754298267948</c:v>
                </c:pt>
                <c:pt idx="12">
                  <c:v>-1.1728474280340131</c:v>
                </c:pt>
                <c:pt idx="13">
                  <c:v>-1.1722274916177096</c:v>
                </c:pt>
                <c:pt idx="14">
                  <c:v>-1.1702996938868808</c:v>
                </c:pt>
                <c:pt idx="15">
                  <c:v>-1.1672363685000291</c:v>
                </c:pt>
                <c:pt idx="16">
                  <c:v>-1.1631982390770732</c:v>
                </c:pt>
                <c:pt idx="17">
                  <c:v>-1.1583346264430954</c:v>
                </c:pt>
                <c:pt idx="18">
                  <c:v>-1.1527837225321755</c:v>
                </c:pt>
                <c:pt idx="19">
                  <c:v>-1.1466729207570538</c:v>
                </c:pt>
                <c:pt idx="20">
                  <c:v>-1.1401191934092563</c:v>
                </c:pt>
                <c:pt idx="21">
                  <c:v>-1.1332295073907961</c:v>
                </c:pt>
                <c:pt idx="22">
                  <c:v>-1.1261012702893602</c:v>
                </c:pt>
                <c:pt idx="23">
                  <c:v>-1.1188227994914126</c:v>
                </c:pt>
                <c:pt idx="24">
                  <c:v>-1.1114738076798121</c:v>
                </c:pt>
                <c:pt idx="25">
                  <c:v>-1.1041258986827602</c:v>
                </c:pt>
                <c:pt idx="26">
                  <c:v>-1.0968430682280463</c:v>
                </c:pt>
                <c:pt idx="27">
                  <c:v>-1.0896822047099324</c:v>
                </c:pt>
                <c:pt idx="28">
                  <c:v>-1.0826935855952728</c:v>
                </c:pt>
                <c:pt idx="29">
                  <c:v>-1.0759213655805919</c:v>
                </c:pt>
                <c:pt idx="30">
                  <c:v>-1.069404053063121</c:v>
                </c:pt>
                <c:pt idx="31">
                  <c:v>-1.0631749719068273</c:v>
                </c:pt>
                <c:pt idx="32">
                  <c:v>-1.0572627058699759</c:v>
                </c:pt>
                <c:pt idx="33">
                  <c:v>-1.0516915234148185</c:v>
                </c:pt>
                <c:pt idx="34">
                  <c:v>-1.0464817809437352</c:v>
                </c:pt>
                <c:pt idx="35">
                  <c:v>-1.0416503028009192</c:v>
                </c:pt>
                <c:pt idx="36">
                  <c:v>-1.0372107366459566</c:v>
                </c:pt>
                <c:pt idx="37">
                  <c:v>-1.0331738830469994</c:v>
                </c:pt>
                <c:pt idx="38">
                  <c:v>-1.0295479983583278</c:v>
                </c:pt>
                <c:pt idx="39">
                  <c:v>-1.0263390701417179</c:v>
                </c:pt>
                <c:pt idx="40">
                  <c:v>-1.0235510645649872</c:v>
                </c:pt>
                <c:pt idx="41">
                  <c:v>-1.0211861453662512</c:v>
                </c:pt>
                <c:pt idx="42">
                  <c:v>-1.0192448641107081</c:v>
                </c:pt>
                <c:pt idx="43">
                  <c:v>-1.0177263215901176</c:v>
                </c:pt>
                <c:pt idx="44">
                  <c:v>-1.0166283003254852</c:v>
                </c:pt>
                <c:pt idx="45">
                  <c:v>-1.0159473682328253</c:v>
                </c:pt>
                <c:pt idx="46">
                  <c:v>-1.0156789536021573</c:v>
                </c:pt>
                <c:pt idx="47">
                  <c:v>-1.0158173916231306</c:v>
                </c:pt>
                <c:pt idx="48">
                  <c:v>-1.0163559427687603</c:v>
                </c:pt>
                <c:pt idx="49">
                  <c:v>-1.0172867834236943</c:v>
                </c:pt>
                <c:pt idx="50">
                  <c:v>-1.0186009692170885</c:v>
                </c:pt>
                <c:pt idx="51">
                  <c:v>-1.0202883715944668</c:v>
                </c:pt>
                <c:pt idx="52">
                  <c:v>-1.0223375882397454</c:v>
                </c:pt>
                <c:pt idx="53">
                  <c:v>-1.0247358280397107</c:v>
                </c:pt>
                <c:pt idx="54">
                  <c:v>-1.0274687713704695</c:v>
                </c:pt>
                <c:pt idx="55">
                  <c:v>-1.0305204065804519</c:v>
                </c:pt>
                <c:pt idx="56">
                  <c:v>-1.0338728436491442</c:v>
                </c:pt>
                <c:pt idx="57">
                  <c:v>-1.0375061061164652</c:v>
                </c:pt>
                <c:pt idx="58">
                  <c:v>-1.0413979025061471</c:v>
                </c:pt>
                <c:pt idx="59">
                  <c:v>-1.0455233786091132</c:v>
                </c:pt>
                <c:pt idx="60">
                  <c:v>-1.0498548521510667</c:v>
                </c:pt>
                <c:pt idx="61">
                  <c:v>-1.0543615315436055</c:v>
                </c:pt>
                <c:pt idx="62">
                  <c:v>-1.0590092206113786</c:v>
                </c:pt>
                <c:pt idx="63">
                  <c:v>-1.0637600114001713</c:v>
                </c:pt>
                <c:pt idx="64">
                  <c:v>-1.0685719674032976</c:v>
                </c:pt>
                <c:pt idx="65">
                  <c:v>-1.073398799797127</c:v>
                </c:pt>
                <c:pt idx="66">
                  <c:v>-1.0781895395515915</c:v>
                </c:pt>
                <c:pt idx="67">
                  <c:v>-1.0828882085786151</c:v>
                </c:pt>
                <c:pt idx="68">
                  <c:v>-1.0874334934008467</c:v>
                </c:pt>
                <c:pt idx="69">
                  <c:v>-1.0917584251649084</c:v>
                </c:pt>
                <c:pt idx="70">
                  <c:v>-1.0957900701874479</c:v>
                </c:pt>
                <c:pt idx="71">
                  <c:v>-1.0994492356081387</c:v>
                </c:pt>
                <c:pt idx="72">
                  <c:v>-1.1026501951306991</c:v>
                </c:pt>
                <c:pt idx="73">
                  <c:v>-1.105300440259966</c:v>
                </c:pt>
                <c:pt idx="74">
                  <c:v>-1.1073004628886702</c:v>
                </c:pt>
                <c:pt idx="75">
                  <c:v>-1.1085435755500945</c:v>
                </c:pt>
                <c:pt idx="76">
                  <c:v>-1.1089157761300859</c:v>
                </c:pt>
                <c:pt idx="77">
                  <c:v>-1.1082956643213817</c:v>
                </c:pt>
                <c:pt idx="78">
                  <c:v>-1.1065544176018476</c:v>
                </c:pt>
                <c:pt idx="79">
                  <c:v>-1.1035558350224672</c:v>
                </c:pt>
                <c:pt idx="80">
                  <c:v>-1.0991564575967288</c:v>
                </c:pt>
                <c:pt idx="81">
                  <c:v>-1.0932057745857502</c:v>
                </c:pt>
                <c:pt idx="82">
                  <c:v>-1.0855465254678782</c:v>
                </c:pt>
                <c:pt idx="83">
                  <c:v>-1.0760151078616791</c:v>
                </c:pt>
                <c:pt idx="84">
                  <c:v>-1.0644421021307184</c:v>
                </c:pt>
                <c:pt idx="85">
                  <c:v>-1.0506529238300222</c:v>
                </c:pt>
                <c:pt idx="86">
                  <c:v>-1.0344686155496918</c:v>
                </c:pt>
                <c:pt idx="87">
                  <c:v>-1.0157067900620507</c:v>
                </c:pt>
                <c:pt idx="88">
                  <c:v>-0.99418273697544635</c:v>
                </c:pt>
                <c:pt idx="89">
                  <c:v>-0.96971070533003956</c:v>
                </c:pt>
                <c:pt idx="90">
                  <c:v>-0.94210537472748501</c:v>
                </c:pt>
                <c:pt idx="91">
                  <c:v>-0.91118352765527011</c:v>
                </c:pt>
                <c:pt idx="92">
                  <c:v>-0.87676593563480276</c:v>
                </c:pt>
                <c:pt idx="93">
                  <c:v>-0.83867947167640255</c:v>
                </c:pt>
                <c:pt idx="94">
                  <c:v>-0.79675946124949404</c:v>
                </c:pt>
                <c:pt idx="95">
                  <c:v>-0.75085228355719291</c:v>
                </c:pt>
                <c:pt idx="96">
                  <c:v>-0.70081823432472712</c:v>
                </c:pt>
                <c:pt idx="97">
                  <c:v>-0.64653466055374254</c:v>
                </c:pt>
                <c:pt idx="98">
                  <c:v>-0.58789937674167136</c:v>
                </c:pt>
                <c:pt idx="99">
                  <c:v>-0.52483437089834528</c:v>
                </c:pt>
                <c:pt idx="100">
                  <c:v>-0.45728980729188973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DE-4347-B981-6EECC2F523A6}"/>
            </c:ext>
          </c:extLst>
        </c:ser>
        <c:ser>
          <c:idx val="0"/>
          <c:order val="1"/>
          <c:tx>
            <c:v>σφ_mid (thin theory)</c:v>
          </c:tx>
          <c:spPr>
            <a:ln w="38100" cap="rnd">
              <a:solidFill>
                <a:srgbClr val="FF0101"/>
              </a:solidFill>
              <a:round/>
            </a:ln>
            <a:effectLst/>
          </c:spPr>
          <c:marker>
            <c:symbol val="none"/>
          </c:marker>
          <c:xVal>
            <c:numRef>
              <c:f>'Thin theory'!$AA$2:$AA$102</c:f>
              <c:numCache>
                <c:formatCode>0.000000</c:formatCode>
                <c:ptCount val="10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DE-4347-B981-6EECC2F523A6}"/>
            </c:ext>
          </c:extLst>
        </c:ser>
        <c:ser>
          <c:idx val="2"/>
          <c:order val="2"/>
          <c:tx>
            <c:v>σφ_out (thin theory)</c:v>
          </c:tx>
          <c:spPr>
            <a:ln>
              <a:solidFill>
                <a:srgbClr val="820000"/>
              </a:solidFill>
            </a:ln>
          </c:spPr>
          <c:marker>
            <c:symbol val="none"/>
          </c:marker>
          <c:xVal>
            <c:numRef>
              <c:f>'Thin theory'!$AB$2:$AB$102</c:f>
              <c:numCache>
                <c:formatCode>0.000000</c:formatCode>
                <c:ptCount val="101"/>
                <c:pt idx="0">
                  <c:v>-1</c:v>
                </c:pt>
                <c:pt idx="1">
                  <c:v>-0.96741703014534997</c:v>
                </c:pt>
                <c:pt idx="2">
                  <c:v>-0.93904568050355197</c:v>
                </c:pt>
                <c:pt idx="3">
                  <c:v>-0.91459974802131083</c:v>
                </c:pt>
                <c:pt idx="4">
                  <c:v>-0.89379714512641018</c:v>
                </c:pt>
                <c:pt idx="5">
                  <c:v>-0.87636157137151294</c:v>
                </c:pt>
                <c:pt idx="6">
                  <c:v>-0.8620239363548593</c:v>
                </c:pt>
                <c:pt idx="7">
                  <c:v>-0.85052355275919012</c:v>
                </c:pt>
                <c:pt idx="8">
                  <c:v>-0.84160911786075121</c:v>
                </c:pt>
                <c:pt idx="9">
                  <c:v>-0.83503950128911253</c:v>
                </c:pt>
                <c:pt idx="10">
                  <c:v>-0.83058435618026849</c:v>
                </c:pt>
                <c:pt idx="11">
                  <c:v>-0.82802457017320519</c:v>
                </c:pt>
                <c:pt idx="12">
                  <c:v>-0.8271525719659869</c:v>
                </c:pt>
                <c:pt idx="13">
                  <c:v>-0.82777250838229055</c:v>
                </c:pt>
                <c:pt idx="14">
                  <c:v>-0.82970030611311907</c:v>
                </c:pt>
                <c:pt idx="15">
                  <c:v>-0.83276363149997079</c:v>
                </c:pt>
                <c:pt idx="16">
                  <c:v>-0.8368017609229268</c:v>
                </c:pt>
                <c:pt idx="17">
                  <c:v>-0.84166537355690474</c:v>
                </c:pt>
                <c:pt idx="18">
                  <c:v>-0.84721627746782435</c:v>
                </c:pt>
                <c:pt idx="19">
                  <c:v>-0.85332707924294604</c:v>
                </c:pt>
                <c:pt idx="20">
                  <c:v>-0.85988080659074373</c:v>
                </c:pt>
                <c:pt idx="21">
                  <c:v>-0.86677049260920391</c:v>
                </c:pt>
                <c:pt idx="22">
                  <c:v>-0.87389872971063975</c:v>
                </c:pt>
                <c:pt idx="23">
                  <c:v>-0.88117720050858739</c:v>
                </c:pt>
                <c:pt idx="24">
                  <c:v>-0.88852619232018792</c:v>
                </c:pt>
                <c:pt idx="25">
                  <c:v>-0.89587410131723966</c:v>
                </c:pt>
                <c:pt idx="26">
                  <c:v>-0.90315693177195355</c:v>
                </c:pt>
                <c:pt idx="27">
                  <c:v>-0.91031779529006762</c:v>
                </c:pt>
                <c:pt idx="28">
                  <c:v>-0.91730641440472716</c:v>
                </c:pt>
                <c:pt idx="29">
                  <c:v>-0.92407863441940807</c:v>
                </c:pt>
                <c:pt idx="30">
                  <c:v>-0.93059594693687908</c:v>
                </c:pt>
                <c:pt idx="31">
                  <c:v>-0.9368250280931727</c:v>
                </c:pt>
                <c:pt idx="32">
                  <c:v>-0.94273729413002405</c:v>
                </c:pt>
                <c:pt idx="33">
                  <c:v>-0.94830847658518147</c:v>
                </c:pt>
                <c:pt idx="34">
                  <c:v>-0.95351821905626477</c:v>
                </c:pt>
                <c:pt idx="35">
                  <c:v>-0.95834969719908081</c:v>
                </c:pt>
                <c:pt idx="36">
                  <c:v>-0.96278926335404347</c:v>
                </c:pt>
                <c:pt idx="37">
                  <c:v>-0.96682611695300058</c:v>
                </c:pt>
                <c:pt idx="38">
                  <c:v>-0.97045200164167222</c:v>
                </c:pt>
                <c:pt idx="39">
                  <c:v>-0.97366092985828212</c:v>
                </c:pt>
                <c:pt idx="40">
                  <c:v>-0.97644893543501265</c:v>
                </c:pt>
                <c:pt idx="41">
                  <c:v>-0.97881385463374881</c:v>
                </c:pt>
                <c:pt idx="42">
                  <c:v>-0.98075513588929175</c:v>
                </c:pt>
                <c:pt idx="43">
                  <c:v>-0.98227367840988244</c:v>
                </c:pt>
                <c:pt idx="44">
                  <c:v>-0.98337169967451477</c:v>
                </c:pt>
                <c:pt idx="45">
                  <c:v>-0.98405263176717472</c:v>
                </c:pt>
                <c:pt idx="46">
                  <c:v>-0.98432104639784257</c:v>
                </c:pt>
                <c:pt idx="47">
                  <c:v>-0.98418260837686944</c:v>
                </c:pt>
                <c:pt idx="48">
                  <c:v>-0.98364405723123982</c:v>
                </c:pt>
                <c:pt idx="49">
                  <c:v>-0.98271321657630561</c:v>
                </c:pt>
                <c:pt idx="50">
                  <c:v>-0.98139903078291146</c:v>
                </c:pt>
                <c:pt idx="51">
                  <c:v>-0.97971162840553316</c:v>
                </c:pt>
                <c:pt idx="52">
                  <c:v>-0.97766241176025459</c:v>
                </c:pt>
                <c:pt idx="53">
                  <c:v>-0.97526417196028914</c:v>
                </c:pt>
                <c:pt idx="54">
                  <c:v>-0.97253122862953034</c:v>
                </c:pt>
                <c:pt idx="55">
                  <c:v>-0.96947959341954815</c:v>
                </c:pt>
                <c:pt idx="56">
                  <c:v>-0.96612715635085589</c:v>
                </c:pt>
                <c:pt idx="57">
                  <c:v>-0.9624938938835349</c:v>
                </c:pt>
                <c:pt idx="58">
                  <c:v>-0.95860209749385306</c:v>
                </c:pt>
                <c:pt idx="59">
                  <c:v>-0.95447662139088685</c:v>
                </c:pt>
                <c:pt idx="60">
                  <c:v>-0.95014514784893334</c:v>
                </c:pt>
                <c:pt idx="61">
                  <c:v>-0.94563846845639454</c:v>
                </c:pt>
                <c:pt idx="62">
                  <c:v>-0.9409907793886213</c:v>
                </c:pt>
                <c:pt idx="63">
                  <c:v>-0.93623998859982871</c:v>
                </c:pt>
                <c:pt idx="64">
                  <c:v>-0.93142803259670248</c:v>
                </c:pt>
                <c:pt idx="65">
                  <c:v>-0.92660120020287295</c:v>
                </c:pt>
                <c:pt idx="66">
                  <c:v>-0.92181046044840853</c:v>
                </c:pt>
                <c:pt idx="67">
                  <c:v>-0.91711179142138488</c:v>
                </c:pt>
                <c:pt idx="68">
                  <c:v>-0.91256650659915328</c:v>
                </c:pt>
                <c:pt idx="69">
                  <c:v>-0.9082415748350916</c:v>
                </c:pt>
                <c:pt idx="70">
                  <c:v>-0.9042099298125521</c:v>
                </c:pt>
                <c:pt idx="71">
                  <c:v>-0.90055076439186132</c:v>
                </c:pt>
                <c:pt idx="72">
                  <c:v>-0.89734980486930094</c:v>
                </c:pt>
                <c:pt idx="73">
                  <c:v>-0.89469955974003401</c:v>
                </c:pt>
                <c:pt idx="74">
                  <c:v>-0.89269953711132977</c:v>
                </c:pt>
                <c:pt idx="75">
                  <c:v>-0.89145642444990536</c:v>
                </c:pt>
                <c:pt idx="76">
                  <c:v>-0.89108422386991415</c:v>
                </c:pt>
                <c:pt idx="77">
                  <c:v>-0.89170433567861818</c:v>
                </c:pt>
                <c:pt idx="78">
                  <c:v>-0.89344558239815242</c:v>
                </c:pt>
                <c:pt idx="79">
                  <c:v>-0.89644416497753265</c:v>
                </c:pt>
                <c:pt idx="80">
                  <c:v>-0.90084354240327136</c:v>
                </c:pt>
                <c:pt idx="81">
                  <c:v>-0.90679422541424981</c:v>
                </c:pt>
                <c:pt idx="82">
                  <c:v>-0.91445347453212178</c:v>
                </c:pt>
                <c:pt idx="83">
                  <c:v>-0.92398489213832091</c:v>
                </c:pt>
                <c:pt idx="84">
                  <c:v>-0.93555789786928156</c:v>
                </c:pt>
                <c:pt idx="85">
                  <c:v>-0.94934707616997771</c:v>
                </c:pt>
                <c:pt idx="86">
                  <c:v>-0.96553138445030806</c:v>
                </c:pt>
                <c:pt idx="87">
                  <c:v>-0.98429320993794933</c:v>
                </c:pt>
                <c:pt idx="88">
                  <c:v>-1.0058172630245537</c:v>
                </c:pt>
                <c:pt idx="89">
                  <c:v>-1.0302892946699604</c:v>
                </c:pt>
                <c:pt idx="90">
                  <c:v>-1.057894625272515</c:v>
                </c:pt>
                <c:pt idx="91">
                  <c:v>-1.08881647234473</c:v>
                </c:pt>
                <c:pt idx="92">
                  <c:v>-1.1232340643651972</c:v>
                </c:pt>
                <c:pt idx="93">
                  <c:v>-1.1613205283235974</c:v>
                </c:pt>
                <c:pt idx="94">
                  <c:v>-1.2032405387505061</c:v>
                </c:pt>
                <c:pt idx="95">
                  <c:v>-1.2491477164428071</c:v>
                </c:pt>
                <c:pt idx="96">
                  <c:v>-1.2991817656752729</c:v>
                </c:pt>
                <c:pt idx="97">
                  <c:v>-1.3534653394462575</c:v>
                </c:pt>
                <c:pt idx="98">
                  <c:v>-1.4121006232583286</c:v>
                </c:pt>
                <c:pt idx="99">
                  <c:v>-1.4751656291016548</c:v>
                </c:pt>
                <c:pt idx="100">
                  <c:v>-1.5427101927081104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DE-4347-B981-6EECC2F523A6}"/>
            </c:ext>
          </c:extLst>
        </c:ser>
        <c:ser>
          <c:idx val="3"/>
          <c:order val="3"/>
          <c:tx>
            <c:v>σφ_in (thick theory)</c:v>
          </c:tx>
          <c:spPr>
            <a:ln>
              <a:solidFill>
                <a:srgbClr val="7979FF"/>
              </a:solidFill>
            </a:ln>
          </c:spPr>
          <c:marker>
            <c:symbol val="none"/>
          </c:marker>
          <c:xVal>
            <c:numRef>
              <c:f>'Thick theory'!$AD$2:$AD$102</c:f>
              <c:numCache>
                <c:formatCode>0.000000</c:formatCode>
                <c:ptCount val="101"/>
                <c:pt idx="0">
                  <c:v>-1</c:v>
                </c:pt>
                <c:pt idx="1">
                  <c:v>-1.0311205027445902</c:v>
                </c:pt>
                <c:pt idx="2">
                  <c:v>-1.0580651314301397</c:v>
                </c:pt>
                <c:pt idx="3">
                  <c:v>-1.0811500042180424</c:v>
                </c:pt>
                <c:pt idx="4">
                  <c:v>-1.1006812977150326</c:v>
                </c:pt>
                <c:pt idx="5">
                  <c:v>-1.1169541454402072</c:v>
                </c:pt>
                <c:pt idx="6">
                  <c:v>-1.1302517617515633</c:v>
                </c:pt>
                <c:pt idx="7">
                  <c:v>-1.1408447697296631</c:v>
                </c:pt>
                <c:pt idx="8">
                  <c:v>-1.1489907126455658</c:v>
                </c:pt>
                <c:pt idx="9">
                  <c:v>-1.1549337297839273</c:v>
                </c:pt>
                <c:pt idx="10">
                  <c:v>-1.1589043785395461</c:v>
                </c:pt>
                <c:pt idx="11">
                  <c:v>-1.1611195858471948</c:v>
                </c:pt>
                <c:pt idx="12">
                  <c:v>-1.1617827131318483</c:v>
                </c:pt>
                <c:pt idx="13">
                  <c:v>-1.1610837200727693</c:v>
                </c:pt>
                <c:pt idx="14">
                  <c:v>-1.1591994135538535</c:v>
                </c:pt>
                <c:pt idx="15">
                  <c:v>-1.156293769219362</c:v>
                </c:pt>
                <c:pt idx="16">
                  <c:v>-1.1525183140644817</c:v>
                </c:pt>
                <c:pt idx="17">
                  <c:v>-1.1480125594604307</c:v>
                </c:pt>
                <c:pt idx="18">
                  <c:v>-1.1429044749417629</c:v>
                </c:pt>
                <c:pt idx="19">
                  <c:v>-1.1373109939667976</c:v>
                </c:pt>
                <c:pt idx="20">
                  <c:v>-1.1313385436994285</c:v>
                </c:pt>
                <c:pt idx="21">
                  <c:v>-1.1250835916511208</c:v>
                </c:pt>
                <c:pt idx="22">
                  <c:v>-1.1186332027651591</c:v>
                </c:pt>
                <c:pt idx="23">
                  <c:v>-1.11206560122119</c:v>
                </c:pt>
                <c:pt idx="24">
                  <c:v>-1.1054507318872555</c:v>
                </c:pt>
                <c:pt idx="25">
                  <c:v>-1.0988508169494078</c:v>
                </c:pt>
                <c:pt idx="26">
                  <c:v>-1.0923209038066839</c:v>
                </c:pt>
                <c:pt idx="27">
                  <c:v>-1.0859094008327765</c:v>
                </c:pt>
                <c:pt idx="28">
                  <c:v>-1.0796585980768074</c:v>
                </c:pt>
                <c:pt idx="29">
                  <c:v>-1.0736051704052809</c:v>
                </c:pt>
                <c:pt idx="30">
                  <c:v>-1.0677806609779088</c:v>
                </c:pt>
                <c:pt idx="31">
                  <c:v>-1.0622119433026855</c:v>
                </c:pt>
                <c:pt idx="32">
                  <c:v>-1.0569216604327958</c:v>
                </c:pt>
                <c:pt idx="33">
                  <c:v>-1.0519286401512153</c:v>
                </c:pt>
                <c:pt idx="34">
                  <c:v>-1.0472482852404523</c:v>
                </c:pt>
                <c:pt idx="35">
                  <c:v>-1.0428929381567804</c:v>
                </c:pt>
                <c:pt idx="36">
                  <c:v>-1.0388722196223392</c:v>
                </c:pt>
                <c:pt idx="37">
                  <c:v>-1.0351933408170775</c:v>
                </c:pt>
                <c:pt idx="38">
                  <c:v>-1.0318613889973753</c:v>
                </c:pt>
                <c:pt idx="39">
                  <c:v>-1.0288795864914506</c:v>
                </c:pt>
                <c:pt idx="40">
                  <c:v>-1.0262495231255033</c:v>
                </c:pt>
                <c:pt idx="41">
                  <c:v>-1.0239713622205679</c:v>
                </c:pt>
                <c:pt idx="42">
                  <c:v>-1.0220440203706529</c:v>
                </c:pt>
                <c:pt idx="43">
                  <c:v>-1.0204653212694392</c:v>
                </c:pt>
                <c:pt idx="44">
                  <c:v>-1.0192321238977575</c:v>
                </c:pt>
                <c:pt idx="45">
                  <c:v>-1.0183404254189159</c:v>
                </c:pt>
                <c:pt idx="46">
                  <c:v>-1.0177854391556849</c:v>
                </c:pt>
                <c:pt idx="47">
                  <c:v>-1.0175616480428848</c:v>
                </c:pt>
                <c:pt idx="48">
                  <c:v>-1.017662833965161</c:v>
                </c:pt>
                <c:pt idx="49">
                  <c:v>-1.0180820834019184</c:v>
                </c:pt>
                <c:pt idx="50">
                  <c:v>-1.0188117698126482</c:v>
                </c:pt>
                <c:pt idx="51">
                  <c:v>-1.0198435132072317</c:v>
                </c:pt>
                <c:pt idx="52">
                  <c:v>-1.0211681173592067</c:v>
                </c:pt>
                <c:pt idx="53">
                  <c:v>-1.0227754851367721</c:v>
                </c:pt>
                <c:pt idx="54">
                  <c:v>-1.0246545124480635</c:v>
                </c:pt>
                <c:pt idx="55">
                  <c:v>-1.0267929613257272</c:v>
                </c:pt>
                <c:pt idx="56">
                  <c:v>-1.0291773127121209</c:v>
                </c:pt>
                <c:pt idx="57">
                  <c:v>-1.0317925995525123</c:v>
                </c:pt>
                <c:pt idx="58">
                  <c:v>-1.0346222208605464</c:v>
                </c:pt>
                <c:pt idx="59">
                  <c:v>-1.0376477374896484</c:v>
                </c:pt>
                <c:pt idx="60">
                  <c:v>-1.0408486504271852</c:v>
                </c:pt>
                <c:pt idx="61">
                  <c:v>-1.0442021625266746</c:v>
                </c:pt>
                <c:pt idx="62">
                  <c:v>-1.0476829247082236</c:v>
                </c:pt>
                <c:pt idx="63">
                  <c:v>-1.0512627677902104</c:v>
                </c:pt>
                <c:pt idx="64">
                  <c:v>-1.0549104212671661</c:v>
                </c:pt>
                <c:pt idx="65">
                  <c:v>-1.0585912205211048</c:v>
                </c:pt>
                <c:pt idx="66">
                  <c:v>-1.06226680414729</c:v>
                </c:pt>
                <c:pt idx="67">
                  <c:v>-1.0658948032918156</c:v>
                </c:pt>
                <c:pt idx="68">
                  <c:v>-1.0694285251383795</c:v>
                </c:pt>
                <c:pt idx="69">
                  <c:v>-1.072816632946026</c:v>
                </c:pt>
                <c:pt idx="70">
                  <c:v>-1.0760028253295308</c:v>
                </c:pt>
                <c:pt idx="71">
                  <c:v>-1.0789255177898538</c:v>
                </c:pt>
                <c:pt idx="72">
                  <c:v>-1.0815175298444855</c:v>
                </c:pt>
                <c:pt idx="73">
                  <c:v>-1.0837057814768074</c:v>
                </c:pt>
                <c:pt idx="74">
                  <c:v>-1.0854110030199384</c:v>
                </c:pt>
                <c:pt idx="75">
                  <c:v>-1.0865474630141467</c:v>
                </c:pt>
                <c:pt idx="76">
                  <c:v>-1.0870227190271471</c:v>
                </c:pt>
                <c:pt idx="77">
                  <c:v>-1.086737396903277</c:v>
                </c:pt>
                <c:pt idx="78">
                  <c:v>-1.0855850044096997</c:v>
                </c:pt>
                <c:pt idx="79">
                  <c:v>-1.0834517857741175</c:v>
                </c:pt>
                <c:pt idx="80">
                  <c:v>-1.0802166241578093</c:v>
                </c:pt>
                <c:pt idx="81">
                  <c:v>-1.075750999677705</c:v>
                </c:pt>
                <c:pt idx="82">
                  <c:v>-1.0699190111798522</c:v>
                </c:pt>
                <c:pt idx="83">
                  <c:v>-1.0625774705705668</c:v>
                </c:pt>
                <c:pt idx="84">
                  <c:v>-1.0535760791278517</c:v>
                </c:pt>
                <c:pt idx="85">
                  <c:v>-1.0427576958400353</c:v>
                </c:pt>
                <c:pt idx="86">
                  <c:v>-1.0299587084464263</c:v>
                </c:pt>
                <c:pt idx="87">
                  <c:v>-1.0150095184809698</c:v>
                </c:pt>
                <c:pt idx="88">
                  <c:v>-0.99773515223810527</c:v>
                </c:pt>
                <c:pt idx="89">
                  <c:v>-0.97795601018374068</c:v>
                </c:pt>
                <c:pt idx="90">
                  <c:v>-0.95548876791553361</c:v>
                </c:pt>
                <c:pt idx="91">
                  <c:v>-0.93014744232720814</c:v>
                </c:pt>
                <c:pt idx="92">
                  <c:v>-0.90174463714168129</c:v>
                </c:pt>
                <c:pt idx="93">
                  <c:v>-0.87009298243715416</c:v>
                </c:pt>
                <c:pt idx="94">
                  <c:v>-0.83500678318719102</c:v>
                </c:pt>
                <c:pt idx="95">
                  <c:v>-0.79630389215774389</c:v>
                </c:pt>
                <c:pt idx="96">
                  <c:v>-0.75380782273724856</c:v>
                </c:pt>
                <c:pt idx="97">
                  <c:v>-0.70735011740539777</c:v>
                </c:pt>
                <c:pt idx="98">
                  <c:v>-0.65677298755565805</c:v>
                </c:pt>
                <c:pt idx="99">
                  <c:v>-0.60193224025895142</c:v>
                </c:pt>
                <c:pt idx="100">
                  <c:v>-0.54270050727196795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DE-4347-B981-6EECC2F523A6}"/>
            </c:ext>
          </c:extLst>
        </c:ser>
        <c:ser>
          <c:idx val="4"/>
          <c:order val="4"/>
          <c:tx>
            <c:v>σφ_mid (thick theory)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'Thick theory'!$AE$2:$AE$102</c:f>
              <c:numCache>
                <c:formatCode>0.000000</c:formatCode>
                <c:ptCount val="101"/>
                <c:pt idx="0">
                  <c:v>-0.99999999999999989</c:v>
                </c:pt>
                <c:pt idx="1">
                  <c:v>-1.0000000000000009</c:v>
                </c:pt>
                <c:pt idx="2">
                  <c:v>-1.0000000000000004</c:v>
                </c:pt>
                <c:pt idx="3">
                  <c:v>-0.99999999999999956</c:v>
                </c:pt>
                <c:pt idx="4">
                  <c:v>-0.99999999999999967</c:v>
                </c:pt>
                <c:pt idx="5">
                  <c:v>-0.99999999999999956</c:v>
                </c:pt>
                <c:pt idx="6">
                  <c:v>-1.0000000000000007</c:v>
                </c:pt>
                <c:pt idx="7">
                  <c:v>-1.0000000000000004</c:v>
                </c:pt>
                <c:pt idx="8">
                  <c:v>-1</c:v>
                </c:pt>
                <c:pt idx="9">
                  <c:v>-1.0000000000000009</c:v>
                </c:pt>
                <c:pt idx="10">
                  <c:v>-1.0000000000000011</c:v>
                </c:pt>
                <c:pt idx="11">
                  <c:v>-1.0000000000000002</c:v>
                </c:pt>
                <c:pt idx="12">
                  <c:v>-1</c:v>
                </c:pt>
                <c:pt idx="13">
                  <c:v>-0.999999999999999</c:v>
                </c:pt>
                <c:pt idx="14">
                  <c:v>-1.0000000000000007</c:v>
                </c:pt>
                <c:pt idx="15">
                  <c:v>-0.99999999999999933</c:v>
                </c:pt>
                <c:pt idx="16">
                  <c:v>-0.99999999999999933</c:v>
                </c:pt>
                <c:pt idx="17">
                  <c:v>-0.99999999999999989</c:v>
                </c:pt>
                <c:pt idx="18">
                  <c:v>-1.0000000000000002</c:v>
                </c:pt>
                <c:pt idx="19">
                  <c:v>-0.99999999999999989</c:v>
                </c:pt>
                <c:pt idx="20">
                  <c:v>-1.0000000000000011</c:v>
                </c:pt>
                <c:pt idx="21">
                  <c:v>-1</c:v>
                </c:pt>
                <c:pt idx="22">
                  <c:v>-1.0000000000000009</c:v>
                </c:pt>
                <c:pt idx="23">
                  <c:v>-1.0000000000000011</c:v>
                </c:pt>
                <c:pt idx="24">
                  <c:v>-1.0000000000000007</c:v>
                </c:pt>
                <c:pt idx="25">
                  <c:v>-0.999999999999999</c:v>
                </c:pt>
                <c:pt idx="26">
                  <c:v>-1.0000000000000009</c:v>
                </c:pt>
                <c:pt idx="27">
                  <c:v>-0.99999999999999956</c:v>
                </c:pt>
                <c:pt idx="28">
                  <c:v>-1</c:v>
                </c:pt>
                <c:pt idx="29">
                  <c:v>-1</c:v>
                </c:pt>
                <c:pt idx="30">
                  <c:v>-1.0000000000000007</c:v>
                </c:pt>
                <c:pt idx="31">
                  <c:v>-1.0000000000000004</c:v>
                </c:pt>
                <c:pt idx="32">
                  <c:v>-0.99999999999999911</c:v>
                </c:pt>
                <c:pt idx="33">
                  <c:v>-1.0000000000000009</c:v>
                </c:pt>
                <c:pt idx="34">
                  <c:v>-1.0000000000000007</c:v>
                </c:pt>
                <c:pt idx="35">
                  <c:v>-1</c:v>
                </c:pt>
                <c:pt idx="36">
                  <c:v>-1.0000000000000004</c:v>
                </c:pt>
                <c:pt idx="37">
                  <c:v>-0.99999999999999911</c:v>
                </c:pt>
                <c:pt idx="38">
                  <c:v>-1.0000000000000011</c:v>
                </c:pt>
                <c:pt idx="39">
                  <c:v>-1.0000000000000009</c:v>
                </c:pt>
                <c:pt idx="40">
                  <c:v>-1.0000000000000004</c:v>
                </c:pt>
                <c:pt idx="41">
                  <c:v>-1</c:v>
                </c:pt>
                <c:pt idx="42">
                  <c:v>-0.99999999999999989</c:v>
                </c:pt>
                <c:pt idx="43">
                  <c:v>-0.99999999999999967</c:v>
                </c:pt>
                <c:pt idx="44">
                  <c:v>-1.0000000000000011</c:v>
                </c:pt>
                <c:pt idx="45">
                  <c:v>-1</c:v>
                </c:pt>
                <c:pt idx="46">
                  <c:v>-1.0000000000000007</c:v>
                </c:pt>
                <c:pt idx="47">
                  <c:v>-1</c:v>
                </c:pt>
                <c:pt idx="48">
                  <c:v>-1.0000000000000004</c:v>
                </c:pt>
                <c:pt idx="49">
                  <c:v>-0.99999999999999933</c:v>
                </c:pt>
                <c:pt idx="50">
                  <c:v>-0.99999999999999956</c:v>
                </c:pt>
                <c:pt idx="51">
                  <c:v>-1.0000000000000009</c:v>
                </c:pt>
                <c:pt idx="52">
                  <c:v>-0.999999999999999</c:v>
                </c:pt>
                <c:pt idx="53">
                  <c:v>-0.99999999999999956</c:v>
                </c:pt>
                <c:pt idx="54">
                  <c:v>-0.99999999999999967</c:v>
                </c:pt>
                <c:pt idx="55">
                  <c:v>-1.0000000000000004</c:v>
                </c:pt>
                <c:pt idx="56">
                  <c:v>-1.0000000000000011</c:v>
                </c:pt>
                <c:pt idx="57">
                  <c:v>-1.0000000000000011</c:v>
                </c:pt>
                <c:pt idx="58">
                  <c:v>-0.99999999999999956</c:v>
                </c:pt>
                <c:pt idx="59">
                  <c:v>-1</c:v>
                </c:pt>
                <c:pt idx="60">
                  <c:v>-1.0000000000000009</c:v>
                </c:pt>
                <c:pt idx="61">
                  <c:v>-1.0000000000000004</c:v>
                </c:pt>
                <c:pt idx="62">
                  <c:v>-0.99999999999999956</c:v>
                </c:pt>
                <c:pt idx="63">
                  <c:v>-1.0000000000000011</c:v>
                </c:pt>
                <c:pt idx="64">
                  <c:v>-1.0000000000000004</c:v>
                </c:pt>
                <c:pt idx="65">
                  <c:v>-0.99999999999999967</c:v>
                </c:pt>
                <c:pt idx="66">
                  <c:v>-1.0000000000000009</c:v>
                </c:pt>
                <c:pt idx="67">
                  <c:v>-1</c:v>
                </c:pt>
                <c:pt idx="68">
                  <c:v>-1</c:v>
                </c:pt>
                <c:pt idx="69">
                  <c:v>-0.99999999999999911</c:v>
                </c:pt>
                <c:pt idx="70">
                  <c:v>-0.99999999999999911</c:v>
                </c:pt>
                <c:pt idx="71">
                  <c:v>-1.0000000000000004</c:v>
                </c:pt>
                <c:pt idx="72">
                  <c:v>-0.99999999999999911</c:v>
                </c:pt>
                <c:pt idx="73">
                  <c:v>-0.99999999999999989</c:v>
                </c:pt>
                <c:pt idx="74">
                  <c:v>-1</c:v>
                </c:pt>
                <c:pt idx="75">
                  <c:v>-0.99999999999999911</c:v>
                </c:pt>
                <c:pt idx="76">
                  <c:v>-0.99999999999999967</c:v>
                </c:pt>
                <c:pt idx="77">
                  <c:v>-0.99999999999999989</c:v>
                </c:pt>
                <c:pt idx="78">
                  <c:v>-1.0000000000000004</c:v>
                </c:pt>
                <c:pt idx="79">
                  <c:v>-0.99999999999999989</c:v>
                </c:pt>
                <c:pt idx="80">
                  <c:v>-1.0000000000000011</c:v>
                </c:pt>
                <c:pt idx="81">
                  <c:v>-1.0000000000000007</c:v>
                </c:pt>
                <c:pt idx="82">
                  <c:v>-0.99999999999999911</c:v>
                </c:pt>
                <c:pt idx="83">
                  <c:v>-1</c:v>
                </c:pt>
                <c:pt idx="84">
                  <c:v>-1</c:v>
                </c:pt>
                <c:pt idx="85">
                  <c:v>-1.0000000000000011</c:v>
                </c:pt>
                <c:pt idx="86">
                  <c:v>-0.99999999999999956</c:v>
                </c:pt>
                <c:pt idx="87">
                  <c:v>-0.99999999999999967</c:v>
                </c:pt>
                <c:pt idx="88">
                  <c:v>-0.999999999999999</c:v>
                </c:pt>
                <c:pt idx="89">
                  <c:v>-1.0000000000000007</c:v>
                </c:pt>
                <c:pt idx="90">
                  <c:v>-0.99999999999999967</c:v>
                </c:pt>
                <c:pt idx="91">
                  <c:v>-0.99999999999999911</c:v>
                </c:pt>
                <c:pt idx="92">
                  <c:v>-1</c:v>
                </c:pt>
                <c:pt idx="93">
                  <c:v>-1.0000000000000002</c:v>
                </c:pt>
                <c:pt idx="94">
                  <c:v>-1.0000000000000009</c:v>
                </c:pt>
                <c:pt idx="95">
                  <c:v>-1.0000000000000011</c:v>
                </c:pt>
                <c:pt idx="96">
                  <c:v>-1.0000000000000002</c:v>
                </c:pt>
                <c:pt idx="97">
                  <c:v>-1.0000000000000011</c:v>
                </c:pt>
                <c:pt idx="98">
                  <c:v>-1.0000000000000009</c:v>
                </c:pt>
                <c:pt idx="99">
                  <c:v>-1.0000000000000009</c:v>
                </c:pt>
                <c:pt idx="100">
                  <c:v>-1.0000000000000009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DE-4347-B981-6EECC2F523A6}"/>
            </c:ext>
          </c:extLst>
        </c:ser>
        <c:ser>
          <c:idx val="5"/>
          <c:order val="5"/>
          <c:tx>
            <c:v>σφ_out (thick theory)</c:v>
          </c:tx>
          <c:spPr>
            <a:ln>
              <a:solidFill>
                <a:srgbClr val="0400AC"/>
              </a:solidFill>
            </a:ln>
          </c:spPr>
          <c:marker>
            <c:symbol val="none"/>
          </c:marker>
          <c:xVal>
            <c:numRef>
              <c:f>'Thick theory'!$AF$2:$AF$102</c:f>
              <c:numCache>
                <c:formatCode>0.000000</c:formatCode>
                <c:ptCount val="101"/>
                <c:pt idx="0">
                  <c:v>-0.99999999999999967</c:v>
                </c:pt>
                <c:pt idx="1">
                  <c:v>-0.96887949725541167</c:v>
                </c:pt>
                <c:pt idx="2">
                  <c:v>-0.94193486856986108</c:v>
                </c:pt>
                <c:pt idx="3">
                  <c:v>-0.9188499957819567</c:v>
                </c:pt>
                <c:pt idx="4">
                  <c:v>-0.89931870228496669</c:v>
                </c:pt>
                <c:pt idx="5">
                  <c:v>-0.8830458545597919</c:v>
                </c:pt>
                <c:pt idx="6">
                  <c:v>-0.86974823824843805</c:v>
                </c:pt>
                <c:pt idx="7">
                  <c:v>-0.8591552302703378</c:v>
                </c:pt>
                <c:pt idx="8">
                  <c:v>-0.85100928735443404</c:v>
                </c:pt>
                <c:pt idx="9">
                  <c:v>-0.8450662702160745</c:v>
                </c:pt>
                <c:pt idx="10">
                  <c:v>-0.84109562146045602</c:v>
                </c:pt>
                <c:pt idx="11">
                  <c:v>-0.83888041415280568</c:v>
                </c:pt>
                <c:pt idx="12">
                  <c:v>-0.83821728686815167</c:v>
                </c:pt>
                <c:pt idx="13">
                  <c:v>-0.83891627992722873</c:v>
                </c:pt>
                <c:pt idx="14">
                  <c:v>-0.84080058644614786</c:v>
                </c:pt>
                <c:pt idx="15">
                  <c:v>-0.84370623078063667</c:v>
                </c:pt>
                <c:pt idx="16">
                  <c:v>-0.84748168593551698</c:v>
                </c:pt>
                <c:pt idx="17">
                  <c:v>-0.8519874405395691</c:v>
                </c:pt>
                <c:pt idx="18">
                  <c:v>-0.85709552505823761</c:v>
                </c:pt>
                <c:pt idx="19">
                  <c:v>-0.86268900603320209</c:v>
                </c:pt>
                <c:pt idx="20">
                  <c:v>-0.86866145630057368</c:v>
                </c:pt>
                <c:pt idx="21">
                  <c:v>-0.87491640834887918</c:v>
                </c:pt>
                <c:pt idx="22">
                  <c:v>-0.88136679723484268</c:v>
                </c:pt>
                <c:pt idx="23">
                  <c:v>-0.88793439877881208</c:v>
                </c:pt>
                <c:pt idx="24">
                  <c:v>-0.89454926811274582</c:v>
                </c:pt>
                <c:pt idx="25">
                  <c:v>-0.90114918305059033</c:v>
                </c:pt>
                <c:pt idx="26">
                  <c:v>-0.90767909619331788</c:v>
                </c:pt>
                <c:pt idx="27">
                  <c:v>-0.91409059916722257</c:v>
                </c:pt>
                <c:pt idx="28">
                  <c:v>-0.92034140192319258</c:v>
                </c:pt>
                <c:pt idx="29">
                  <c:v>-0.92639482959471908</c:v>
                </c:pt>
                <c:pt idx="30">
                  <c:v>-0.93221933902209264</c:v>
                </c:pt>
                <c:pt idx="31">
                  <c:v>-0.93778805669731535</c:v>
                </c:pt>
                <c:pt idx="32">
                  <c:v>-0.94307833956720244</c:v>
                </c:pt>
                <c:pt idx="33">
                  <c:v>-0.94807135984878654</c:v>
                </c:pt>
                <c:pt idx="34">
                  <c:v>-0.9527517147595489</c:v>
                </c:pt>
                <c:pt idx="35">
                  <c:v>-0.95710706184321959</c:v>
                </c:pt>
                <c:pt idx="36">
                  <c:v>-0.96112778037766167</c:v>
                </c:pt>
                <c:pt idx="37">
                  <c:v>-0.96480665918292075</c:v>
                </c:pt>
                <c:pt idx="38">
                  <c:v>-0.96813861100262688</c:v>
                </c:pt>
                <c:pt idx="39">
                  <c:v>-0.97112041350855116</c:v>
                </c:pt>
                <c:pt idx="40">
                  <c:v>-0.97375047687449756</c:v>
                </c:pt>
                <c:pt idx="41">
                  <c:v>-0.97602863777943205</c:v>
                </c:pt>
                <c:pt idx="42">
                  <c:v>-0.97795597962934677</c:v>
                </c:pt>
                <c:pt idx="43">
                  <c:v>-0.97953467873055999</c:v>
                </c:pt>
                <c:pt idx="44">
                  <c:v>-0.9807678761022447</c:v>
                </c:pt>
                <c:pt idx="45">
                  <c:v>-0.9816595745810841</c:v>
                </c:pt>
                <c:pt idx="46">
                  <c:v>-0.98221456084431646</c:v>
                </c:pt>
                <c:pt idx="47">
                  <c:v>-0.98243835195711515</c:v>
                </c:pt>
                <c:pt idx="48">
                  <c:v>-0.98233716603483989</c:v>
                </c:pt>
                <c:pt idx="49">
                  <c:v>-0.98191791659808036</c:v>
                </c:pt>
                <c:pt idx="50">
                  <c:v>-0.98118823018735091</c:v>
                </c:pt>
                <c:pt idx="51">
                  <c:v>-0.98015648679277012</c:v>
                </c:pt>
                <c:pt idx="52">
                  <c:v>-0.97883188264079135</c:v>
                </c:pt>
                <c:pt idx="53">
                  <c:v>-0.97722451486322714</c:v>
                </c:pt>
                <c:pt idx="54">
                  <c:v>-0.97534548755193595</c:v>
                </c:pt>
                <c:pt idx="55">
                  <c:v>-0.97320703867427372</c:v>
                </c:pt>
                <c:pt idx="56">
                  <c:v>-0.97082268728788135</c:v>
                </c:pt>
                <c:pt idx="57">
                  <c:v>-0.96820740044748976</c:v>
                </c:pt>
                <c:pt idx="58">
                  <c:v>-0.96537777913945277</c:v>
                </c:pt>
                <c:pt idx="59">
                  <c:v>-0.96235226251035166</c:v>
                </c:pt>
                <c:pt idx="60">
                  <c:v>-0.95915134957281656</c:v>
                </c:pt>
                <c:pt idx="61">
                  <c:v>-0.95579783747332625</c:v>
                </c:pt>
                <c:pt idx="62">
                  <c:v>-0.95231707529177556</c:v>
                </c:pt>
                <c:pt idx="63">
                  <c:v>-0.94873723220979178</c:v>
                </c:pt>
                <c:pt idx="64">
                  <c:v>-0.94508957873283495</c:v>
                </c:pt>
                <c:pt idx="65">
                  <c:v>-0.94140877947889456</c:v>
                </c:pt>
                <c:pt idx="66">
                  <c:v>-0.93773319585271175</c:v>
                </c:pt>
                <c:pt idx="67">
                  <c:v>-0.93410519670818437</c:v>
                </c:pt>
                <c:pt idx="68">
                  <c:v>-0.93057147486162051</c:v>
                </c:pt>
                <c:pt idx="69">
                  <c:v>-0.92718336705397231</c:v>
                </c:pt>
                <c:pt idx="70">
                  <c:v>-0.92399717467046749</c:v>
                </c:pt>
                <c:pt idx="71">
                  <c:v>-0.92107448221014709</c:v>
                </c:pt>
                <c:pt idx="72">
                  <c:v>-0.91848247015551288</c:v>
                </c:pt>
                <c:pt idx="73">
                  <c:v>-0.91629421852319226</c:v>
                </c:pt>
                <c:pt idx="74">
                  <c:v>-0.91458899698006169</c:v>
                </c:pt>
                <c:pt idx="75">
                  <c:v>-0.91345253698585149</c:v>
                </c:pt>
                <c:pt idx="76">
                  <c:v>-0.91297728097285225</c:v>
                </c:pt>
                <c:pt idx="77">
                  <c:v>-0.9132626030967228</c:v>
                </c:pt>
                <c:pt idx="78">
                  <c:v>-0.91441499559030126</c:v>
                </c:pt>
                <c:pt idx="79">
                  <c:v>-0.91654821422588229</c:v>
                </c:pt>
                <c:pt idx="80">
                  <c:v>-0.91978337584219294</c:v>
                </c:pt>
                <c:pt idx="81">
                  <c:v>-0.9242490003222964</c:v>
                </c:pt>
                <c:pt idx="82">
                  <c:v>-0.930080988820146</c:v>
                </c:pt>
                <c:pt idx="83">
                  <c:v>-0.93742252942943305</c:v>
                </c:pt>
                <c:pt idx="84">
                  <c:v>-0.94642392087214833</c:v>
                </c:pt>
                <c:pt idx="85">
                  <c:v>-0.95724230415996681</c:v>
                </c:pt>
                <c:pt idx="86">
                  <c:v>-0.97004129155357288</c:v>
                </c:pt>
                <c:pt idx="87">
                  <c:v>-0.98499048151902968</c:v>
                </c:pt>
                <c:pt idx="88">
                  <c:v>-1.0022648477618927</c:v>
                </c:pt>
                <c:pt idx="89">
                  <c:v>-1.0220439898162608</c:v>
                </c:pt>
                <c:pt idx="90">
                  <c:v>-1.0445112320844656</c:v>
                </c:pt>
                <c:pt idx="91">
                  <c:v>-1.0698525576727902</c:v>
                </c:pt>
                <c:pt idx="92">
                  <c:v>-1.0982553628583187</c:v>
                </c:pt>
                <c:pt idx="93">
                  <c:v>-1.1299070175628463</c:v>
                </c:pt>
                <c:pt idx="94">
                  <c:v>-1.1649932168128108</c:v>
                </c:pt>
                <c:pt idx="95">
                  <c:v>-1.2036961078422583</c:v>
                </c:pt>
                <c:pt idx="96">
                  <c:v>-1.2461921772627518</c:v>
                </c:pt>
                <c:pt idx="97">
                  <c:v>-1.2926498825946044</c:v>
                </c:pt>
                <c:pt idx="98">
                  <c:v>-1.3432270124443437</c:v>
                </c:pt>
                <c:pt idx="99">
                  <c:v>-1.3980677597410502</c:v>
                </c:pt>
                <c:pt idx="100">
                  <c:v>-1.4572994927280338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DE-4347-B981-6EECC2F52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018272"/>
        <c:axId val="1008510432"/>
      </c:scatterChart>
      <c:valAx>
        <c:axId val="1010018272"/>
        <c:scaling>
          <c:orientation val="minMax"/>
          <c:max val="-0.4"/>
          <c:min val="-1.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σφ</a:t>
                </a:r>
                <a:r>
                  <a:rPr lang="el-GR" baseline="0"/>
                  <a:t> [</a:t>
                </a:r>
                <a:r>
                  <a:rPr lang="en-US" baseline="0"/>
                  <a:t>F/L^2]</a:t>
                </a:r>
                <a:endParaRPr lang="en-US"/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10432"/>
        <c:crosses val="autoZero"/>
        <c:crossBetween val="midCat"/>
      </c:valAx>
      <c:valAx>
        <c:axId val="10085104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z meridional coordinate [mm]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018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3731860343653481E-2"/>
          <c:y val="0.43569234365119514"/>
          <c:w val="0.16233175513010495"/>
          <c:h val="0.1932960350861426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764232144088911E-2"/>
          <c:y val="6.983404886125176E-2"/>
          <c:w val="0.95125149887885274"/>
          <c:h val="0.90774329553549082"/>
        </c:manualLayout>
      </c:layout>
      <c:scatterChart>
        <c:scatterStyle val="lineMarker"/>
        <c:varyColors val="0"/>
        <c:ser>
          <c:idx val="1"/>
          <c:order val="0"/>
          <c:tx>
            <c:v>σθ_in (thin theory)</c:v>
          </c:tx>
          <c:spPr>
            <a:ln>
              <a:solidFill>
                <a:srgbClr val="FF8B8B"/>
              </a:solidFill>
            </a:ln>
          </c:spPr>
          <c:marker>
            <c:symbol val="none"/>
          </c:marker>
          <c:xVal>
            <c:numRef>
              <c:f>'Thin theory'!$AC$2:$AC$102</c:f>
              <c:numCache>
                <c:formatCode>0.000000</c:formatCode>
                <c:ptCount val="101"/>
                <c:pt idx="0">
                  <c:v>-0.3</c:v>
                </c:pt>
                <c:pt idx="1">
                  <c:v>-0.29053727066555096</c:v>
                </c:pt>
                <c:pt idx="2">
                  <c:v>-0.27995771091600841</c:v>
                </c:pt>
                <c:pt idx="3">
                  <c:v>-0.26847637986361605</c:v>
                </c:pt>
                <c:pt idx="4">
                  <c:v>-0.25628923976268325</c:v>
                </c:pt>
                <c:pt idx="5">
                  <c:v>-0.24357393738143504</c:v>
                </c:pt>
                <c:pt idx="6">
                  <c:v>-0.23049063375367052</c:v>
                </c:pt>
                <c:pt idx="7">
                  <c:v>-0.2171828701763992</c:v>
                </c:pt>
                <c:pt idx="8">
                  <c:v>-0.20377845951262019</c:v>
                </c:pt>
                <c:pt idx="9">
                  <c:v>-0.19039039299239569</c:v>
                </c:pt>
                <c:pt idx="10">
                  <c:v>-0.17711775377869549</c:v>
                </c:pt>
                <c:pt idx="11">
                  <c:v>-0.16404662957594876</c:v>
                </c:pt>
                <c:pt idx="12">
                  <c:v>-0.15125101750851122</c:v>
                </c:pt>
                <c:pt idx="13">
                  <c:v>-0.13879371538325805</c:v>
                </c:pt>
                <c:pt idx="14">
                  <c:v>-0.12672719427586493</c:v>
                </c:pt>
                <c:pt idx="15">
                  <c:v>-0.11509444814490202</c:v>
                </c:pt>
                <c:pt idx="16">
                  <c:v>-0.1039298168829189</c:v>
                </c:pt>
                <c:pt idx="17">
                  <c:v>-9.3259779860829145E-2</c:v>
                </c:pt>
                <c:pt idx="18">
                  <c:v>-8.3103717612861602E-2</c:v>
                </c:pt>
                <c:pt idx="19">
                  <c:v>-7.3474639846204476E-2</c:v>
                </c:pt>
                <c:pt idx="20">
                  <c:v>-6.4379878444332198E-2</c:v>
                </c:pt>
                <c:pt idx="21">
                  <c:v>-5.5821744568225959E-2</c:v>
                </c:pt>
                <c:pt idx="22">
                  <c:v>-4.7798149347609335E-2</c:v>
                </c:pt>
                <c:pt idx="23">
                  <c:v>-4.0303187997400562E-2</c:v>
                </c:pt>
                <c:pt idx="24">
                  <c:v>-3.3327687495305763E-2</c:v>
                </c:pt>
                <c:pt idx="25">
                  <c:v>-2.6859718217322685E-2</c:v>
                </c:pt>
                <c:pt idx="26">
                  <c:v>-2.0885070151394305E-2</c:v>
                </c:pt>
                <c:pt idx="27">
                  <c:v>-1.5387694497993173E-2</c:v>
                </c:pt>
                <c:pt idx="28">
                  <c:v>-1.0350111622444874E-2</c:v>
                </c:pt>
                <c:pt idx="29">
                  <c:v>-5.7537864496841028E-3</c:v>
                </c:pt>
                <c:pt idx="30">
                  <c:v>-1.5794724901536279E-3</c:v>
                </c:pt>
                <c:pt idx="31">
                  <c:v>2.1924742420434996E-3</c:v>
                </c:pt>
                <c:pt idx="32">
                  <c:v>5.5818101087385975E-3</c:v>
                </c:pt>
                <c:pt idx="33">
                  <c:v>8.6081461875806026E-3</c:v>
                </c:pt>
                <c:pt idx="34">
                  <c:v>1.1290716726764426E-2</c:v>
                </c:pt>
                <c:pt idx="35">
                  <c:v>1.3648172378785402E-2</c:v>
                </c:pt>
                <c:pt idx="36">
                  <c:v>1.5698396902830227E-2</c:v>
                </c:pt>
                <c:pt idx="37">
                  <c:v>1.7458346064986908E-2</c:v>
                </c:pt>
                <c:pt idx="38">
                  <c:v>1.8943907517535143E-2</c:v>
                </c:pt>
                <c:pt idx="39">
                  <c:v>2.0169780501682964E-2</c:v>
                </c:pt>
                <c:pt idx="40">
                  <c:v>2.1149374290783694E-2</c:v>
                </c:pt>
                <c:pt idx="41">
                  <c:v>2.1894724371967184E-2</c:v>
                </c:pt>
                <c:pt idx="42">
                  <c:v>2.2416425451952444E-2</c:v>
                </c:pt>
                <c:pt idx="43">
                  <c:v>2.2723580466386513E-2</c:v>
                </c:pt>
                <c:pt idx="44">
                  <c:v>2.2823764870195096E-2</c:v>
                </c:pt>
                <c:pt idx="45">
                  <c:v>2.2723005588081043E-2</c:v>
                </c:pt>
                <c:pt idx="46">
                  <c:v>2.2425774108381258E-2</c:v>
                </c:pt>
                <c:pt idx="47">
                  <c:v>2.1934993309025496E-2</c:v>
                </c:pt>
                <c:pt idx="48">
                  <c:v>2.1252057710339049E-2</c:v>
                </c:pt>
                <c:pt idx="49">
                  <c:v>2.0376866954972452E-2</c:v>
                </c:pt>
                <c:pt idx="50">
                  <c:v>1.9307872419402652E-2</c:v>
                </c:pt>
                <c:pt idx="51">
                  <c:v>1.8042136963322741E-2</c:v>
                </c:pt>
                <c:pt idx="52">
                  <c:v>1.6575407921936278E-2</c:v>
                </c:pt>
                <c:pt idx="53">
                  <c:v>1.4902203540784375E-2</c:v>
                </c:pt>
                <c:pt idx="54">
                  <c:v>1.3015913142366865E-2</c:v>
                </c:pt>
                <c:pt idx="55">
                  <c:v>1.0908911397549247E-2</c:v>
                </c:pt>
                <c:pt idx="56">
                  <c:v>8.5726871516318311E-3</c:v>
                </c:pt>
                <c:pt idx="57">
                  <c:v>5.9979873240477381E-3</c:v>
                </c:pt>
                <c:pt idx="58">
                  <c:v>3.1749764609359521E-3</c:v>
                </c:pt>
                <c:pt idx="59">
                  <c:v>9.3412570299693937E-5</c:v>
                </c:pt>
                <c:pt idx="60">
                  <c:v>-3.2571600909811725E-3</c:v>
                </c:pt>
                <c:pt idx="61">
                  <c:v>-6.8872005814606587E-3</c:v>
                </c:pt>
                <c:pt idx="62">
                  <c:v>-1.080694247954915E-2</c:v>
                </c:pt>
                <c:pt idx="63">
                  <c:v>-1.50261460168193E-2</c:v>
                </c:pt>
                <c:pt idx="64">
                  <c:v>-1.9553830444573837E-2</c:v>
                </c:pt>
                <c:pt idx="65">
                  <c:v>-2.4397985970582303E-2</c:v>
                </c:pt>
                <c:pt idx="66">
                  <c:v>-2.9565264653701483E-2</c:v>
                </c:pt>
                <c:pt idx="67">
                  <c:v>-3.5060649714562152E-2</c:v>
                </c:pt>
                <c:pt idx="68">
                  <c:v>-4.0887102812081189E-2</c:v>
                </c:pt>
                <c:pt idx="69">
                  <c:v>-4.704518894970685E-2</c:v>
                </c:pt>
                <c:pt idx="70">
                  <c:v>-5.3532678813530271E-2</c:v>
                </c:pt>
                <c:pt idx="71">
                  <c:v>-6.0344128508225278E-2</c:v>
                </c:pt>
                <c:pt idx="72">
                  <c:v>-6.7470436847747339E-2</c:v>
                </c:pt>
                <c:pt idx="73">
                  <c:v>-7.4898380577373955E-2</c:v>
                </c:pt>
                <c:pt idx="74">
                  <c:v>-8.2610128153528473E-2</c:v>
                </c:pt>
                <c:pt idx="75">
                  <c:v>-9.0582732989407361E-2</c:v>
                </c:pt>
                <c:pt idx="76">
                  <c:v>-9.8787607389174442E-2</c:v>
                </c:pt>
                <c:pt idx="77">
                  <c:v>-0.10718997874281477</c:v>
                </c:pt>
                <c:pt idx="78">
                  <c:v>-0.11574832993894263</c:v>
                </c:pt>
                <c:pt idx="79">
                  <c:v>-0.12441382637515846</c:v>
                </c:pt>
                <c:pt idx="80">
                  <c:v>-0.13312973240601908</c:v>
                </c:pt>
                <c:pt idx="81">
                  <c:v>-0.14183082056821653</c:v>
                </c:pt>
                <c:pt idx="82">
                  <c:v>-0.15044277746189857</c:v>
                </c:pt>
                <c:pt idx="83">
                  <c:v>-0.1588816107466598</c:v>
                </c:pt>
                <c:pt idx="84">
                  <c:v>-0.16705306233084019</c:v>
                </c:pt>
                <c:pt idx="85">
                  <c:v>-0.17485203349328582</c:v>
                </c:pt>
                <c:pt idx="86">
                  <c:v>-0.1821620283772217</c:v>
                </c:pt>
                <c:pt idx="87">
                  <c:v>-0.18885462303556155</c:v>
                </c:pt>
                <c:pt idx="88">
                  <c:v>-0.19478896798453033</c:v>
                </c:pt>
                <c:pt idx="89">
                  <c:v>-0.19981133303619975</c:v>
                </c:pt>
                <c:pt idx="90">
                  <c:v>-0.20375470402808685</c:v>
                </c:pt>
                <c:pt idx="91">
                  <c:v>-0.20643844194649352</c:v>
                </c:pt>
                <c:pt idx="92">
                  <c:v>-0.20766801584617883</c:v>
                </c:pt>
                <c:pt idx="93">
                  <c:v>-0.20723482189801889</c:v>
                </c:pt>
                <c:pt idx="94">
                  <c:v>-0.20491610184344777</c:v>
                </c:pt>
                <c:pt idx="95">
                  <c:v>-0.20047497509382342</c:v>
                </c:pt>
                <c:pt idx="96">
                  <c:v>-0.19366059967760219</c:v>
                </c:pt>
                <c:pt idx="97">
                  <c:v>-0.18420847820059555</c:v>
                </c:pt>
                <c:pt idx="98">
                  <c:v>-0.17184092593579489</c:v>
                </c:pt>
                <c:pt idx="99">
                  <c:v>-0.15626771908938566</c:v>
                </c:pt>
                <c:pt idx="100">
                  <c:v>-0.13718694218756688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C-4A55-84CB-93824E41F1B5}"/>
            </c:ext>
          </c:extLst>
        </c:ser>
        <c:ser>
          <c:idx val="0"/>
          <c:order val="1"/>
          <c:tx>
            <c:v>σθ_mid (thin theory)</c:v>
          </c:tx>
          <c:spPr>
            <a:ln w="38100" cap="rnd">
              <a:solidFill>
                <a:srgbClr val="FF0101"/>
              </a:solidFill>
              <a:round/>
            </a:ln>
            <a:effectLst/>
          </c:spPr>
          <c:marker>
            <c:symbol val="none"/>
          </c:marker>
          <c:xVal>
            <c:numRef>
              <c:f>'Thin theory'!$AD$2:$AD$102</c:f>
              <c:numCache>
                <c:formatCode>0.000000</c:formatCode>
                <c:ptCount val="101"/>
                <c:pt idx="0">
                  <c:v>-0.3</c:v>
                </c:pt>
                <c:pt idx="1">
                  <c:v>-0.28076237970915596</c:v>
                </c:pt>
                <c:pt idx="2">
                  <c:v>-0.26167141506707398</c:v>
                </c:pt>
                <c:pt idx="3">
                  <c:v>-0.24285630427000929</c:v>
                </c:pt>
                <c:pt idx="4">
                  <c:v>-0.22442838330060627</c:v>
                </c:pt>
                <c:pt idx="5">
                  <c:v>-0.20648240879288893</c:v>
                </c:pt>
                <c:pt idx="6">
                  <c:v>-0.18909781466012832</c:v>
                </c:pt>
                <c:pt idx="7">
                  <c:v>-0.17233993600415623</c:v>
                </c:pt>
                <c:pt idx="8">
                  <c:v>-0.15626119487084558</c:v>
                </c:pt>
                <c:pt idx="9">
                  <c:v>-0.14090224337912946</c:v>
                </c:pt>
                <c:pt idx="10">
                  <c:v>-0.12629306063277604</c:v>
                </c:pt>
                <c:pt idx="11">
                  <c:v>-0.11245400062791032</c:v>
                </c:pt>
                <c:pt idx="12">
                  <c:v>-9.9396789098307278E-2</c:v>
                </c:pt>
                <c:pt idx="13">
                  <c:v>-8.7125467897945202E-2</c:v>
                </c:pt>
                <c:pt idx="14">
                  <c:v>-7.5637286109800653E-2</c:v>
                </c:pt>
                <c:pt idx="15">
                  <c:v>-6.4923537594893249E-2</c:v>
                </c:pt>
                <c:pt idx="16">
                  <c:v>-5.4970345159796929E-2</c:v>
                </c:pt>
                <c:pt idx="17">
                  <c:v>-4.5759391927900558E-2</c:v>
                </c:pt>
                <c:pt idx="18">
                  <c:v>-3.7268600853208919E-2</c:v>
                </c:pt>
                <c:pt idx="19">
                  <c:v>-2.9472763619088294E-2</c:v>
                </c:pt>
                <c:pt idx="20">
                  <c:v>-2.2344120421555327E-2</c:v>
                </c:pt>
                <c:pt idx="21">
                  <c:v>-1.5852892350987132E-2</c:v>
                </c:pt>
                <c:pt idx="22">
                  <c:v>-9.9677682608012713E-3</c:v>
                </c:pt>
                <c:pt idx="23">
                  <c:v>-4.6563481499767778E-3</c:v>
                </c:pt>
                <c:pt idx="24">
                  <c:v>1.1445480863786763E-4</c:v>
                </c:pt>
                <c:pt idx="25">
                  <c:v>4.378051387505408E-3</c:v>
                </c:pt>
                <c:pt idx="26">
                  <c:v>8.1678503170196214E-3</c:v>
                </c:pt>
                <c:pt idx="27">
                  <c:v>1.1516966914986526E-2</c:v>
                </c:pt>
                <c:pt idx="28">
                  <c:v>1.4457964056136989E-2</c:v>
                </c:pt>
                <c:pt idx="29">
                  <c:v>1.702262322449347E-2</c:v>
                </c:pt>
                <c:pt idx="30">
                  <c:v>1.924174342878265E-2</c:v>
                </c:pt>
                <c:pt idx="31">
                  <c:v>2.1144965814091674E-2</c:v>
                </c:pt>
                <c:pt idx="32">
                  <c:v>2.2760621869731365E-2</c:v>
                </c:pt>
                <c:pt idx="33">
                  <c:v>2.4115603212026146E-2</c:v>
                </c:pt>
                <c:pt idx="34">
                  <c:v>2.5235251009885003E-2</c:v>
                </c:pt>
                <c:pt idx="35">
                  <c:v>2.6143263219061155E-2</c:v>
                </c:pt>
                <c:pt idx="36">
                  <c:v>2.6861617896617198E-2</c:v>
                </c:pt>
                <c:pt idx="37">
                  <c:v>2.7410510979086745E-2</c:v>
                </c:pt>
                <c:pt idx="38">
                  <c:v>2.7808307025033476E-2</c:v>
                </c:pt>
                <c:pt idx="39">
                  <c:v>2.8071501544198338E-2</c:v>
                </c:pt>
                <c:pt idx="40">
                  <c:v>2.8214693660279892E-2</c:v>
                </c:pt>
                <c:pt idx="41">
                  <c:v>2.8250567981842528E-2</c:v>
                </c:pt>
                <c:pt idx="42">
                  <c:v>2.8189884685164906E-2</c:v>
                </c:pt>
                <c:pt idx="43">
                  <c:v>2.804147694342177E-2</c:v>
                </c:pt>
                <c:pt idx="44">
                  <c:v>2.7812254967840677E-2</c:v>
                </c:pt>
                <c:pt idx="45">
                  <c:v>2.7507216057928625E-2</c:v>
                </c:pt>
                <c:pt idx="46">
                  <c:v>2.7129460189028485E-2</c:v>
                </c:pt>
                <c:pt idx="47">
                  <c:v>2.6680210795964675E-2</c:v>
                </c:pt>
                <c:pt idx="48">
                  <c:v>2.6158840540967107E-2</c:v>
                </c:pt>
                <c:pt idx="49">
                  <c:v>2.5562901982080763E-2</c:v>
                </c:pt>
                <c:pt idx="50">
                  <c:v>2.4888163184529209E-2</c:v>
                </c:pt>
                <c:pt idx="51">
                  <c:v>2.4128648441662775E-2</c:v>
                </c:pt>
                <c:pt idx="52">
                  <c:v>2.3276684393859891E-2</c:v>
                </c:pt>
                <c:pt idx="53">
                  <c:v>2.232295195269763E-2</c:v>
                </c:pt>
                <c:pt idx="54">
                  <c:v>2.1256544553507756E-2</c:v>
                </c:pt>
                <c:pt idx="55">
                  <c:v>2.0065033371684814E-2</c:v>
                </c:pt>
                <c:pt idx="56">
                  <c:v>1.8734540246375071E-2</c:v>
                </c:pt>
                <c:pt idx="57">
                  <c:v>1.7249819158987278E-2</c:v>
                </c:pt>
                <c:pt idx="58">
                  <c:v>1.5594347212780049E-2</c:v>
                </c:pt>
                <c:pt idx="59">
                  <c:v>1.3750426153033632E-2</c:v>
                </c:pt>
                <c:pt idx="60">
                  <c:v>1.1699295554338844E-2</c:v>
                </c:pt>
                <c:pt idx="61">
                  <c:v>9.4212588816209707E-3</c:v>
                </c:pt>
                <c:pt idx="62">
                  <c:v>6.8958237038644456E-3</c:v>
                </c:pt>
                <c:pt idx="63">
                  <c:v>4.1018574032320697E-3</c:v>
                </c:pt>
                <c:pt idx="64">
                  <c:v>1.0177597764154326E-3</c:v>
                </c:pt>
                <c:pt idx="65">
                  <c:v>-2.3783460314441779E-3</c:v>
                </c:pt>
                <c:pt idx="66">
                  <c:v>-6.1084027882240422E-3</c:v>
                </c:pt>
                <c:pt idx="67">
                  <c:v>-1.0194187140977612E-2</c:v>
                </c:pt>
                <c:pt idx="68">
                  <c:v>-1.4657054791827174E-2</c:v>
                </c:pt>
                <c:pt idx="69">
                  <c:v>-1.9517661400234341E-2</c:v>
                </c:pt>
                <c:pt idx="70">
                  <c:v>-2.4795657757295902E-2</c:v>
                </c:pt>
                <c:pt idx="71">
                  <c:v>-3.0509357825783685E-2</c:v>
                </c:pt>
                <c:pt idx="72">
                  <c:v>-3.6675378308537607E-2</c:v>
                </c:pt>
                <c:pt idx="73">
                  <c:v>-4.3308248499384153E-2</c:v>
                </c:pt>
                <c:pt idx="74">
                  <c:v>-5.0419989286927397E-2</c:v>
                </c:pt>
                <c:pt idx="75">
                  <c:v>-5.8019660324378969E-2</c:v>
                </c:pt>
                <c:pt idx="76">
                  <c:v>-6.6112874550148679E-2</c:v>
                </c:pt>
                <c:pt idx="77">
                  <c:v>-7.4701279446400232E-2</c:v>
                </c:pt>
                <c:pt idx="78">
                  <c:v>-8.3782004658388337E-2</c:v>
                </c:pt>
                <c:pt idx="79">
                  <c:v>-9.3347075868418269E-2</c:v>
                </c:pt>
                <c:pt idx="80">
                  <c:v>-0.10338279512700048</c:v>
                </c:pt>
                <c:pt idx="81">
                  <c:v>-0.11386908819249146</c:v>
                </c:pt>
                <c:pt idx="82">
                  <c:v>-0.1247788198215351</c:v>
                </c:pt>
                <c:pt idx="83">
                  <c:v>-0.13607707838815608</c:v>
                </c:pt>
                <c:pt idx="84">
                  <c:v>-0.14772043169162466</c:v>
                </c:pt>
                <c:pt idx="85">
                  <c:v>-0.15965615634427913</c:v>
                </c:pt>
                <c:pt idx="86">
                  <c:v>-0.17182144371231414</c:v>
                </c:pt>
                <c:pt idx="87">
                  <c:v>-0.18414258601694636</c:v>
                </c:pt>
                <c:pt idx="88">
                  <c:v>-0.19653414689189644</c:v>
                </c:pt>
                <c:pt idx="89">
                  <c:v>-0.20889812143718789</c:v>
                </c:pt>
                <c:pt idx="90">
                  <c:v>-0.22112309160984134</c:v>
                </c:pt>
                <c:pt idx="91">
                  <c:v>-0.23308338364991249</c:v>
                </c:pt>
                <c:pt idx="92">
                  <c:v>-0.24463823515573799</c:v>
                </c:pt>
                <c:pt idx="93">
                  <c:v>-0.25563098039509813</c:v>
                </c:pt>
                <c:pt idx="94">
                  <c:v>-0.26588826346859956</c:v>
                </c:pt>
                <c:pt idx="95">
                  <c:v>-0.27521929002666556</c:v>
                </c:pt>
                <c:pt idx="96">
                  <c:v>-0.28341512938018404</c:v>
                </c:pt>
                <c:pt idx="97">
                  <c:v>-0.29024808003447278</c:v>
                </c:pt>
                <c:pt idx="98">
                  <c:v>-0.29547111291329348</c:v>
                </c:pt>
                <c:pt idx="99">
                  <c:v>-0.29881740781988209</c:v>
                </c:pt>
                <c:pt idx="100">
                  <c:v>-0.3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3C-4A55-84CB-93824E41F1B5}"/>
            </c:ext>
          </c:extLst>
        </c:ser>
        <c:ser>
          <c:idx val="2"/>
          <c:order val="2"/>
          <c:tx>
            <c:v>σθ_out (thin theory)</c:v>
          </c:tx>
          <c:spPr>
            <a:ln>
              <a:solidFill>
                <a:srgbClr val="820000"/>
              </a:solidFill>
            </a:ln>
          </c:spPr>
          <c:marker>
            <c:symbol val="none"/>
          </c:marker>
          <c:xVal>
            <c:numRef>
              <c:f>'Thin theory'!$AE$2:$AE$102</c:f>
              <c:numCache>
                <c:formatCode>0.000000</c:formatCode>
                <c:ptCount val="101"/>
                <c:pt idx="0">
                  <c:v>-0.3</c:v>
                </c:pt>
                <c:pt idx="1">
                  <c:v>-0.27098748875276096</c:v>
                </c:pt>
                <c:pt idx="2">
                  <c:v>-0.24338511921813957</c:v>
                </c:pt>
                <c:pt idx="3">
                  <c:v>-0.21723622867640252</c:v>
                </c:pt>
                <c:pt idx="4">
                  <c:v>-0.19256752683852932</c:v>
                </c:pt>
                <c:pt idx="5">
                  <c:v>-0.16939088020434281</c:v>
                </c:pt>
                <c:pt idx="6">
                  <c:v>-0.14770499556658612</c:v>
                </c:pt>
                <c:pt idx="7">
                  <c:v>-0.12749700183191326</c:v>
                </c:pt>
                <c:pt idx="8">
                  <c:v>-0.10874393022907096</c:v>
                </c:pt>
                <c:pt idx="9">
                  <c:v>-9.1414093765863236E-2</c:v>
                </c:pt>
                <c:pt idx="10">
                  <c:v>-7.5468367486856577E-2</c:v>
                </c:pt>
                <c:pt idx="11">
                  <c:v>-6.0861371679871872E-2</c:v>
                </c:pt>
                <c:pt idx="12">
                  <c:v>-4.7542560688103329E-2</c:v>
                </c:pt>
                <c:pt idx="13">
                  <c:v>-3.5457220412632363E-2</c:v>
                </c:pt>
                <c:pt idx="14">
                  <c:v>-2.4547377943736376E-2</c:v>
                </c:pt>
                <c:pt idx="15">
                  <c:v>-1.4752627044884482E-2</c:v>
                </c:pt>
                <c:pt idx="16">
                  <c:v>-6.01087343667496E-3</c:v>
                </c:pt>
                <c:pt idx="17">
                  <c:v>1.7409960050280282E-3</c:v>
                </c:pt>
                <c:pt idx="18">
                  <c:v>8.566515906443764E-3</c:v>
                </c:pt>
                <c:pt idx="19">
                  <c:v>1.4529112608027889E-2</c:v>
                </c:pt>
                <c:pt idx="20">
                  <c:v>1.9691637601221543E-2</c:v>
                </c:pt>
                <c:pt idx="21">
                  <c:v>2.4115959866251691E-2</c:v>
                </c:pt>
                <c:pt idx="22">
                  <c:v>2.7862612826006793E-2</c:v>
                </c:pt>
                <c:pt idx="23">
                  <c:v>3.0990491697447005E-2</c:v>
                </c:pt>
                <c:pt idx="24">
                  <c:v>3.3556597112581493E-2</c:v>
                </c:pt>
                <c:pt idx="25">
                  <c:v>3.56158209923335E-2</c:v>
                </c:pt>
                <c:pt idx="26">
                  <c:v>3.7220770785433552E-2</c:v>
                </c:pt>
                <c:pt idx="27">
                  <c:v>3.8421628327966223E-2</c:v>
                </c:pt>
                <c:pt idx="28">
                  <c:v>3.9266039734718851E-2</c:v>
                </c:pt>
                <c:pt idx="29">
                  <c:v>3.9799032898671038E-2</c:v>
                </c:pt>
                <c:pt idx="30">
                  <c:v>4.0062959347718932E-2</c:v>
                </c:pt>
                <c:pt idx="31">
                  <c:v>4.0097457386139845E-2</c:v>
                </c:pt>
                <c:pt idx="32">
                  <c:v>3.9939433630724136E-2</c:v>
                </c:pt>
                <c:pt idx="33">
                  <c:v>3.9623060236471691E-2</c:v>
                </c:pt>
                <c:pt idx="34">
                  <c:v>3.917978529300558E-2</c:v>
                </c:pt>
                <c:pt idx="35">
                  <c:v>3.863835405933691E-2</c:v>
                </c:pt>
                <c:pt idx="36">
                  <c:v>3.8024838890404172E-2</c:v>
                </c:pt>
                <c:pt idx="37">
                  <c:v>3.7362675893186578E-2</c:v>
                </c:pt>
                <c:pt idx="38">
                  <c:v>3.667270653253181E-2</c:v>
                </c:pt>
                <c:pt idx="39">
                  <c:v>3.5973222586713711E-2</c:v>
                </c:pt>
                <c:pt idx="40">
                  <c:v>3.528001302977609E-2</c:v>
                </c:pt>
                <c:pt idx="41">
                  <c:v>3.4606411591717873E-2</c:v>
                </c:pt>
                <c:pt idx="42">
                  <c:v>3.3963343918377367E-2</c:v>
                </c:pt>
                <c:pt idx="43">
                  <c:v>3.3359373420457028E-2</c:v>
                </c:pt>
                <c:pt idx="44">
                  <c:v>3.2800745065486261E-2</c:v>
                </c:pt>
                <c:pt idx="45">
                  <c:v>3.229142652777621E-2</c:v>
                </c:pt>
                <c:pt idx="46">
                  <c:v>3.1833146269675712E-2</c:v>
                </c:pt>
                <c:pt idx="47">
                  <c:v>3.1425428282903858E-2</c:v>
                </c:pt>
                <c:pt idx="48">
                  <c:v>3.1065623371595165E-2</c:v>
                </c:pt>
                <c:pt idx="49">
                  <c:v>3.0748937009189074E-2</c:v>
                </c:pt>
                <c:pt idx="50">
                  <c:v>3.0468453949655767E-2</c:v>
                </c:pt>
                <c:pt idx="51">
                  <c:v>3.0215159920002808E-2</c:v>
                </c:pt>
                <c:pt idx="52">
                  <c:v>2.9977960865783505E-2</c:v>
                </c:pt>
                <c:pt idx="53">
                  <c:v>2.9743700364610885E-2</c:v>
                </c:pt>
                <c:pt idx="54">
                  <c:v>2.9497175964648646E-2</c:v>
                </c:pt>
                <c:pt idx="55">
                  <c:v>2.9221155345820381E-2</c:v>
                </c:pt>
                <c:pt idx="56">
                  <c:v>2.889639334111831E-2</c:v>
                </c:pt>
                <c:pt idx="57">
                  <c:v>2.8501650993926819E-2</c:v>
                </c:pt>
                <c:pt idx="58">
                  <c:v>2.8013717964624145E-2</c:v>
                </c:pt>
                <c:pt idx="59">
                  <c:v>2.7407439735767571E-2</c:v>
                </c:pt>
                <c:pt idx="60">
                  <c:v>2.6655751199658861E-2</c:v>
                </c:pt>
                <c:pt idx="61">
                  <c:v>2.5729718344702598E-2</c:v>
                </c:pt>
                <c:pt idx="62">
                  <c:v>2.459858988727804E-2</c:v>
                </c:pt>
                <c:pt idx="63">
                  <c:v>2.3229860823283439E-2</c:v>
                </c:pt>
                <c:pt idx="64">
                  <c:v>2.1589349997404701E-2</c:v>
                </c:pt>
                <c:pt idx="65">
                  <c:v>1.9641293907693948E-2</c:v>
                </c:pt>
                <c:pt idx="66">
                  <c:v>1.7348459077253395E-2</c:v>
                </c:pt>
                <c:pt idx="67">
                  <c:v>1.4672275432606928E-2</c:v>
                </c:pt>
                <c:pt idx="68">
                  <c:v>1.1572993228426838E-2</c:v>
                </c:pt>
                <c:pt idx="69">
                  <c:v>8.0098661492381679E-3</c:v>
                </c:pt>
                <c:pt idx="70">
                  <c:v>3.941363298938471E-3</c:v>
                </c:pt>
                <c:pt idx="71">
                  <c:v>-6.7458714334209247E-4</c:v>
                </c:pt>
                <c:pt idx="72">
                  <c:v>-5.8803197693278776E-3</c:v>
                </c:pt>
                <c:pt idx="73">
                  <c:v>-1.1718116421394351E-2</c:v>
                </c:pt>
                <c:pt idx="74">
                  <c:v>-1.8229850420326314E-2</c:v>
                </c:pt>
                <c:pt idx="75">
                  <c:v>-2.5456587659350584E-2</c:v>
                </c:pt>
                <c:pt idx="76">
                  <c:v>-3.3438141711122915E-2</c:v>
                </c:pt>
                <c:pt idx="77">
                  <c:v>-4.2212580149985697E-2</c:v>
                </c:pt>
                <c:pt idx="78">
                  <c:v>-5.1815679377834045E-2</c:v>
                </c:pt>
                <c:pt idx="79">
                  <c:v>-6.2280325361678081E-2</c:v>
                </c:pt>
                <c:pt idx="80">
                  <c:v>-7.3635857847981878E-2</c:v>
                </c:pt>
                <c:pt idx="81">
                  <c:v>-8.5907355816766395E-2</c:v>
                </c:pt>
                <c:pt idx="82">
                  <c:v>-9.9114862181171631E-2</c:v>
                </c:pt>
                <c:pt idx="83">
                  <c:v>-0.11327254602965237</c:v>
                </c:pt>
                <c:pt idx="84">
                  <c:v>-0.12838780105240913</c:v>
                </c:pt>
                <c:pt idx="85">
                  <c:v>-0.14446027919527243</c:v>
                </c:pt>
                <c:pt idx="86">
                  <c:v>-0.16148085904740658</c:v>
                </c:pt>
                <c:pt idx="87">
                  <c:v>-0.17943054899833116</c:v>
                </c:pt>
                <c:pt idx="88">
                  <c:v>-0.19827932579926255</c:v>
                </c:pt>
                <c:pt idx="89">
                  <c:v>-0.21798490983817603</c:v>
                </c:pt>
                <c:pt idx="90">
                  <c:v>-0.23849147919159583</c:v>
                </c:pt>
                <c:pt idx="91">
                  <c:v>-0.25972832535333146</c:v>
                </c:pt>
                <c:pt idx="92">
                  <c:v>-0.28160845446529714</c:v>
                </c:pt>
                <c:pt idx="93">
                  <c:v>-0.30402713889217736</c:v>
                </c:pt>
                <c:pt idx="94">
                  <c:v>-0.32686042509375135</c:v>
                </c:pt>
                <c:pt idx="95">
                  <c:v>-0.34996360495950773</c:v>
                </c:pt>
                <c:pt idx="96">
                  <c:v>-0.37316965908276589</c:v>
                </c:pt>
                <c:pt idx="97">
                  <c:v>-0.39628768186835001</c:v>
                </c:pt>
                <c:pt idx="98">
                  <c:v>-0.41910129989079203</c:v>
                </c:pt>
                <c:pt idx="99">
                  <c:v>-0.44136709655037853</c:v>
                </c:pt>
                <c:pt idx="100">
                  <c:v>-0.46281305781243309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3C-4A55-84CB-93824E41F1B5}"/>
            </c:ext>
          </c:extLst>
        </c:ser>
        <c:ser>
          <c:idx val="3"/>
          <c:order val="3"/>
          <c:tx>
            <c:v>σθ_in (thick theory)</c:v>
          </c:tx>
          <c:spPr>
            <a:ln>
              <a:solidFill>
                <a:srgbClr val="7979FF"/>
              </a:solidFill>
            </a:ln>
          </c:spPr>
          <c:marker>
            <c:symbol val="none"/>
          </c:marker>
          <c:xVal>
            <c:numRef>
              <c:f>'Thick theory'!$AG$2:$AG$102</c:f>
              <c:numCache>
                <c:formatCode>0.000000</c:formatCode>
                <c:ptCount val="101"/>
                <c:pt idx="0">
                  <c:v>-0.29999999999999988</c:v>
                </c:pt>
                <c:pt idx="1">
                  <c:v>-0.28767982050242619</c:v>
                </c:pt>
                <c:pt idx="2">
                  <c:v>-0.27468118478804354</c:v>
                </c:pt>
                <c:pt idx="3">
                  <c:v>-0.26118876996400431</c:v>
                </c:pt>
                <c:pt idx="4">
                  <c:v>-0.24736773892920899</c:v>
                </c:pt>
                <c:pt idx="5">
                  <c:v>-0.23336491716016097</c:v>
                </c:pt>
                <c:pt idx="6">
                  <c:v>-0.21930996352631782</c:v>
                </c:pt>
                <c:pt idx="7">
                  <c:v>-0.20531652692615371</c:v>
                </c:pt>
                <c:pt idx="8">
                  <c:v>-0.19148338168502385</c:v>
                </c:pt>
                <c:pt idx="9">
                  <c:v>-0.17789553571580052</c:v>
                </c:pt>
                <c:pt idx="10">
                  <c:v>-0.16462530641640705</c:v>
                </c:pt>
                <c:pt idx="11">
                  <c:v>-0.1517333601680928</c:v>
                </c:pt>
                <c:pt idx="12">
                  <c:v>-0.13926971210814129</c:v>
                </c:pt>
                <c:pt idx="13">
                  <c:v>-0.1272746835844612</c:v>
                </c:pt>
                <c:pt idx="14">
                  <c:v>-0.11577981536103159</c:v>
                </c:pt>
                <c:pt idx="15">
                  <c:v>-0.10480873523628699</c:v>
                </c:pt>
                <c:pt idx="16">
                  <c:v>-9.4377979265316131E-2</c:v>
                </c:pt>
                <c:pt idx="17">
                  <c:v>-8.4497766244982397E-2</c:v>
                </c:pt>
                <c:pt idx="18">
                  <c:v>-7.5172725532782841E-2</c:v>
                </c:pt>
                <c:pt idx="19">
                  <c:v>-6.6402578629199335E-2</c:v>
                </c:pt>
                <c:pt idx="20">
                  <c:v>-5.8182775263172212E-2</c:v>
                </c:pt>
                <c:pt idx="21">
                  <c:v>-5.0505084984923121E-2</c:v>
                </c:pt>
                <c:pt idx="22">
                  <c:v>-4.3358145492976931E-2</c:v>
                </c:pt>
                <c:pt idx="23">
                  <c:v>-3.6727969106460631E-2</c:v>
                </c:pt>
                <c:pt idx="24">
                  <c:v>-3.0598408942685437E-2</c:v>
                </c:pt>
                <c:pt idx="25">
                  <c:v>-2.4951586476832668E-2</c:v>
                </c:pt>
                <c:pt idx="26">
                  <c:v>-1.9768282248121157E-2</c:v>
                </c:pt>
                <c:pt idx="27">
                  <c:v>-1.5028291537958599E-2</c:v>
                </c:pt>
                <c:pt idx="28">
                  <c:v>-1.071074688287583E-2</c:v>
                </c:pt>
                <c:pt idx="29">
                  <c:v>-6.794409300884624E-3</c:v>
                </c:pt>
                <c:pt idx="30">
                  <c:v>-3.2579301067345856E-3</c:v>
                </c:pt>
                <c:pt idx="31">
                  <c:v>-8.0085171307663072E-5</c:v>
                </c:pt>
                <c:pt idx="32">
                  <c:v>2.7600165547768604E-3</c:v>
                </c:pt>
                <c:pt idx="33">
                  <c:v>5.2827484816458225E-3</c:v>
                </c:pt>
                <c:pt idx="34">
                  <c:v>7.5078040729022119E-3</c:v>
                </c:pt>
                <c:pt idx="35">
                  <c:v>9.4540551485326526E-3</c:v>
                </c:pt>
                <c:pt idx="36">
                  <c:v>1.1139429234290213E-2</c:v>
                </c:pt>
                <c:pt idx="37">
                  <c:v>1.2580804479412382E-2</c:v>
                </c:pt>
                <c:pt idx="38">
                  <c:v>1.3793920756204276E-2</c:v>
                </c:pt>
                <c:pt idx="39">
                  <c:v>1.4793305651721995E-2</c:v>
                </c:pt>
                <c:pt idx="40">
                  <c:v>1.5592214162527859E-2</c:v>
                </c:pt>
                <c:pt idx="41">
                  <c:v>1.6202581007495581E-2</c:v>
                </c:pt>
                <c:pt idx="42">
                  <c:v>1.6634984580024478E-2</c:v>
                </c:pt>
                <c:pt idx="43">
                  <c:v>1.6898621669182188E-2</c:v>
                </c:pt>
                <c:pt idx="44">
                  <c:v>1.7001292188555957E-2</c:v>
                </c:pt>
                <c:pt idx="45">
                  <c:v>1.6949393261398361E-2</c:v>
                </c:pt>
                <c:pt idx="46">
                  <c:v>1.6747922120486144E-2</c:v>
                </c:pt>
                <c:pt idx="47">
                  <c:v>1.6400487390534117E-2</c:v>
                </c:pt>
                <c:pt idx="48">
                  <c:v>1.5909328429523646E-2</c:v>
                </c:pt>
                <c:pt idx="49">
                  <c:v>1.5275342512586061E-2</c:v>
                </c:pt>
                <c:pt idx="50">
                  <c:v>1.4498119747686663E-2</c:v>
                </c:pt>
                <c:pt idx="51">
                  <c:v>1.3575985715941364E-2</c:v>
                </c:pt>
                <c:pt idx="52">
                  <c:v>1.2506051930587597E-2</c:v>
                </c:pt>
                <c:pt idx="53">
                  <c:v>1.1284274307050039E-2</c:v>
                </c:pt>
                <c:pt idx="54">
                  <c:v>9.905519931841817E-3</c:v>
                </c:pt>
                <c:pt idx="55">
                  <c:v>8.3636425097334509E-3</c:v>
                </c:pt>
                <c:pt idx="56">
                  <c:v>6.651566956440114E-3</c:v>
                </c:pt>
                <c:pt idx="57">
                  <c:v>4.7613836873631483E-3</c:v>
                </c:pt>
                <c:pt idx="58">
                  <c:v>2.6844532313709361E-3</c:v>
                </c:pt>
                <c:pt idx="59">
                  <c:v>4.1152187154504596E-4</c:v>
                </c:pt>
                <c:pt idx="60">
                  <c:v>-2.0671509182783061E-3</c:v>
                </c:pt>
                <c:pt idx="61">
                  <c:v>-4.7616524121503901E-3</c:v>
                </c:pt>
                <c:pt idx="62">
                  <c:v>-7.6822630640257968E-3</c:v>
                </c:pt>
                <c:pt idx="63">
                  <c:v>-1.0839288506753132E-2</c:v>
                </c:pt>
                <c:pt idx="64">
                  <c:v>-1.4242876156104553E-2</c:v>
                </c:pt>
                <c:pt idx="65">
                  <c:v>-1.7902815432350668E-2</c:v>
                </c:pt>
                <c:pt idx="66">
                  <c:v>-2.1828320597296585E-2</c:v>
                </c:pt>
                <c:pt idx="67">
                  <c:v>-2.6027795202225087E-2</c:v>
                </c:pt>
                <c:pt idx="68">
                  <c:v>-3.0508577152961083E-2</c:v>
                </c:pt>
                <c:pt idx="69">
                  <c:v>-3.5276663423585347E-2</c:v>
                </c:pt>
                <c:pt idx="70">
                  <c:v>-4.0336413491556859E-2</c:v>
                </c:pt>
                <c:pt idx="71">
                  <c:v>-4.5690230625557701E-2</c:v>
                </c:pt>
                <c:pt idx="72">
                  <c:v>-5.1338220234876407E-2</c:v>
                </c:pt>
                <c:pt idx="73">
                  <c:v>-5.7277824587109054E-2</c:v>
                </c:pt>
                <c:pt idx="74">
                  <c:v>-6.3503433321228736E-2</c:v>
                </c:pt>
                <c:pt idx="75">
                  <c:v>-7.0005969327374767E-2</c:v>
                </c:pt>
                <c:pt idx="76">
                  <c:v>-7.6772449734903381E-2</c:v>
                </c:pt>
                <c:pt idx="77">
                  <c:v>-8.378552194834267E-2</c:v>
                </c:pt>
                <c:pt idx="78">
                  <c:v>-9.1022974898864684E-2</c:v>
                </c:pt>
                <c:pt idx="79">
                  <c:v>-9.8457225938721679E-2</c:v>
                </c:pt>
                <c:pt idx="80">
                  <c:v>-0.10605478410007957</c:v>
                </c:pt>
                <c:pt idx="81">
                  <c:v>-0.11377569076965387</c:v>
                </c:pt>
                <c:pt idx="82">
                  <c:v>-0.12157293919893283</c:v>
                </c:pt>
                <c:pt idx="83">
                  <c:v>-0.12939187467841687</c:v>
                </c:pt>
                <c:pt idx="84">
                  <c:v>-0.13716957765549551</c:v>
                </c:pt>
                <c:pt idx="85">
                  <c:v>-0.14483423257117428</c:v>
                </c:pt>
                <c:pt idx="86">
                  <c:v>-0.15230448573291347</c:v>
                </c:pt>
                <c:pt idx="87">
                  <c:v>-0.15948879613108968</c:v>
                </c:pt>
                <c:pt idx="88">
                  <c:v>-0.16628478374669559</c:v>
                </c:pt>
                <c:pt idx="89">
                  <c:v>-0.17257858058943779</c:v>
                </c:pt>
                <c:pt idx="90">
                  <c:v>-0.17824419044942566</c:v>
                </c:pt>
                <c:pt idx="91">
                  <c:v>-0.18314286414333963</c:v>
                </c:pt>
                <c:pt idx="92">
                  <c:v>-0.1871224978877648</c:v>
                </c:pt>
                <c:pt idx="93">
                  <c:v>-0.19001706333878698</c:v>
                </c:pt>
                <c:pt idx="94">
                  <c:v>-0.19164607879748646</c:v>
                </c:pt>
                <c:pt idx="95">
                  <c:v>-0.19181413209521955</c:v>
                </c:pt>
                <c:pt idx="96">
                  <c:v>-0.19031046673923546</c:v>
                </c:pt>
                <c:pt idx="97">
                  <c:v>-0.18690864401620236</c:v>
                </c:pt>
                <c:pt idx="98">
                  <c:v>-0.18136629491634693</c:v>
                </c:pt>
                <c:pt idx="99">
                  <c:v>-0.17342497695042125</c:v>
                </c:pt>
                <c:pt idx="100">
                  <c:v>-0.16281015218154654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3C-4A55-84CB-93824E41F1B5}"/>
            </c:ext>
          </c:extLst>
        </c:ser>
        <c:ser>
          <c:idx val="4"/>
          <c:order val="4"/>
          <c:tx>
            <c:v>σθ_mid (thick theory)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'Thick theory'!$AH$2:$AH$102</c:f>
              <c:numCache>
                <c:formatCode>0.000000</c:formatCode>
                <c:ptCount val="101"/>
                <c:pt idx="0">
                  <c:v>-0.29999999999999982</c:v>
                </c:pt>
                <c:pt idx="1">
                  <c:v>-0.27834366967904944</c:v>
                </c:pt>
                <c:pt idx="2">
                  <c:v>-0.25726164535900176</c:v>
                </c:pt>
                <c:pt idx="3">
                  <c:v>-0.23684376869859144</c:v>
                </c:pt>
                <c:pt idx="4">
                  <c:v>-0.2171633496146991</c:v>
                </c:pt>
                <c:pt idx="5">
                  <c:v>-0.19827867352809866</c:v>
                </c:pt>
                <c:pt idx="6">
                  <c:v>-0.18023443500084901</c:v>
                </c:pt>
                <c:pt idx="7">
                  <c:v>-0.16306309600725491</c:v>
                </c:pt>
                <c:pt idx="8">
                  <c:v>-0.14678616789135407</c:v>
                </c:pt>
                <c:pt idx="9">
                  <c:v>-0.1314154167806226</c:v>
                </c:pt>
                <c:pt idx="10">
                  <c:v>-0.11695399285454354</c:v>
                </c:pt>
                <c:pt idx="11">
                  <c:v>-0.10339748441393447</c:v>
                </c:pt>
                <c:pt idx="12">
                  <c:v>-9.0734898168586792E-2</c:v>
                </c:pt>
                <c:pt idx="13">
                  <c:v>-7.8949567562630094E-2</c:v>
                </c:pt>
                <c:pt idx="14">
                  <c:v>-6.8019991294875765E-2</c:v>
                </c:pt>
                <c:pt idx="15">
                  <c:v>-5.7920604470478212E-2</c:v>
                </c:pt>
                <c:pt idx="16">
                  <c:v>-4.8622485045971414E-2</c:v>
                </c:pt>
                <c:pt idx="17">
                  <c:v>-4.0093998406853161E-2</c:v>
                </c:pt>
                <c:pt idx="18">
                  <c:v>-3.2301383050254054E-2</c:v>
                </c:pt>
                <c:pt idx="19">
                  <c:v>-2.5209280439159997E-2</c:v>
                </c:pt>
                <c:pt idx="20">
                  <c:v>-1.8781212153343971E-2</c:v>
                </c:pt>
                <c:pt idx="21">
                  <c:v>-1.2980007489586866E-2</c:v>
                </c:pt>
                <c:pt idx="22">
                  <c:v>-7.7681846634294642E-3</c:v>
                </c:pt>
                <c:pt idx="23">
                  <c:v>-3.1082887401039289E-3</c:v>
                </c:pt>
                <c:pt idx="24">
                  <c:v>1.0368106234910138E-3</c:v>
                </c:pt>
                <c:pt idx="25">
                  <c:v>4.7036586079899365E-3</c:v>
                </c:pt>
                <c:pt idx="26">
                  <c:v>7.9279888938837348E-3</c:v>
                </c:pt>
                <c:pt idx="27">
                  <c:v>1.0744528711874477E-2</c:v>
                </c:pt>
                <c:pt idx="28">
                  <c:v>1.3186832540166378E-2</c:v>
                </c:pt>
                <c:pt idx="29">
                  <c:v>1.5287141820699637E-2</c:v>
                </c:pt>
                <c:pt idx="30">
                  <c:v>1.7076268186637818E-2</c:v>
                </c:pt>
                <c:pt idx="31">
                  <c:v>1.8583497819497852E-2</c:v>
                </c:pt>
                <c:pt idx="32">
                  <c:v>1.9836514684615874E-2</c:v>
                </c:pt>
                <c:pt idx="33">
                  <c:v>2.0861340527010139E-2</c:v>
                </c:pt>
                <c:pt idx="34">
                  <c:v>2.1682289645037739E-2</c:v>
                </c:pt>
                <c:pt idx="35">
                  <c:v>2.2321936595566784E-2</c:v>
                </c:pt>
                <c:pt idx="36">
                  <c:v>2.2801095120991849E-2</c:v>
                </c:pt>
                <c:pt idx="37">
                  <c:v>2.3138806724535887E-2</c:v>
                </c:pt>
                <c:pt idx="38">
                  <c:v>2.3352337455416528E-2</c:v>
                </c:pt>
                <c:pt idx="39">
                  <c:v>2.3457181599156929E-2</c:v>
                </c:pt>
                <c:pt idx="40">
                  <c:v>2.3467071100178715E-2</c:v>
                </c:pt>
                <c:pt idx="41">
                  <c:v>2.3393989673665953E-2</c:v>
                </c:pt>
                <c:pt idx="42">
                  <c:v>2.3248190691220402E-2</c:v>
                </c:pt>
                <c:pt idx="43">
                  <c:v>2.3038218050014089E-2</c:v>
                </c:pt>
                <c:pt idx="44">
                  <c:v>2.2770929357882868E-2</c:v>
                </c:pt>
                <c:pt idx="45">
                  <c:v>2.2451520887073143E-2</c:v>
                </c:pt>
                <c:pt idx="46">
                  <c:v>2.2083553867191397E-2</c:v>
                </c:pt>
                <c:pt idx="47">
                  <c:v>2.1668981803399569E-2</c:v>
                </c:pt>
                <c:pt idx="48">
                  <c:v>2.1208178619071812E-2</c:v>
                </c:pt>
                <c:pt idx="49">
                  <c:v>2.0699967533161764E-2</c:v>
                </c:pt>
                <c:pt idx="50">
                  <c:v>2.0141650691481265E-2</c:v>
                </c:pt>
                <c:pt idx="51">
                  <c:v>1.9529039678110593E-2</c:v>
                </c:pt>
                <c:pt idx="52">
                  <c:v>1.8856487138349906E-2</c:v>
                </c:pt>
                <c:pt idx="53">
                  <c:v>1.8116919848081763E-2</c:v>
                </c:pt>
                <c:pt idx="54">
                  <c:v>1.7301873666260938E-2</c:v>
                </c:pt>
                <c:pt idx="55">
                  <c:v>1.6401530907451462E-2</c:v>
                </c:pt>
                <c:pt idx="56">
                  <c:v>1.5404760770076046E-2</c:v>
                </c:pt>
                <c:pt idx="57">
                  <c:v>1.4299163553116544E-2</c:v>
                </c:pt>
                <c:pt idx="58">
                  <c:v>1.3071119489534979E-2</c:v>
                </c:pt>
                <c:pt idx="59">
                  <c:v>1.1705843118439552E-2</c:v>
                </c:pt>
                <c:pt idx="60">
                  <c:v>1.0187444209876977E-2</c:v>
                </c:pt>
                <c:pt idx="61">
                  <c:v>8.498996345851861E-3</c:v>
                </c:pt>
                <c:pt idx="62">
                  <c:v>6.6226143484413892E-3</c:v>
                </c:pt>
                <c:pt idx="63">
                  <c:v>4.5395418303096728E-3</c:v>
                </c:pt>
                <c:pt idx="64">
                  <c:v>2.2302502240450959E-3</c:v>
                </c:pt>
                <c:pt idx="65">
                  <c:v>-3.254492760191515E-4</c:v>
                </c:pt>
                <c:pt idx="66">
                  <c:v>-3.1482793531098499E-3</c:v>
                </c:pt>
                <c:pt idx="67">
                  <c:v>-6.2593542146804071E-3</c:v>
                </c:pt>
                <c:pt idx="68">
                  <c:v>-9.6800196114472502E-3</c:v>
                </c:pt>
                <c:pt idx="69">
                  <c:v>-1.3431673539777304E-2</c:v>
                </c:pt>
                <c:pt idx="70">
                  <c:v>-1.7535565892697363E-2</c:v>
                </c:pt>
                <c:pt idx="71">
                  <c:v>-2.2012575288601718E-2</c:v>
                </c:pt>
                <c:pt idx="72">
                  <c:v>-2.6882961281530532E-2</c:v>
                </c:pt>
                <c:pt idx="73">
                  <c:v>-3.2166090144066781E-2</c:v>
                </c:pt>
                <c:pt idx="74">
                  <c:v>-3.7880132415247222E-2</c:v>
                </c:pt>
                <c:pt idx="75">
                  <c:v>-4.4041730423130504E-2</c:v>
                </c:pt>
                <c:pt idx="76">
                  <c:v>-5.0665634026759152E-2</c:v>
                </c:pt>
                <c:pt idx="77">
                  <c:v>-5.7764302877359563E-2</c:v>
                </c:pt>
                <c:pt idx="78">
                  <c:v>-6.5347473575954926E-2</c:v>
                </c:pt>
                <c:pt idx="79">
                  <c:v>-7.3421690206486409E-2</c:v>
                </c:pt>
                <c:pt idx="80">
                  <c:v>-8.1989796852737121E-2</c:v>
                </c:pt>
                <c:pt idx="81">
                  <c:v>-9.105039086634259E-2</c:v>
                </c:pt>
                <c:pt idx="82">
                  <c:v>-0.10059723584497691</c:v>
                </c:pt>
                <c:pt idx="83">
                  <c:v>-0.11061863350724678</c:v>
                </c:pt>
                <c:pt idx="84">
                  <c:v>-0.12109675391714</c:v>
                </c:pt>
                <c:pt idx="85">
                  <c:v>-0.13200692381916398</c:v>
                </c:pt>
                <c:pt idx="86">
                  <c:v>-0.14331687319898545</c:v>
                </c:pt>
                <c:pt idx="87">
                  <c:v>-0.15498594058679868</c:v>
                </c:pt>
                <c:pt idx="88">
                  <c:v>-0.1669642380752637</c:v>
                </c:pt>
                <c:pt idx="89">
                  <c:v>-0.17919177753431578</c:v>
                </c:pt>
                <c:pt idx="90">
                  <c:v>-0.19159756007476547</c:v>
                </c:pt>
                <c:pt idx="91">
                  <c:v>-0.20409863144517693</c:v>
                </c:pt>
                <c:pt idx="92">
                  <c:v>-0.21659910674526039</c:v>
                </c:pt>
                <c:pt idx="93">
                  <c:v>-0.22898916860764082</c:v>
                </c:pt>
                <c:pt idx="94">
                  <c:v>-0.24114404384132943</c:v>
                </c:pt>
                <c:pt idx="95">
                  <c:v>-0.25292296444789669</c:v>
                </c:pt>
                <c:pt idx="96">
                  <c:v>-0.26416811991806094</c:v>
                </c:pt>
                <c:pt idx="97">
                  <c:v>-0.27470360879458333</c:v>
                </c:pt>
                <c:pt idx="98">
                  <c:v>-0.28433439864964977</c:v>
                </c:pt>
                <c:pt idx="99">
                  <c:v>-0.29284530487273608</c:v>
                </c:pt>
                <c:pt idx="100">
                  <c:v>-0.29999999999995641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3C-4A55-84CB-93824E41F1B5}"/>
            </c:ext>
          </c:extLst>
        </c:ser>
        <c:ser>
          <c:idx val="5"/>
          <c:order val="5"/>
          <c:tx>
            <c:v>σθ_out (thick theory)</c:v>
          </c:tx>
          <c:spPr>
            <a:ln>
              <a:solidFill>
                <a:srgbClr val="0400AC"/>
              </a:solidFill>
            </a:ln>
          </c:spPr>
          <c:marker>
            <c:symbol val="none"/>
          </c:marker>
          <c:xVal>
            <c:numRef>
              <c:f>'Thick theory'!$AI$2:$AI$102</c:f>
              <c:numCache>
                <c:formatCode>0.000000</c:formatCode>
                <c:ptCount val="101"/>
                <c:pt idx="0">
                  <c:v>-0.29999999999999977</c:v>
                </c:pt>
                <c:pt idx="1">
                  <c:v>-0.2690075188556727</c:v>
                </c:pt>
                <c:pt idx="2">
                  <c:v>-0.23984210592995994</c:v>
                </c:pt>
                <c:pt idx="3">
                  <c:v>-0.21249876743317858</c:v>
                </c:pt>
                <c:pt idx="4">
                  <c:v>-0.18695896030018921</c:v>
                </c:pt>
                <c:pt idx="5">
                  <c:v>-0.16319242989603636</c:v>
                </c:pt>
                <c:pt idx="6">
                  <c:v>-0.14115890647538021</c:v>
                </c:pt>
                <c:pt idx="7">
                  <c:v>-0.12080966508835612</c:v>
                </c:pt>
                <c:pt idx="8">
                  <c:v>-0.10208895409768429</c:v>
                </c:pt>
                <c:pt idx="9">
                  <c:v>-8.4935297845444693E-2</c:v>
                </c:pt>
                <c:pt idx="10">
                  <c:v>-6.9282679292680033E-2</c:v>
                </c:pt>
                <c:pt idx="11">
                  <c:v>-5.5061608659776121E-2</c:v>
                </c:pt>
                <c:pt idx="12">
                  <c:v>-4.2200084229032292E-2</c:v>
                </c:pt>
                <c:pt idx="13">
                  <c:v>-3.0624451540799E-2</c:v>
                </c:pt>
                <c:pt idx="14">
                  <c:v>-2.0260167228719941E-2</c:v>
                </c:pt>
                <c:pt idx="15">
                  <c:v>-1.1032473704669435E-2</c:v>
                </c:pt>
                <c:pt idx="16">
                  <c:v>-2.8669908266266905E-3</c:v>
                </c:pt>
                <c:pt idx="17">
                  <c:v>4.3097694312760684E-3</c:v>
                </c:pt>
                <c:pt idx="18">
                  <c:v>1.0569959432274734E-2</c:v>
                </c:pt>
                <c:pt idx="19">
                  <c:v>1.5984017750879338E-2</c:v>
                </c:pt>
                <c:pt idx="20">
                  <c:v>2.0620350956484273E-2</c:v>
                </c:pt>
                <c:pt idx="21">
                  <c:v>2.4545070005749389E-2</c:v>
                </c:pt>
                <c:pt idx="22">
                  <c:v>2.7821776166118004E-2</c:v>
                </c:pt>
                <c:pt idx="23">
                  <c:v>3.0511391626252771E-2</c:v>
                </c:pt>
                <c:pt idx="24">
                  <c:v>3.2672030189667467E-2</c:v>
                </c:pt>
                <c:pt idx="25">
                  <c:v>3.435890369281254E-2</c:v>
                </c:pt>
                <c:pt idx="26">
                  <c:v>3.562426003588863E-2</c:v>
                </c:pt>
                <c:pt idx="27">
                  <c:v>3.6517348961707552E-2</c:v>
                </c:pt>
                <c:pt idx="28">
                  <c:v>3.7084411963208587E-2</c:v>
                </c:pt>
                <c:pt idx="29">
                  <c:v>3.7368692942283899E-2</c:v>
                </c:pt>
                <c:pt idx="30">
                  <c:v>3.7410466480010222E-2</c:v>
                </c:pt>
                <c:pt idx="31">
                  <c:v>3.7247080810303368E-2</c:v>
                </c:pt>
                <c:pt idx="32">
                  <c:v>3.6913012814454887E-2</c:v>
                </c:pt>
                <c:pt idx="33">
                  <c:v>3.6439932572374455E-2</c:v>
                </c:pt>
                <c:pt idx="34">
                  <c:v>3.5856775217173266E-2</c:v>
                </c:pt>
                <c:pt idx="35">
                  <c:v>3.5189818042600914E-2</c:v>
                </c:pt>
                <c:pt idx="36">
                  <c:v>3.4462761007693486E-2</c:v>
                </c:pt>
                <c:pt idx="37">
                  <c:v>3.3696808969659389E-2</c:v>
                </c:pt>
                <c:pt idx="38">
                  <c:v>3.2910754154628782E-2</c:v>
                </c:pt>
                <c:pt idx="39">
                  <c:v>3.2121057546591864E-2</c:v>
                </c:pt>
                <c:pt idx="40">
                  <c:v>3.1341928037829571E-2</c:v>
                </c:pt>
                <c:pt idx="41">
                  <c:v>3.0585398339836325E-2</c:v>
                </c:pt>
                <c:pt idx="42">
                  <c:v>2.9861396802416326E-2</c:v>
                </c:pt>
                <c:pt idx="43">
                  <c:v>2.9177814430845991E-2</c:v>
                </c:pt>
                <c:pt idx="44">
                  <c:v>2.8540566527209779E-2</c:v>
                </c:pt>
                <c:pt idx="45">
                  <c:v>2.7953648512747925E-2</c:v>
                </c:pt>
                <c:pt idx="46">
                  <c:v>2.7419185613896651E-2</c:v>
                </c:pt>
                <c:pt idx="47">
                  <c:v>2.6937476216265022E-2</c:v>
                </c:pt>
                <c:pt idx="48">
                  <c:v>2.6507028808619978E-2</c:v>
                </c:pt>
                <c:pt idx="49">
                  <c:v>2.6124592553737468E-2</c:v>
                </c:pt>
                <c:pt idx="50">
                  <c:v>2.5785181635275867E-2</c:v>
                </c:pt>
                <c:pt idx="51">
                  <c:v>2.5482093640279823E-2</c:v>
                </c:pt>
                <c:pt idx="52">
                  <c:v>2.5206922346112215E-2</c:v>
                </c:pt>
                <c:pt idx="53">
                  <c:v>2.4949565389113488E-2</c:v>
                </c:pt>
                <c:pt idx="54">
                  <c:v>2.4698227400680058E-2</c:v>
                </c:pt>
                <c:pt idx="55">
                  <c:v>2.4439419305169473E-2</c:v>
                </c:pt>
                <c:pt idx="56">
                  <c:v>2.4157954583711977E-2</c:v>
                </c:pt>
                <c:pt idx="57">
                  <c:v>2.3836943418869938E-2</c:v>
                </c:pt>
                <c:pt idx="58">
                  <c:v>2.3457785747699023E-2</c:v>
                </c:pt>
                <c:pt idx="59">
                  <c:v>2.3000164365334058E-2</c:v>
                </c:pt>
                <c:pt idx="60">
                  <c:v>2.2442039338032259E-2</c:v>
                </c:pt>
                <c:pt idx="61">
                  <c:v>2.1759645103854114E-2</c:v>
                </c:pt>
                <c:pt idx="62">
                  <c:v>2.0927491760908575E-2</c:v>
                </c:pt>
                <c:pt idx="63">
                  <c:v>1.9918372167372477E-2</c:v>
                </c:pt>
                <c:pt idx="64">
                  <c:v>1.8703376604194744E-2</c:v>
                </c:pt>
                <c:pt idx="65">
                  <c:v>1.7251916880312367E-2</c:v>
                </c:pt>
                <c:pt idx="66">
                  <c:v>1.5531761891076884E-2</c:v>
                </c:pt>
                <c:pt idx="67">
                  <c:v>1.3509086772864273E-2</c:v>
                </c:pt>
                <c:pt idx="68">
                  <c:v>1.1148537930066585E-2</c:v>
                </c:pt>
                <c:pt idx="69">
                  <c:v>8.4133163440307385E-3</c:v>
                </c:pt>
                <c:pt idx="70">
                  <c:v>5.2652817061621324E-3</c:v>
                </c:pt>
                <c:pt idx="71">
                  <c:v>1.6650800483542678E-3</c:v>
                </c:pt>
                <c:pt idx="72">
                  <c:v>-2.4277023281846569E-3</c:v>
                </c:pt>
                <c:pt idx="73">
                  <c:v>-7.0543557010245075E-3</c:v>
                </c:pt>
                <c:pt idx="74">
                  <c:v>-1.2256831509265716E-2</c:v>
                </c:pt>
                <c:pt idx="75">
                  <c:v>-1.8077491518886234E-2</c:v>
                </c:pt>
                <c:pt idx="76">
                  <c:v>-2.4558818318614915E-2</c:v>
                </c:pt>
                <c:pt idx="77">
                  <c:v>-3.1743083806376457E-2</c:v>
                </c:pt>
                <c:pt idx="78">
                  <c:v>-3.9671972253045161E-2</c:v>
                </c:pt>
                <c:pt idx="79">
                  <c:v>-4.8386154474251139E-2</c:v>
                </c:pt>
                <c:pt idx="80">
                  <c:v>-5.792480960539468E-2</c:v>
                </c:pt>
                <c:pt idx="81">
                  <c:v>-6.8325090963031312E-2</c:v>
                </c:pt>
                <c:pt idx="82">
                  <c:v>-7.9621532491020997E-2</c:v>
                </c:pt>
                <c:pt idx="83">
                  <c:v>-9.1845392336076706E-2</c:v>
                </c:pt>
                <c:pt idx="84">
                  <c:v>-0.10502393017878452</c:v>
                </c:pt>
                <c:pt idx="85">
                  <c:v>-0.1191796150671537</c:v>
                </c:pt>
                <c:pt idx="86">
                  <c:v>-0.13432926066505743</c:v>
                </c:pt>
                <c:pt idx="87">
                  <c:v>-0.15048308504250768</c:v>
                </c:pt>
                <c:pt idx="88">
                  <c:v>-0.16764369240383181</c:v>
                </c:pt>
                <c:pt idx="89">
                  <c:v>-0.18580497447919378</c:v>
                </c:pt>
                <c:pt idx="90">
                  <c:v>-0.20495092970010528</c:v>
                </c:pt>
                <c:pt idx="91">
                  <c:v>-0.22505439874701422</c:v>
                </c:pt>
                <c:pt idx="92">
                  <c:v>-0.24607571560275598</c:v>
                </c:pt>
                <c:pt idx="93">
                  <c:v>-0.26796127387649465</c:v>
                </c:pt>
                <c:pt idx="94">
                  <c:v>-0.29064200888517239</c:v>
                </c:pt>
                <c:pt idx="95">
                  <c:v>-0.31403179680057386</c:v>
                </c:pt>
                <c:pt idx="96">
                  <c:v>-0.33802577309688642</c:v>
                </c:pt>
                <c:pt idx="97">
                  <c:v>-0.36249857357296433</c:v>
                </c:pt>
                <c:pt idx="98">
                  <c:v>-0.38730250238295261</c:v>
                </c:pt>
                <c:pt idx="99">
                  <c:v>-0.41226563279505091</c:v>
                </c:pt>
                <c:pt idx="100">
                  <c:v>-0.43718984781836628</c:v>
                </c:pt>
              </c:numCache>
            </c:numRef>
          </c:xVal>
          <c:yVal>
            <c:numRef>
              <c:f>'Thin theory'!$P$2:$P$102</c:f>
              <c:numCache>
                <c:formatCode>0.000000</c:formatCode>
                <c:ptCount val="101"/>
                <c:pt idx="0">
                  <c:v>0</c:v>
                </c:pt>
                <c:pt idx="1">
                  <c:v>0.111803398874989</c:v>
                </c:pt>
                <c:pt idx="2">
                  <c:v>0.22360679774997799</c:v>
                </c:pt>
                <c:pt idx="3">
                  <c:v>0.33541019662496696</c:v>
                </c:pt>
                <c:pt idx="4">
                  <c:v>0.44721359549995598</c:v>
                </c:pt>
                <c:pt idx="5">
                  <c:v>0.55901699437494501</c:v>
                </c:pt>
                <c:pt idx="6">
                  <c:v>0.67082039324993392</c:v>
                </c:pt>
                <c:pt idx="7">
                  <c:v>0.78262379212492306</c:v>
                </c:pt>
                <c:pt idx="8">
                  <c:v>0.89442719099991197</c:v>
                </c:pt>
                <c:pt idx="9">
                  <c:v>1.0062305898749009</c:v>
                </c:pt>
                <c:pt idx="10">
                  <c:v>1.11803398874989</c:v>
                </c:pt>
                <c:pt idx="11">
                  <c:v>1.2298373876248789</c:v>
                </c:pt>
                <c:pt idx="12">
                  <c:v>1.3416407864998678</c:v>
                </c:pt>
                <c:pt idx="13">
                  <c:v>1.453444185374857</c:v>
                </c:pt>
                <c:pt idx="14">
                  <c:v>1.5652475842498461</c:v>
                </c:pt>
                <c:pt idx="15">
                  <c:v>1.6770509831248348</c:v>
                </c:pt>
                <c:pt idx="16">
                  <c:v>1.7888543819998239</c:v>
                </c:pt>
                <c:pt idx="17">
                  <c:v>1.9006577808748131</c:v>
                </c:pt>
                <c:pt idx="18">
                  <c:v>2.0124611797498018</c:v>
                </c:pt>
                <c:pt idx="19">
                  <c:v>2.1242645786247909</c:v>
                </c:pt>
                <c:pt idx="20">
                  <c:v>2.23606797749978</c:v>
                </c:pt>
                <c:pt idx="21">
                  <c:v>2.3478713763747687</c:v>
                </c:pt>
                <c:pt idx="22">
                  <c:v>2.4596747752497579</c:v>
                </c:pt>
                <c:pt idx="23">
                  <c:v>2.571478174124747</c:v>
                </c:pt>
                <c:pt idx="24">
                  <c:v>2.6832815729997357</c:v>
                </c:pt>
                <c:pt idx="25">
                  <c:v>2.7950849718747248</c:v>
                </c:pt>
                <c:pt idx="26">
                  <c:v>2.906888370749714</c:v>
                </c:pt>
                <c:pt idx="27">
                  <c:v>3.0186917696247031</c:v>
                </c:pt>
                <c:pt idx="28">
                  <c:v>3.1304951684996922</c:v>
                </c:pt>
                <c:pt idx="29">
                  <c:v>3.2422985673746805</c:v>
                </c:pt>
                <c:pt idx="30">
                  <c:v>3.3541019662496696</c:v>
                </c:pt>
                <c:pt idx="31">
                  <c:v>3.4659053651246587</c:v>
                </c:pt>
                <c:pt idx="32">
                  <c:v>3.5777087639996479</c:v>
                </c:pt>
                <c:pt idx="33">
                  <c:v>3.689512162874637</c:v>
                </c:pt>
                <c:pt idx="34">
                  <c:v>3.8013155617496261</c:v>
                </c:pt>
                <c:pt idx="35">
                  <c:v>3.9131189606246144</c:v>
                </c:pt>
                <c:pt idx="36">
                  <c:v>4.0249223594996035</c:v>
                </c:pt>
                <c:pt idx="37">
                  <c:v>4.1367257583745927</c:v>
                </c:pt>
                <c:pt idx="38">
                  <c:v>4.2485291572495818</c:v>
                </c:pt>
                <c:pt idx="39">
                  <c:v>4.3603325561245709</c:v>
                </c:pt>
                <c:pt idx="40">
                  <c:v>4.4721359549995601</c:v>
                </c:pt>
                <c:pt idx="41">
                  <c:v>4.5839393538745483</c:v>
                </c:pt>
                <c:pt idx="42">
                  <c:v>4.6957427527495375</c:v>
                </c:pt>
                <c:pt idx="43">
                  <c:v>4.8075461516245266</c:v>
                </c:pt>
                <c:pt idx="44">
                  <c:v>4.9193495504995157</c:v>
                </c:pt>
                <c:pt idx="45">
                  <c:v>5.0311529493745049</c:v>
                </c:pt>
                <c:pt idx="46">
                  <c:v>5.142956348249494</c:v>
                </c:pt>
                <c:pt idx="47">
                  <c:v>5.2547597471244822</c:v>
                </c:pt>
                <c:pt idx="48">
                  <c:v>5.3665631459994714</c:v>
                </c:pt>
                <c:pt idx="49">
                  <c:v>5.4783665448744605</c:v>
                </c:pt>
                <c:pt idx="50">
                  <c:v>5.5901699437494496</c:v>
                </c:pt>
                <c:pt idx="51">
                  <c:v>5.7019733426244388</c:v>
                </c:pt>
                <c:pt idx="52">
                  <c:v>5.8137767414994279</c:v>
                </c:pt>
                <c:pt idx="53">
                  <c:v>5.925580140374417</c:v>
                </c:pt>
                <c:pt idx="54">
                  <c:v>6.0373835392494062</c:v>
                </c:pt>
                <c:pt idx="55">
                  <c:v>6.1491869381243953</c:v>
                </c:pt>
                <c:pt idx="56">
                  <c:v>6.2609903369993845</c:v>
                </c:pt>
                <c:pt idx="57">
                  <c:v>6.3727937358743718</c:v>
                </c:pt>
                <c:pt idx="58">
                  <c:v>6.4845971347493609</c:v>
                </c:pt>
                <c:pt idx="59">
                  <c:v>6.5964005336243501</c:v>
                </c:pt>
                <c:pt idx="60">
                  <c:v>6.7082039324993392</c:v>
                </c:pt>
                <c:pt idx="61">
                  <c:v>6.8200073313743284</c:v>
                </c:pt>
                <c:pt idx="62">
                  <c:v>6.9318107302493175</c:v>
                </c:pt>
                <c:pt idx="63">
                  <c:v>7.0436141291243066</c:v>
                </c:pt>
                <c:pt idx="64">
                  <c:v>7.1554175279992958</c:v>
                </c:pt>
                <c:pt idx="65">
                  <c:v>7.2672209268742849</c:v>
                </c:pt>
                <c:pt idx="66">
                  <c:v>7.379024325749274</c:v>
                </c:pt>
                <c:pt idx="67">
                  <c:v>7.4908277246242632</c:v>
                </c:pt>
                <c:pt idx="68">
                  <c:v>7.6026311234992523</c:v>
                </c:pt>
                <c:pt idx="69">
                  <c:v>7.7144345223742397</c:v>
                </c:pt>
                <c:pt idx="70">
                  <c:v>7.8262379212492288</c:v>
                </c:pt>
                <c:pt idx="71">
                  <c:v>7.9380413201242179</c:v>
                </c:pt>
                <c:pt idx="72">
                  <c:v>8.0498447189992071</c:v>
                </c:pt>
                <c:pt idx="73">
                  <c:v>8.1616481178741971</c:v>
                </c:pt>
                <c:pt idx="74">
                  <c:v>8.2734515167491853</c:v>
                </c:pt>
                <c:pt idx="75">
                  <c:v>8.3852549156241736</c:v>
                </c:pt>
                <c:pt idx="76">
                  <c:v>8.4970583144991636</c:v>
                </c:pt>
                <c:pt idx="77">
                  <c:v>8.6088617133741518</c:v>
                </c:pt>
                <c:pt idx="78">
                  <c:v>8.7206651122491419</c:v>
                </c:pt>
                <c:pt idx="79">
                  <c:v>8.8324685111241301</c:v>
                </c:pt>
                <c:pt idx="80">
                  <c:v>8.9442719099991201</c:v>
                </c:pt>
                <c:pt idx="81">
                  <c:v>9.0560753088741084</c:v>
                </c:pt>
                <c:pt idx="82">
                  <c:v>9.1678787077490966</c:v>
                </c:pt>
                <c:pt idx="83">
                  <c:v>9.2796821066240867</c:v>
                </c:pt>
                <c:pt idx="84">
                  <c:v>9.3914855054990749</c:v>
                </c:pt>
                <c:pt idx="85">
                  <c:v>9.5032889043740649</c:v>
                </c:pt>
                <c:pt idx="86">
                  <c:v>9.6150923032490532</c:v>
                </c:pt>
                <c:pt idx="87">
                  <c:v>9.7268957021240432</c:v>
                </c:pt>
                <c:pt idx="88">
                  <c:v>9.8386991009990314</c:v>
                </c:pt>
                <c:pt idx="89">
                  <c:v>9.9505024998740197</c:v>
                </c:pt>
                <c:pt idx="90">
                  <c:v>10.06230589874901</c:v>
                </c:pt>
                <c:pt idx="91">
                  <c:v>10.174109297623998</c:v>
                </c:pt>
                <c:pt idx="92">
                  <c:v>10.285912696498988</c:v>
                </c:pt>
                <c:pt idx="93">
                  <c:v>10.397716095373976</c:v>
                </c:pt>
                <c:pt idx="94">
                  <c:v>10.509519494248964</c:v>
                </c:pt>
                <c:pt idx="95">
                  <c:v>10.621322893123955</c:v>
                </c:pt>
                <c:pt idx="96">
                  <c:v>10.733126291998943</c:v>
                </c:pt>
                <c:pt idx="97">
                  <c:v>10.844929690873933</c:v>
                </c:pt>
                <c:pt idx="98">
                  <c:v>10.956733089748921</c:v>
                </c:pt>
                <c:pt idx="99">
                  <c:v>11.068536488623911</c:v>
                </c:pt>
                <c:pt idx="100">
                  <c:v>11.180339887498899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3C-4A55-84CB-93824E41F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018272"/>
        <c:axId val="1008510432"/>
      </c:scatterChart>
      <c:valAx>
        <c:axId val="10100182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kern="1200" baseline="0">
                    <a:solidFill>
                      <a:sysClr val="windowText" lastClr="000000"/>
                    </a:solidFill>
                  </a:rPr>
                  <a:t>σθ [</a:t>
                </a: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F/L^2]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10432"/>
        <c:crosses val="autoZero"/>
        <c:crossBetween val="midCat"/>
      </c:valAx>
      <c:valAx>
        <c:axId val="10085104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</a:t>
                </a:r>
                <a:r>
                  <a:rPr lang="en-US" baseline="0"/>
                  <a:t> meridional coordinate [mm]</a:t>
                </a:r>
                <a:endParaRPr lang="en-US"/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0182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8.8887595803754008E-2"/>
          <c:y val="0.40254138069478601"/>
          <c:w val="0.1346159970023868"/>
          <c:h val="0.190164396367303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</xdr:colOff>
      <xdr:row>0</xdr:row>
      <xdr:rowOff>0</xdr:rowOff>
    </xdr:from>
    <xdr:to>
      <xdr:col>0</xdr:col>
      <xdr:colOff>10586720</xdr:colOff>
      <xdr:row>0</xdr:row>
      <xdr:rowOff>5190489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4C1E1B-B1FD-4231-AA0C-CCCDB8777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10587990</xdr:colOff>
      <xdr:row>0</xdr:row>
      <xdr:rowOff>5185409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CD9B92-212D-4099-87F6-8A482DE4C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10586720</xdr:colOff>
      <xdr:row>0</xdr:row>
      <xdr:rowOff>5186679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A5FF10-602E-44B3-ABD0-EDA2F35E69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10581640</xdr:colOff>
      <xdr:row>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23B1E2-9B56-47CD-AD09-9FC53C88D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3D6D-4BF0-4F49-AF7D-F8F1A683F1EB}">
  <dimension ref="A1:B18"/>
  <sheetViews>
    <sheetView tabSelected="1" topLeftCell="A4" zoomScaleNormal="100" workbookViewId="0">
      <selection activeCell="B5" sqref="B5"/>
    </sheetView>
  </sheetViews>
  <sheetFormatPr defaultRowHeight="18" x14ac:dyDescent="0.35"/>
  <cols>
    <col min="1" max="1" width="32.6640625" style="14" customWidth="1"/>
    <col min="2" max="2" width="122.33203125" style="14" customWidth="1"/>
    <col min="3" max="16384" width="8.88671875" style="14"/>
  </cols>
  <sheetData>
    <row r="1" spans="1:2" ht="18" customHeight="1" x14ac:dyDescent="0.35">
      <c r="A1" s="13" t="s">
        <v>163</v>
      </c>
    </row>
    <row r="2" spans="1:2" x14ac:dyDescent="0.35">
      <c r="A2" s="14" t="s">
        <v>150</v>
      </c>
    </row>
    <row r="4" spans="1:2" x14ac:dyDescent="0.35">
      <c r="A4" s="14" t="s">
        <v>151</v>
      </c>
    </row>
    <row r="5" spans="1:2" x14ac:dyDescent="0.35">
      <c r="A5" s="14" t="s">
        <v>152</v>
      </c>
    </row>
    <row r="6" spans="1:2" ht="18.600000000000001" thickBot="1" x14ac:dyDescent="0.4"/>
    <row r="7" spans="1:2" ht="18.600000000000001" thickBot="1" x14ac:dyDescent="0.4">
      <c r="A7" s="21" t="s">
        <v>153</v>
      </c>
      <c r="B7" s="22" t="s">
        <v>154</v>
      </c>
    </row>
    <row r="8" spans="1:2" ht="18" customHeight="1" x14ac:dyDescent="0.35">
      <c r="A8" s="15" t="s">
        <v>155</v>
      </c>
      <c r="B8" s="16" t="s">
        <v>156</v>
      </c>
    </row>
    <row r="9" spans="1:2" x14ac:dyDescent="0.35">
      <c r="A9" s="17" t="s">
        <v>157</v>
      </c>
      <c r="B9" s="18" t="s">
        <v>161</v>
      </c>
    </row>
    <row r="10" spans="1:2" x14ac:dyDescent="0.35">
      <c r="A10" s="17" t="s">
        <v>158</v>
      </c>
      <c r="B10" s="18" t="s">
        <v>162</v>
      </c>
    </row>
    <row r="11" spans="1:2" x14ac:dyDescent="0.35">
      <c r="A11" s="17" t="s">
        <v>117</v>
      </c>
      <c r="B11" s="18" t="s">
        <v>164</v>
      </c>
    </row>
    <row r="12" spans="1:2" x14ac:dyDescent="0.35">
      <c r="A12" s="17" t="s">
        <v>112</v>
      </c>
      <c r="B12" s="18" t="s">
        <v>165</v>
      </c>
    </row>
    <row r="13" spans="1:2" x14ac:dyDescent="0.35">
      <c r="A13" s="17" t="s">
        <v>159</v>
      </c>
      <c r="B13" s="18" t="s">
        <v>167</v>
      </c>
    </row>
    <row r="14" spans="1:2" ht="18.600000000000001" thickBot="1" x14ac:dyDescent="0.4">
      <c r="A14" s="19" t="s">
        <v>160</v>
      </c>
      <c r="B14" s="20" t="s">
        <v>166</v>
      </c>
    </row>
    <row r="17" spans="1:1" x14ac:dyDescent="0.35">
      <c r="A17" s="14" t="s">
        <v>180</v>
      </c>
    </row>
    <row r="18" spans="1:1" x14ac:dyDescent="0.35">
      <c r="A18" s="1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BCD6-4E61-4DC4-870A-BFEEB4A8710A}">
  <dimension ref="A1:E36"/>
  <sheetViews>
    <sheetView zoomScaleNormal="100" workbookViewId="0">
      <selection activeCell="D9" sqref="D9"/>
    </sheetView>
  </sheetViews>
  <sheetFormatPr defaultRowHeight="14.4" x14ac:dyDescent="0.3"/>
  <cols>
    <col min="1" max="1" width="24.88671875" customWidth="1"/>
    <col min="2" max="2" width="10.44140625" customWidth="1"/>
    <col min="3" max="3" width="10.5546875" customWidth="1"/>
  </cols>
  <sheetData>
    <row r="1" spans="1:5" x14ac:dyDescent="0.3">
      <c r="A1" s="66" t="s">
        <v>13</v>
      </c>
      <c r="B1" s="67"/>
      <c r="C1" s="68"/>
      <c r="D1" s="2"/>
      <c r="E1" s="2"/>
    </row>
    <row r="2" spans="1:5" x14ac:dyDescent="0.3">
      <c r="A2" s="69"/>
      <c r="B2" s="70"/>
      <c r="C2" s="71"/>
      <c r="D2" s="2"/>
      <c r="E2" s="2"/>
    </row>
    <row r="3" spans="1:5" x14ac:dyDescent="0.3">
      <c r="A3" s="72" t="s">
        <v>15</v>
      </c>
      <c r="B3" s="73"/>
      <c r="C3" s="74"/>
      <c r="D3" s="2"/>
      <c r="E3" s="2"/>
    </row>
    <row r="4" spans="1:5" x14ac:dyDescent="0.3">
      <c r="A4" s="28" t="s">
        <v>1</v>
      </c>
      <c r="B4" s="1">
        <v>200000</v>
      </c>
      <c r="C4" s="27" t="s">
        <v>25</v>
      </c>
      <c r="D4" s="2"/>
      <c r="E4" s="2"/>
    </row>
    <row r="5" spans="1:5" x14ac:dyDescent="0.3">
      <c r="A5" s="28" t="s">
        <v>0</v>
      </c>
      <c r="B5" s="1">
        <v>0.3</v>
      </c>
      <c r="C5" s="27" t="s">
        <v>10</v>
      </c>
      <c r="D5" s="2"/>
      <c r="E5" s="2"/>
    </row>
    <row r="6" spans="1:5" x14ac:dyDescent="0.3">
      <c r="A6" s="28" t="s">
        <v>9</v>
      </c>
      <c r="B6" s="1">
        <f>5/6</f>
        <v>0.83333333333333337</v>
      </c>
      <c r="C6" s="27" t="s">
        <v>10</v>
      </c>
      <c r="D6" s="2"/>
      <c r="E6" s="2"/>
    </row>
    <row r="7" spans="1:5" x14ac:dyDescent="0.3">
      <c r="A7" s="72" t="s">
        <v>16</v>
      </c>
      <c r="B7" s="73"/>
      <c r="C7" s="74"/>
      <c r="D7" s="2"/>
      <c r="E7" s="2"/>
    </row>
    <row r="8" spans="1:5" x14ac:dyDescent="0.3">
      <c r="A8" s="28" t="s">
        <v>5</v>
      </c>
      <c r="B8" s="1">
        <v>5</v>
      </c>
      <c r="C8" s="27" t="s">
        <v>2</v>
      </c>
      <c r="D8" s="2"/>
      <c r="E8" s="2"/>
    </row>
    <row r="9" spans="1:5" x14ac:dyDescent="0.3">
      <c r="A9" s="28" t="s">
        <v>6</v>
      </c>
      <c r="B9" s="1">
        <v>1</v>
      </c>
      <c r="C9" s="27" t="s">
        <v>2</v>
      </c>
      <c r="D9" s="2"/>
      <c r="E9" s="2"/>
    </row>
    <row r="10" spans="1:5" x14ac:dyDescent="0.3">
      <c r="A10" s="28" t="s">
        <v>7</v>
      </c>
      <c r="B10" s="1">
        <v>11.180339887498899</v>
      </c>
      <c r="C10" s="27" t="s">
        <v>2</v>
      </c>
      <c r="D10" s="2"/>
      <c r="E10" s="2"/>
    </row>
    <row r="11" spans="1:5" x14ac:dyDescent="0.3">
      <c r="A11" s="72" t="s">
        <v>17</v>
      </c>
      <c r="B11" s="73"/>
      <c r="C11" s="74"/>
      <c r="D11" s="2"/>
      <c r="E11" s="2"/>
    </row>
    <row r="12" spans="1:5" x14ac:dyDescent="0.3">
      <c r="A12" s="28" t="s">
        <v>4</v>
      </c>
      <c r="B12" s="1">
        <v>0</v>
      </c>
      <c r="C12" s="27" t="s">
        <v>25</v>
      </c>
      <c r="D12" s="2"/>
      <c r="E12" s="2"/>
    </row>
    <row r="13" spans="1:5" ht="15" thickBot="1" x14ac:dyDescent="0.35">
      <c r="A13" s="29" t="s">
        <v>3</v>
      </c>
      <c r="B13" s="30">
        <v>-1</v>
      </c>
      <c r="C13" s="31" t="s">
        <v>12</v>
      </c>
      <c r="D13" s="2"/>
      <c r="E13" s="2"/>
    </row>
    <row r="14" spans="1:5" ht="15" thickBot="1" x14ac:dyDescent="0.35">
      <c r="A14" s="4"/>
      <c r="B14" s="2"/>
      <c r="C14" s="2"/>
      <c r="D14" s="2"/>
      <c r="E14" s="2"/>
    </row>
    <row r="15" spans="1:5" x14ac:dyDescent="0.3">
      <c r="A15" s="59" t="s">
        <v>14</v>
      </c>
      <c r="B15" s="60"/>
      <c r="C15" s="61"/>
      <c r="D15" s="2"/>
      <c r="E15" s="2"/>
    </row>
    <row r="16" spans="1:5" x14ac:dyDescent="0.3">
      <c r="A16" s="62"/>
      <c r="B16" s="63"/>
      <c r="C16" s="64"/>
      <c r="D16" s="2"/>
      <c r="E16" s="2"/>
    </row>
    <row r="17" spans="1:5" x14ac:dyDescent="0.3">
      <c r="A17" s="75" t="s">
        <v>23</v>
      </c>
      <c r="B17" s="76"/>
      <c r="C17" s="77"/>
      <c r="D17" s="2"/>
      <c r="E17" s="2"/>
    </row>
    <row r="18" spans="1:5" x14ac:dyDescent="0.3">
      <c r="A18" s="75"/>
      <c r="B18" s="76"/>
      <c r="C18" s="77"/>
      <c r="D18" s="2"/>
      <c r="E18" s="2"/>
    </row>
    <row r="19" spans="1:5" x14ac:dyDescent="0.3">
      <c r="A19" s="75"/>
      <c r="B19" s="76"/>
      <c r="C19" s="77"/>
      <c r="D19" s="2"/>
      <c r="E19" s="2"/>
    </row>
    <row r="20" spans="1:5" x14ac:dyDescent="0.3">
      <c r="A20" s="75"/>
      <c r="B20" s="76"/>
      <c r="C20" s="77"/>
      <c r="D20" s="2"/>
      <c r="E20" s="2"/>
    </row>
    <row r="21" spans="1:5" x14ac:dyDescent="0.3">
      <c r="A21" s="28" t="s">
        <v>8</v>
      </c>
      <c r="B21" s="54" t="s">
        <v>21</v>
      </c>
      <c r="C21" s="55"/>
      <c r="D21" s="2"/>
      <c r="E21" s="2"/>
    </row>
    <row r="22" spans="1:5" ht="15" thickBot="1" x14ac:dyDescent="0.35">
      <c r="A22" s="29" t="s">
        <v>11</v>
      </c>
      <c r="B22" s="56" t="s">
        <v>22</v>
      </c>
      <c r="C22" s="57"/>
      <c r="D22" s="2"/>
      <c r="E22" s="2"/>
    </row>
    <row r="23" spans="1:5" x14ac:dyDescent="0.3">
      <c r="A23" s="4"/>
      <c r="B23" s="2"/>
      <c r="C23" s="2"/>
      <c r="D23" s="2"/>
      <c r="E23" s="2"/>
    </row>
    <row r="24" spans="1:5" ht="15" thickBot="1" x14ac:dyDescent="0.35">
      <c r="A24" s="4"/>
      <c r="B24" s="2"/>
      <c r="C24" s="2"/>
      <c r="D24" s="2"/>
      <c r="E24" s="2"/>
    </row>
    <row r="25" spans="1:5" x14ac:dyDescent="0.3">
      <c r="A25" s="45" t="s">
        <v>27</v>
      </c>
      <c r="B25" s="46"/>
      <c r="C25" s="46"/>
      <c r="D25" s="46"/>
      <c r="E25" s="47"/>
    </row>
    <row r="26" spans="1:5" x14ac:dyDescent="0.3">
      <c r="A26" s="48"/>
      <c r="B26" s="49"/>
      <c r="C26" s="49"/>
      <c r="D26" s="49"/>
      <c r="E26" s="50"/>
    </row>
    <row r="27" spans="1:5" x14ac:dyDescent="0.3">
      <c r="A27" s="51" t="s">
        <v>26</v>
      </c>
      <c r="B27" s="52"/>
      <c r="C27" s="52"/>
      <c r="D27" s="52"/>
      <c r="E27" s="53"/>
    </row>
    <row r="28" spans="1:5" x14ac:dyDescent="0.3">
      <c r="A28" s="51" t="s">
        <v>18</v>
      </c>
      <c r="B28" s="52"/>
      <c r="C28" s="65">
        <f>E*t/(1-nu^2)</f>
        <v>219780.21978021978</v>
      </c>
      <c r="D28" s="65"/>
      <c r="E28" s="32" t="s">
        <v>12</v>
      </c>
    </row>
    <row r="29" spans="1:5" x14ac:dyDescent="0.3">
      <c r="A29" s="51" t="s">
        <v>19</v>
      </c>
      <c r="B29" s="52"/>
      <c r="C29" s="52">
        <f>E*t^3/12/(1-nu^2)</f>
        <v>18315.018315018315</v>
      </c>
      <c r="D29" s="52"/>
      <c r="E29" s="32" t="s">
        <v>24</v>
      </c>
    </row>
    <row r="30" spans="1:5" ht="15" thickBot="1" x14ac:dyDescent="0.35">
      <c r="A30" s="58" t="s">
        <v>20</v>
      </c>
      <c r="B30" s="44"/>
      <c r="C30" s="44">
        <f>E/2/(1+nu)</f>
        <v>76923.076923076922</v>
      </c>
      <c r="D30" s="44"/>
      <c r="E30" s="33" t="s">
        <v>25</v>
      </c>
    </row>
    <row r="32" spans="1:5" ht="15" thickBot="1" x14ac:dyDescent="0.35"/>
    <row r="33" spans="1:3" x14ac:dyDescent="0.3">
      <c r="A33" s="59" t="s">
        <v>103</v>
      </c>
      <c r="B33" s="60"/>
      <c r="C33" s="61"/>
    </row>
    <row r="34" spans="1:3" x14ac:dyDescent="0.3">
      <c r="A34" s="62"/>
      <c r="B34" s="63"/>
      <c r="C34" s="64"/>
    </row>
    <row r="35" spans="1:3" x14ac:dyDescent="0.3">
      <c r="A35" s="28" t="s">
        <v>105</v>
      </c>
      <c r="B35" s="9">
        <f>p*rad*rad/t/E- Nz*nu*rad/t/E</f>
        <v>7.5000000000000002E-6</v>
      </c>
      <c r="C35" s="27" t="s">
        <v>2</v>
      </c>
    </row>
    <row r="36" spans="1:3" ht="15" thickBot="1" x14ac:dyDescent="0.35">
      <c r="A36" s="29" t="s">
        <v>104</v>
      </c>
      <c r="B36" s="30">
        <f>0</f>
        <v>0</v>
      </c>
      <c r="C36" s="31" t="s">
        <v>2</v>
      </c>
    </row>
  </sheetData>
  <mergeCells count="17">
    <mergeCell ref="A33:C34"/>
    <mergeCell ref="C28:D28"/>
    <mergeCell ref="C29:D29"/>
    <mergeCell ref="A1:C2"/>
    <mergeCell ref="A15:C16"/>
    <mergeCell ref="A3:C3"/>
    <mergeCell ref="A7:C7"/>
    <mergeCell ref="A11:C11"/>
    <mergeCell ref="A17:C20"/>
    <mergeCell ref="C30:D30"/>
    <mergeCell ref="A25:E26"/>
    <mergeCell ref="A27:E27"/>
    <mergeCell ref="B21:C21"/>
    <mergeCell ref="B22:C22"/>
    <mergeCell ref="A28:B28"/>
    <mergeCell ref="A29:B29"/>
    <mergeCell ref="A30:B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647-542D-442D-BF3C-825D6FA07E80}">
  <dimension ref="A1:AE102"/>
  <sheetViews>
    <sheetView zoomScale="55" zoomScaleNormal="55" workbookViewId="0">
      <selection activeCell="M15" sqref="M15"/>
    </sheetView>
  </sheetViews>
  <sheetFormatPr defaultRowHeight="15.6" x14ac:dyDescent="0.3"/>
  <cols>
    <col min="1" max="1" width="20.33203125" style="12" customWidth="1"/>
    <col min="2" max="2" width="17.77734375" style="12" customWidth="1"/>
    <col min="3" max="8" width="8.88671875" style="12"/>
    <col min="9" max="9" width="25.21875" style="12" customWidth="1"/>
    <col min="10" max="10" width="22.6640625" style="12" customWidth="1"/>
    <col min="11" max="11" width="8.88671875" style="12"/>
    <col min="12" max="12" width="10.6640625" style="12" customWidth="1"/>
    <col min="13" max="13" width="24.21875" style="12" customWidth="1"/>
    <col min="14" max="14" width="8.88671875" style="12"/>
    <col min="15" max="15" width="13.109375" style="2" customWidth="1"/>
    <col min="16" max="31" width="13.109375" style="11" customWidth="1"/>
    <col min="32" max="16384" width="8.88671875" style="12"/>
  </cols>
  <sheetData>
    <row r="1" spans="1:31" x14ac:dyDescent="0.3">
      <c r="A1" s="12" t="s">
        <v>168</v>
      </c>
      <c r="G1" s="2"/>
      <c r="H1" s="2"/>
      <c r="I1" s="2"/>
      <c r="J1" s="2"/>
      <c r="K1" s="2"/>
      <c r="L1" s="2"/>
      <c r="M1" s="2"/>
      <c r="N1" s="2"/>
      <c r="O1" s="26" t="s">
        <v>108</v>
      </c>
      <c r="P1" s="25" t="s">
        <v>111</v>
      </c>
      <c r="Q1" s="25" t="s">
        <v>112</v>
      </c>
      <c r="R1" s="25" t="s">
        <v>145</v>
      </c>
      <c r="S1" s="25" t="s">
        <v>117</v>
      </c>
      <c r="T1" s="25" t="s">
        <v>179</v>
      </c>
      <c r="U1" s="25" t="s">
        <v>118</v>
      </c>
      <c r="V1" s="25" t="s">
        <v>146</v>
      </c>
      <c r="W1" s="25" t="s">
        <v>147</v>
      </c>
      <c r="X1" s="25" t="s">
        <v>148</v>
      </c>
      <c r="Y1" s="25" t="s">
        <v>149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</row>
    <row r="2" spans="1:31" x14ac:dyDescent="0.3">
      <c r="A2" s="82" t="s">
        <v>169</v>
      </c>
      <c r="B2" s="82"/>
      <c r="C2" s="82"/>
      <c r="D2" s="82"/>
      <c r="E2" s="82"/>
      <c r="F2" s="82"/>
      <c r="G2" s="2"/>
      <c r="H2" s="2"/>
      <c r="I2" s="2"/>
      <c r="J2" s="2"/>
      <c r="K2" s="2"/>
      <c r="L2" s="2"/>
      <c r="M2" s="2"/>
      <c r="N2" s="2"/>
      <c r="O2" s="34">
        <v>1</v>
      </c>
      <c r="P2" s="38">
        <f t="shared" ref="P2:P33" si="0">0+(O2-1)/100*L</f>
        <v>0</v>
      </c>
      <c r="Q2" s="38">
        <f>'Thin theory'!I$43*EXP(-PI()*(L-P2)/lambda_thin)*COS(PI()*(L-P2)/lambda_thin)+'Thin theory'!I$44*EXP(-PI()*(L-P2)/lambda_thin)*SIN(PI()*(L-P2)/lambda_thin)+'Thin theory'!I$45*EXP(PI()*(L-P2)/lambda_thin)*COS(PI()*(L-P2)/lambda_thin)+'Thin theory'!I$46*EXP(PI()*(L-P2)/lambda_thin)*SIN(PI()*(L-P2)/lambda_thin)+wm</f>
        <v>0</v>
      </c>
      <c r="R2" s="38">
        <f>'Thin theory'!I$43*2*(PI()/lambda_thin)^2*EXP(-PI()*(L-P2)/lambda_thin)*SIN(PI()*(L-P2)/lambda_thin)-'Thin theory'!I$44*2*(PI()/lambda_thin)^2*EXP(-PI()*(L-P2)/lambda_thin)*COS(PI()*(L-P2)/lambda_thin)-'Thin theory'!I$45*2*(PI()/lambda_thin)^2*EXP(PI()*(L-P2)/lambda_thin)*SIN(PI()*(L-P2)/lambda_thin)+'Thin theory'!I$46*2*(PI()/lambda_thin)^2*EXP(PI()*(L-P2)/lambda_thin)*COS(PI()*(L-P2)/lambda_thin)</f>
        <v>0</v>
      </c>
      <c r="S2" s="38">
        <f>(L-P2)*Nz/Cs-nu/rad*(wm*(L-P2)+'Thin theory'!I$43*0.5*lambda_thin/PI()*(1-EXP(-PI()*(L-P2)/lambda_thin)*(COS(PI()*(L-P2)/lambda_thin)-SIN(PI()*(L-P2)/lambda_thin)))+'Thin theory'!I$44*0.5*lambda_thin/PI()*(1-EXP(-PI()*(L-P2)/lambda_thin)*(COS(PI()*(L-P2)/lambda_thin)+SIN(PI()*(L-P2)/lambda_thin)))+'Thin theory'!I$45*0.5*lambda_thin/PI()*(-1+EXP(PI()*(L-P2)/lambda_thin)*(COS(PI()*(L-P2)/lambda_thin)+SIN(PI()*(L-P2)/lambda_thin)))+'Thin theory'!I$46*0.5*lambda_thin/PI()*(1+EXP(PI()*(L-P2)/lambda_thin)*(SIN(PI()*(L-P2)/lambda_thin)-COS(PI()*(L-P2)/lambda_thin))))</f>
        <v>-5.4732483072883904E-5</v>
      </c>
      <c r="T2" s="38">
        <f>ABS(S2)</f>
        <v>5.4732483072883904E-5</v>
      </c>
      <c r="U2" s="38">
        <f t="shared" ref="U2:U33" si="1">Nz/Cs-nu/rad*Q2</f>
        <v>-4.5500000000000005E-6</v>
      </c>
      <c r="V2" s="38">
        <f t="shared" ref="V2:V33" si="2">Cs*(U2 + nu/rad*Q2)</f>
        <v>-1</v>
      </c>
      <c r="W2" s="38">
        <f t="shared" ref="W2:W33" si="3">Cs*(Q2/rad+nu*U2)</f>
        <v>-0.3</v>
      </c>
      <c r="X2" s="38">
        <f t="shared" ref="X2:X33" si="4">D*R2</f>
        <v>0</v>
      </c>
      <c r="Y2" s="38">
        <f t="shared" ref="Y2:Y33" si="5">nu*X2</f>
        <v>0</v>
      </c>
      <c r="Z2" s="38">
        <f t="shared" ref="Z2:Z33" si="6">V2/t+6*X2/t/t</f>
        <v>-1</v>
      </c>
      <c r="AA2" s="38">
        <f t="shared" ref="AA2:AA33" si="7">V2/t</f>
        <v>-1</v>
      </c>
      <c r="AB2" s="38">
        <f t="shared" ref="AB2:AB33" si="8">V2/t-6*X2/t/t</f>
        <v>-1</v>
      </c>
      <c r="AC2" s="38">
        <f t="shared" ref="AC2:AC33" si="9">W2/t+6*Y2/t/t</f>
        <v>-0.3</v>
      </c>
      <c r="AD2" s="38">
        <f t="shared" ref="AD2:AD33" si="10">W2/t</f>
        <v>-0.3</v>
      </c>
      <c r="AE2" s="38">
        <f t="shared" ref="AE2:AE33" si="11">W2/t-6*Y2/t/t</f>
        <v>-0.3</v>
      </c>
    </row>
    <row r="3" spans="1:31" x14ac:dyDescent="0.3">
      <c r="A3" s="83" t="s">
        <v>171</v>
      </c>
      <c r="B3" s="83"/>
      <c r="C3" s="83"/>
      <c r="D3" s="83"/>
      <c r="E3" s="83"/>
      <c r="F3" s="83"/>
      <c r="G3" s="2"/>
      <c r="H3" s="2"/>
      <c r="I3" s="2"/>
      <c r="J3" s="2"/>
      <c r="K3" s="2"/>
      <c r="L3" s="2"/>
      <c r="M3" s="2"/>
      <c r="N3" s="2"/>
      <c r="O3" s="34">
        <v>2</v>
      </c>
      <c r="P3" s="38">
        <f t="shared" si="0"/>
        <v>0.111803398874989</v>
      </c>
      <c r="Q3" s="38">
        <f>'Thin theory'!I$43*EXP(-PI()*(L-P3)/lambda_thin)*COS(PI()*(L-P3)/lambda_thin)+'Thin theory'!I$44*EXP(-PI()*(L-P3)/lambda_thin)*SIN(PI()*(L-P3)/lambda_thin)+'Thin theory'!I$45*EXP(PI()*(L-P3)/lambda_thin)*COS(PI()*(L-P3)/lambda_thin)+'Thin theory'!I$46*EXP(PI()*(L-P3)/lambda_thin)*SIN(PI()*(L-P3)/lambda_thin)+wm</f>
        <v>4.8094050727110179E-7</v>
      </c>
      <c r="R3" s="38">
        <f>'Thin theory'!I$43*2*(PI()/lambda_thin)^2*EXP(-PI()*(L-P3)/lambda_thin)*SIN(PI()*(L-P3)/lambda_thin)-'Thin theory'!I$44*2*(PI()/lambda_thin)^2*EXP(-PI()*(L-P3)/lambda_thin)*COS(PI()*(L-P3)/lambda_thin)-'Thin theory'!I$45*2*(PI()/lambda_thin)^2*EXP(PI()*(L-P3)/lambda_thin)*SIN(PI()*(L-P3)/lambda_thin)+'Thin theory'!I$46*2*(PI()/lambda_thin)^2*EXP(PI()*(L-P3)/lambda_thin)*COS(PI()*(L-P3)/lambda_thin)</f>
        <v>-2.9650502567731508E-7</v>
      </c>
      <c r="S3" s="38">
        <f>(L-P3)*Nz/Cs-nu/rad*(wm*(L-P3)+'Thin theory'!I$43*0.5*lambda_thin/PI()*(1-EXP(-PI()*(L-P3)/lambda_thin)*(COS(PI()*(L-P3)/lambda_thin)-SIN(PI()*(L-P3)/lambda_thin)))+'Thin theory'!I$44*0.5*lambda_thin/PI()*(1-EXP(-PI()*(L-P3)/lambda_thin)*(COS(PI()*(L-P3)/lambda_thin)+SIN(PI()*(L-P3)/lambda_thin)))+'Thin theory'!I$45*0.5*lambda_thin/PI()*(-1+EXP(PI()*(L-P3)/lambda_thin)*(COS(PI()*(L-P3)/lambda_thin)+SIN(PI()*(L-P3)/lambda_thin)))+'Thin theory'!I$46*0.5*lambda_thin/PI()*(1+EXP(PI()*(L-P3)/lambda_thin)*(SIN(PI()*(L-P3)/lambda_thin)-COS(PI()*(L-P3)/lambda_thin))))</f>
        <v>-5.4222163420859205E-5</v>
      </c>
      <c r="T3" s="38">
        <f t="shared" ref="T3:T66" si="12">ABS(S3)</f>
        <v>5.4222163420859205E-5</v>
      </c>
      <c r="U3" s="38">
        <f t="shared" si="1"/>
        <v>-4.5788564304362669E-6</v>
      </c>
      <c r="V3" s="38">
        <f t="shared" si="2"/>
        <v>-1</v>
      </c>
      <c r="W3" s="38">
        <f t="shared" si="3"/>
        <v>-0.28076237970915596</v>
      </c>
      <c r="X3" s="38">
        <f t="shared" si="4"/>
        <v>-5.4304949757750017E-3</v>
      </c>
      <c r="Y3" s="38">
        <f t="shared" si="5"/>
        <v>-1.6291484927325004E-3</v>
      </c>
      <c r="Z3" s="38">
        <f t="shared" si="6"/>
        <v>-1.03258296985465</v>
      </c>
      <c r="AA3" s="38">
        <f t="shared" si="7"/>
        <v>-1</v>
      </c>
      <c r="AB3" s="38">
        <f t="shared" si="8"/>
        <v>-0.96741703014534997</v>
      </c>
      <c r="AC3" s="38">
        <f t="shared" si="9"/>
        <v>-0.29053727066555096</v>
      </c>
      <c r="AD3" s="38">
        <f t="shared" si="10"/>
        <v>-0.28076237970915596</v>
      </c>
      <c r="AE3" s="38">
        <f t="shared" si="11"/>
        <v>-0.27098748875276096</v>
      </c>
    </row>
    <row r="4" spans="1:31" x14ac:dyDescent="0.3">
      <c r="A4" s="83" t="s">
        <v>172</v>
      </c>
      <c r="B4" s="83"/>
      <c r="C4" s="83"/>
      <c r="D4" s="83"/>
      <c r="E4" s="83"/>
      <c r="F4" s="83"/>
      <c r="G4" s="2"/>
      <c r="H4" s="2"/>
      <c r="I4" s="63" t="s">
        <v>134</v>
      </c>
      <c r="J4" s="63"/>
      <c r="K4" s="2"/>
      <c r="L4" s="2"/>
      <c r="M4" s="2"/>
      <c r="N4" s="2"/>
      <c r="O4" s="34">
        <v>3</v>
      </c>
      <c r="P4" s="38">
        <f t="shared" si="0"/>
        <v>0.22360679774997799</v>
      </c>
      <c r="Q4" s="38">
        <f>'Thin theory'!I$43*EXP(-PI()*(L-P4)/lambda_thin)*COS(PI()*(L-P4)/lambda_thin)+'Thin theory'!I$44*EXP(-PI()*(L-P4)/lambda_thin)*SIN(PI()*(L-P4)/lambda_thin)+'Thin theory'!I$45*EXP(PI()*(L-P4)/lambda_thin)*COS(PI()*(L-P4)/lambda_thin)+'Thin theory'!I$46*EXP(PI()*(L-P4)/lambda_thin)*SIN(PI()*(L-P4)/lambda_thin)+wm</f>
        <v>9.5821462332315047E-7</v>
      </c>
      <c r="R4" s="38">
        <f>'Thin theory'!I$43*2*(PI()/lambda_thin)^2*EXP(-PI()*(L-P4)/lambda_thin)*SIN(PI()*(L-P4)/lambda_thin)-'Thin theory'!I$44*2*(PI()/lambda_thin)^2*EXP(-PI()*(L-P4)/lambda_thin)*COS(PI()*(L-P4)/lambda_thin)-'Thin theory'!I$45*2*(PI()/lambda_thin)^2*EXP(PI()*(L-P4)/lambda_thin)*SIN(PI()*(L-P4)/lambda_thin)+'Thin theory'!I$46*2*(PI()/lambda_thin)^2*EXP(PI()*(L-P4)/lambda_thin)*COS(PI()*(L-P4)/lambda_thin)</f>
        <v>-5.5468430741767692E-7</v>
      </c>
      <c r="S4" s="38">
        <f>(L-P4)*Nz/Cs-nu/rad*(wm*(L-P4)+'Thin theory'!I$43*0.5*lambda_thin/PI()*(1-EXP(-PI()*(L-P4)/lambda_thin)*(COS(PI()*(L-P4)/lambda_thin)-SIN(PI()*(L-P4)/lambda_thin)))+'Thin theory'!I$44*0.5*lambda_thin/PI()*(1-EXP(-PI()*(L-P4)/lambda_thin)*(COS(PI()*(L-P4)/lambda_thin)+SIN(PI()*(L-P4)/lambda_thin)))+'Thin theory'!I$45*0.5*lambda_thin/PI()*(-1+EXP(PI()*(L-P4)/lambda_thin)*(COS(PI()*(L-P4)/lambda_thin)+SIN(PI()*(L-P4)/lambda_thin)))+'Thin theory'!I$46*0.5*lambda_thin/PI()*(1+EXP(PI()*(L-P4)/lambda_thin)*(SIN(PI()*(L-P4)/lambda_thin)-COS(PI()*(L-P4)/lambda_thin))))</f>
        <v>-5.3708627883124387E-5</v>
      </c>
      <c r="T4" s="38">
        <f t="shared" si="12"/>
        <v>5.3708627883124387E-5</v>
      </c>
      <c r="U4" s="38">
        <f t="shared" si="1"/>
        <v>-4.6074928773993894E-6</v>
      </c>
      <c r="V4" s="38">
        <f t="shared" si="2"/>
        <v>-1</v>
      </c>
      <c r="W4" s="38">
        <f t="shared" si="3"/>
        <v>-0.26167141506707398</v>
      </c>
      <c r="X4" s="38">
        <f t="shared" si="4"/>
        <v>-1.0159053249408002E-2</v>
      </c>
      <c r="Y4" s="38">
        <f t="shared" si="5"/>
        <v>-3.0477159748224006E-3</v>
      </c>
      <c r="Z4" s="38">
        <f t="shared" si="6"/>
        <v>-1.0609543194964479</v>
      </c>
      <c r="AA4" s="38">
        <f t="shared" si="7"/>
        <v>-1</v>
      </c>
      <c r="AB4" s="38">
        <f t="shared" si="8"/>
        <v>-0.93904568050355197</v>
      </c>
      <c r="AC4" s="38">
        <f t="shared" si="9"/>
        <v>-0.27995771091600841</v>
      </c>
      <c r="AD4" s="38">
        <f t="shared" si="10"/>
        <v>-0.26167141506707398</v>
      </c>
      <c r="AE4" s="38">
        <f t="shared" si="11"/>
        <v>-0.24338511921813957</v>
      </c>
    </row>
    <row r="5" spans="1:31" x14ac:dyDescent="0.3">
      <c r="A5" s="82" t="s">
        <v>170</v>
      </c>
      <c r="B5" s="82"/>
      <c r="C5" s="82"/>
      <c r="D5" s="82"/>
      <c r="E5" s="82"/>
      <c r="F5" s="82"/>
      <c r="G5" s="2"/>
      <c r="H5" s="2"/>
      <c r="I5" s="63"/>
      <c r="J5" s="63"/>
      <c r="K5" s="2"/>
      <c r="L5" s="2"/>
      <c r="M5" s="2"/>
      <c r="N5" s="2"/>
      <c r="O5" s="34">
        <v>4</v>
      </c>
      <c r="P5" s="38">
        <f t="shared" si="0"/>
        <v>0.33541019662496696</v>
      </c>
      <c r="Q5" s="38">
        <f>'Thin theory'!I$43*EXP(-PI()*(L-P5)/lambda_thin)*COS(PI()*(L-P5)/lambda_thin)+'Thin theory'!I$44*EXP(-PI()*(L-P5)/lambda_thin)*SIN(PI()*(L-P5)/lambda_thin)+'Thin theory'!I$45*EXP(PI()*(L-P5)/lambda_thin)*COS(PI()*(L-P5)/lambda_thin)+'Thin theory'!I$46*EXP(PI()*(L-P5)/lambda_thin)*SIN(PI()*(L-P5)/lambda_thin)+wm</f>
        <v>1.4285923932497688E-6</v>
      </c>
      <c r="R5" s="38">
        <f>'Thin theory'!I$43*2*(PI()/lambda_thin)^2*EXP(-PI()*(L-P5)/lambda_thin)*SIN(PI()*(L-P5)/lambda_thin)-'Thin theory'!I$44*2*(PI()/lambda_thin)^2*EXP(-PI()*(L-P5)/lambda_thin)*COS(PI()*(L-P5)/lambda_thin)-'Thin theory'!I$45*2*(PI()/lambda_thin)^2*EXP(PI()*(L-P5)/lambda_thin)*SIN(PI()*(L-P5)/lambda_thin)+'Thin theory'!I$46*2*(PI()/lambda_thin)^2*EXP(PI()*(L-P5)/lambda_thin)*COS(PI()*(L-P5)/lambda_thin)</f>
        <v>-7.7714229300607189E-7</v>
      </c>
      <c r="S5" s="38">
        <f>(L-P5)*Nz/Cs-nu/rad*(wm*(L-P5)+'Thin theory'!I$43*0.5*lambda_thin/PI()*(1-EXP(-PI()*(L-P5)/lambda_thin)*(COS(PI()*(L-P5)/lambda_thin)-SIN(PI()*(L-P5)/lambda_thin)))+'Thin theory'!I$44*0.5*lambda_thin/PI()*(1-EXP(-PI()*(L-P5)/lambda_thin)*(COS(PI()*(L-P5)/lambda_thin)+SIN(PI()*(L-P5)/lambda_thin)))+'Thin theory'!I$45*0.5*lambda_thin/PI()*(-1+EXP(PI()*(L-P5)/lambda_thin)*(COS(PI()*(L-P5)/lambda_thin)+SIN(PI()*(L-P5)/lambda_thin)))+'Thin theory'!I$46*0.5*lambda_thin/PI()*(1+EXP(PI()*(L-P5)/lambda_thin)*(SIN(PI()*(L-P5)/lambda_thin)-COS(PI()*(L-P5)/lambda_thin))))</f>
        <v>-5.3191912146866928E-5</v>
      </c>
      <c r="T5" s="38">
        <f t="shared" si="12"/>
        <v>5.3191912146866928E-5</v>
      </c>
      <c r="U5" s="38">
        <f t="shared" si="1"/>
        <v>-4.635715543594987E-6</v>
      </c>
      <c r="V5" s="38">
        <f t="shared" si="2"/>
        <v>-1</v>
      </c>
      <c r="W5" s="38">
        <f t="shared" si="3"/>
        <v>-0.24285630427000929</v>
      </c>
      <c r="X5" s="38">
        <f t="shared" si="4"/>
        <v>-1.4233375329781537E-2</v>
      </c>
      <c r="Y5" s="38">
        <f t="shared" si="5"/>
        <v>-4.2700125989344612E-3</v>
      </c>
      <c r="Z5" s="38">
        <f t="shared" si="6"/>
        <v>-1.0854002519786892</v>
      </c>
      <c r="AA5" s="38">
        <f t="shared" si="7"/>
        <v>-1</v>
      </c>
      <c r="AB5" s="38">
        <f t="shared" si="8"/>
        <v>-0.91459974802131083</v>
      </c>
      <c r="AC5" s="38">
        <f t="shared" si="9"/>
        <v>-0.26847637986361605</v>
      </c>
      <c r="AD5" s="38">
        <f t="shared" si="10"/>
        <v>-0.24285630427000929</v>
      </c>
      <c r="AE5" s="38">
        <f t="shared" si="11"/>
        <v>-0.21723622867640252</v>
      </c>
    </row>
    <row r="6" spans="1:31" x14ac:dyDescent="0.3">
      <c r="G6" s="2"/>
      <c r="H6" s="2"/>
      <c r="I6" s="78" t="s">
        <v>58</v>
      </c>
      <c r="J6" s="79"/>
      <c r="K6" s="2"/>
      <c r="L6" s="2"/>
      <c r="M6" s="2"/>
      <c r="N6" s="2"/>
      <c r="O6" s="34">
        <v>5</v>
      </c>
      <c r="P6" s="38">
        <f t="shared" si="0"/>
        <v>0.44721359549995598</v>
      </c>
      <c r="Q6" s="38">
        <f>'Thin theory'!I$43*EXP(-PI()*(L-P6)/lambda_thin)*COS(PI()*(L-P6)/lambda_thin)+'Thin theory'!I$44*EXP(-PI()*(L-P6)/lambda_thin)*SIN(PI()*(L-P6)/lambda_thin)+'Thin theory'!I$45*EXP(PI()*(L-P6)/lambda_thin)*COS(PI()*(L-P6)/lambda_thin)+'Thin theory'!I$46*EXP(PI()*(L-P6)/lambda_thin)*SIN(PI()*(L-P6)/lambda_thin)+wm</f>
        <v>1.8892904174848435E-6</v>
      </c>
      <c r="R6" s="38">
        <f>'Thin theory'!I$43*2*(PI()/lambda_thin)^2*EXP(-PI()*(L-P6)/lambda_thin)*SIN(PI()*(L-P6)/lambda_thin)-'Thin theory'!I$44*2*(PI()/lambda_thin)^2*EXP(-PI()*(L-P6)/lambda_thin)*COS(PI()*(L-P6)/lambda_thin)-'Thin theory'!I$45*2*(PI()/lambda_thin)^2*EXP(PI()*(L-P6)/lambda_thin)*SIN(PI()*(L-P6)/lambda_thin)+'Thin theory'!I$46*2*(PI()/lambda_thin)^2*EXP(PI()*(L-P6)/lambda_thin)*COS(PI()*(L-P6)/lambda_thin)</f>
        <v>-9.6644597934966769E-7</v>
      </c>
      <c r="S6" s="38">
        <f>(L-P6)*Nz/Cs-nu/rad*(wm*(L-P6)+'Thin theory'!I$43*0.5*lambda_thin/PI()*(1-EXP(-PI()*(L-P6)/lambda_thin)*(COS(PI()*(L-P6)/lambda_thin)-SIN(PI()*(L-P6)/lambda_thin)))+'Thin theory'!I$44*0.5*lambda_thin/PI()*(1-EXP(-PI()*(L-P6)/lambda_thin)*(COS(PI()*(L-P6)/lambda_thin)+SIN(PI()*(L-P6)/lambda_thin)))+'Thin theory'!I$45*0.5*lambda_thin/PI()*(-1+EXP(PI()*(L-P6)/lambda_thin)*(COS(PI()*(L-P6)/lambda_thin)+SIN(PI()*(L-P6)/lambda_thin)))+'Thin theory'!I$46*0.5*lambda_thin/PI()*(1+EXP(PI()*(L-P6)/lambda_thin)*(SIN(PI()*(L-P6)/lambda_thin)-COS(PI()*(L-P6)/lambda_thin))))</f>
        <v>-5.2672072050598608E-5</v>
      </c>
      <c r="T6" s="38">
        <f t="shared" si="12"/>
        <v>5.2672072050598608E-5</v>
      </c>
      <c r="U6" s="38">
        <f t="shared" si="1"/>
        <v>-4.6633574250490908E-6</v>
      </c>
      <c r="V6" s="38">
        <f t="shared" si="2"/>
        <v>-1</v>
      </c>
      <c r="W6" s="38">
        <f t="shared" si="3"/>
        <v>-0.22442838330060627</v>
      </c>
      <c r="X6" s="38">
        <f t="shared" si="4"/>
        <v>-1.7700475812264974E-2</v>
      </c>
      <c r="Y6" s="38">
        <f t="shared" si="5"/>
        <v>-5.3101427436794925E-3</v>
      </c>
      <c r="Z6" s="38">
        <f t="shared" si="6"/>
        <v>-1.1062028548735898</v>
      </c>
      <c r="AA6" s="38">
        <f t="shared" si="7"/>
        <v>-1</v>
      </c>
      <c r="AB6" s="38">
        <f t="shared" si="8"/>
        <v>-0.89379714512641018</v>
      </c>
      <c r="AC6" s="38">
        <f t="shared" si="9"/>
        <v>-0.25628923976268325</v>
      </c>
      <c r="AD6" s="38">
        <f t="shared" si="10"/>
        <v>-0.22442838330060627</v>
      </c>
      <c r="AE6" s="38">
        <f t="shared" si="11"/>
        <v>-0.19256752683852932</v>
      </c>
    </row>
    <row r="7" spans="1:31" x14ac:dyDescent="0.3">
      <c r="G7" s="2"/>
      <c r="H7" s="2"/>
      <c r="I7" s="3" t="s">
        <v>59</v>
      </c>
      <c r="J7" s="3">
        <f>EXP(-PI()*L/lambda_thin)*COS(PI()*L/lambda_thin)</f>
        <v>1.6005351023964912E-3</v>
      </c>
      <c r="K7" s="2"/>
      <c r="L7" s="2"/>
      <c r="M7" s="2"/>
      <c r="N7" s="2"/>
      <c r="O7" s="34">
        <v>6</v>
      </c>
      <c r="P7" s="38">
        <f t="shared" si="0"/>
        <v>0.55901699437494501</v>
      </c>
      <c r="Q7" s="38">
        <f>'Thin theory'!I$43*EXP(-PI()*(L-P7)/lambda_thin)*COS(PI()*(L-P7)/lambda_thin)+'Thin theory'!I$44*EXP(-PI()*(L-P7)/lambda_thin)*SIN(PI()*(L-P7)/lambda_thin)+'Thin theory'!I$45*EXP(PI()*(L-P7)/lambda_thin)*COS(PI()*(L-P7)/lambda_thin)+'Thin theory'!I$46*EXP(PI()*(L-P7)/lambda_thin)*SIN(PI()*(L-P7)/lambda_thin)+wm</f>
        <v>2.3379397801777786E-6</v>
      </c>
      <c r="R7" s="38">
        <f>'Thin theory'!I$43*2*(PI()/lambda_thin)^2*EXP(-PI()*(L-P7)/lambda_thin)*SIN(PI()*(L-P7)/lambda_thin)-'Thin theory'!I$44*2*(PI()/lambda_thin)^2*EXP(-PI()*(L-P7)/lambda_thin)*COS(PI()*(L-P7)/lambda_thin)-'Thin theory'!I$45*2*(PI()/lambda_thin)^2*EXP(PI()*(L-P7)/lambda_thin)*SIN(PI()*(L-P7)/lambda_thin)+'Thin theory'!I$46*2*(PI()/lambda_thin)^2*EXP(PI()*(L-P7)/lambda_thin)*COS(PI()*(L-P7)/lambda_thin)</f>
        <v>-1.1251097005192323E-6</v>
      </c>
      <c r="S7" s="38">
        <f>(L-P7)*Nz/Cs-nu/rad*(wm*(L-P7)+'Thin theory'!I$43*0.5*lambda_thin/PI()*(1-EXP(-PI()*(L-P7)/lambda_thin)*(COS(PI()*(L-P7)/lambda_thin)-SIN(PI()*(L-P7)/lambda_thin)))+'Thin theory'!I$44*0.5*lambda_thin/PI()*(1-EXP(-PI()*(L-P7)/lambda_thin)*(COS(PI()*(L-P7)/lambda_thin)+SIN(PI()*(L-P7)/lambda_thin)))+'Thin theory'!I$45*0.5*lambda_thin/PI()*(-1+EXP(PI()*(L-P7)/lambda_thin)*(COS(PI()*(L-P7)/lambda_thin)+SIN(PI()*(L-P7)/lambda_thin)))+'Thin theory'!I$46*0.5*lambda_thin/PI()*(1+EXP(PI()*(L-P7)/lambda_thin)*(SIN(PI()*(L-P7)/lambda_thin)-COS(PI()*(L-P7)/lambda_thin))))</f>
        <v>-5.2149180696459265E-5</v>
      </c>
      <c r="T7" s="38">
        <f t="shared" si="12"/>
        <v>5.2149180696459265E-5</v>
      </c>
      <c r="U7" s="38">
        <f t="shared" si="1"/>
        <v>-4.6902763868106676E-6</v>
      </c>
      <c r="V7" s="38">
        <f t="shared" si="2"/>
        <v>-1</v>
      </c>
      <c r="W7" s="38">
        <f t="shared" si="3"/>
        <v>-0.20648240879288893</v>
      </c>
      <c r="X7" s="38">
        <f t="shared" si="4"/>
        <v>-2.060640477141451E-2</v>
      </c>
      <c r="Y7" s="38">
        <f t="shared" si="5"/>
        <v>-6.1819214314243528E-3</v>
      </c>
      <c r="Z7" s="38">
        <f t="shared" si="6"/>
        <v>-1.1236384286284871</v>
      </c>
      <c r="AA7" s="38">
        <f t="shared" si="7"/>
        <v>-1</v>
      </c>
      <c r="AB7" s="38">
        <f t="shared" si="8"/>
        <v>-0.87636157137151294</v>
      </c>
      <c r="AC7" s="38">
        <f t="shared" si="9"/>
        <v>-0.24357393738143504</v>
      </c>
      <c r="AD7" s="38">
        <f t="shared" si="10"/>
        <v>-0.20648240879288893</v>
      </c>
      <c r="AE7" s="38">
        <f t="shared" si="11"/>
        <v>-0.16939088020434281</v>
      </c>
    </row>
    <row r="8" spans="1:31" x14ac:dyDescent="0.3">
      <c r="A8" s="84" t="s">
        <v>30</v>
      </c>
      <c r="B8" s="84"/>
      <c r="C8" s="84"/>
      <c r="D8" s="84"/>
      <c r="E8" s="23"/>
      <c r="G8" s="2"/>
      <c r="H8" s="2"/>
      <c r="I8" s="3" t="s">
        <v>60</v>
      </c>
      <c r="J8" s="3">
        <f>EXP(-PI()*L/lambda_thin)*SIN(PI()*L/lambda_thin)</f>
        <v>2.3183783973185009E-4</v>
      </c>
      <c r="K8" s="2"/>
      <c r="L8" s="2"/>
      <c r="M8" s="2"/>
      <c r="N8" s="2"/>
      <c r="O8" s="34">
        <v>7</v>
      </c>
      <c r="P8" s="38">
        <f t="shared" si="0"/>
        <v>0.67082039324993392</v>
      </c>
      <c r="Q8" s="38">
        <f>'Thin theory'!I$43*EXP(-PI()*(L-P8)/lambda_thin)*COS(PI()*(L-P8)/lambda_thin)+'Thin theory'!I$44*EXP(-PI()*(L-P8)/lambda_thin)*SIN(PI()*(L-P8)/lambda_thin)+'Thin theory'!I$45*EXP(PI()*(L-P8)/lambda_thin)*COS(PI()*(L-P8)/lambda_thin)+'Thin theory'!I$46*EXP(PI()*(L-P8)/lambda_thin)*SIN(PI()*(L-P8)/lambda_thin)+wm</f>
        <v>2.7725546334967929E-6</v>
      </c>
      <c r="R8" s="38">
        <f>'Thin theory'!I$43*2*(PI()/lambda_thin)^2*EXP(-PI()*(L-P8)/lambda_thin)*SIN(PI()*(L-P8)/lambda_thin)-'Thin theory'!I$44*2*(PI()/lambda_thin)^2*EXP(-PI()*(L-P8)/lambda_thin)*COS(PI()*(L-P8)/lambda_thin)-'Thin theory'!I$45*2*(PI()/lambda_thin)^2*EXP(PI()*(L-P8)/lambda_thin)*SIN(PI()*(L-P8)/lambda_thin)+'Thin theory'!I$46*2*(PI()/lambda_thin)^2*EXP(PI()*(L-P8)/lambda_thin)*COS(PI()*(L-P8)/lambda_thin)</f>
        <v>-1.2555821791707802E-6</v>
      </c>
      <c r="S8" s="38">
        <f>(L-P8)*Nz/Cs-nu/rad*(wm*(L-P8)+'Thin theory'!I$43*0.5*lambda_thin/PI()*(1-EXP(-PI()*(L-P8)/lambda_thin)*(COS(PI()*(L-P8)/lambda_thin)-SIN(PI()*(L-P8)/lambda_thin)))+'Thin theory'!I$44*0.5*lambda_thin/PI()*(1-EXP(-PI()*(L-P8)/lambda_thin)*(COS(PI()*(L-P8)/lambda_thin)+SIN(PI()*(L-P8)/lambda_thin)))+'Thin theory'!I$45*0.5*lambda_thin/PI()*(-1+EXP(PI()*(L-P8)/lambda_thin)*(COS(PI()*(L-P8)/lambda_thin)+SIN(PI()*(L-P8)/lambda_thin)))+'Thin theory'!I$46*0.5*lambda_thin/PI()*(1+EXP(PI()*(L-P8)/lambda_thin)*(SIN(PI()*(L-P8)/lambda_thin)-COS(PI()*(L-P8)/lambda_thin))))</f>
        <v>-5.1623325775561628E-5</v>
      </c>
      <c r="T8" s="38">
        <f t="shared" si="12"/>
        <v>5.1623325775561628E-5</v>
      </c>
      <c r="U8" s="38">
        <f t="shared" si="1"/>
        <v>-4.7163532780098082E-6</v>
      </c>
      <c r="V8" s="38">
        <f t="shared" si="2"/>
        <v>-1</v>
      </c>
      <c r="W8" s="38">
        <f t="shared" si="3"/>
        <v>-0.18909781466012832</v>
      </c>
      <c r="X8" s="38">
        <f t="shared" si="4"/>
        <v>-2.2996010607523446E-2</v>
      </c>
      <c r="Y8" s="38">
        <f t="shared" si="5"/>
        <v>-6.8988031822570335E-3</v>
      </c>
      <c r="Z8" s="38">
        <f t="shared" si="6"/>
        <v>-1.1379760636451406</v>
      </c>
      <c r="AA8" s="38">
        <f t="shared" si="7"/>
        <v>-1</v>
      </c>
      <c r="AB8" s="38">
        <f t="shared" si="8"/>
        <v>-0.8620239363548593</v>
      </c>
      <c r="AC8" s="38">
        <f t="shared" si="9"/>
        <v>-0.23049063375367052</v>
      </c>
      <c r="AD8" s="38">
        <f t="shared" si="10"/>
        <v>-0.18909781466012832</v>
      </c>
      <c r="AE8" s="38">
        <f t="shared" si="11"/>
        <v>-0.14770499556658612</v>
      </c>
    </row>
    <row r="9" spans="1:31" x14ac:dyDescent="0.3">
      <c r="A9" s="86" t="s">
        <v>127</v>
      </c>
      <c r="B9" s="87"/>
      <c r="C9" s="85">
        <f>PI()*SQRT(rad*t)*(3*(1 - nu*nu))^(-0.25)</f>
        <v>5.4650509238654248</v>
      </c>
      <c r="D9" s="85"/>
      <c r="E9" s="24" t="s">
        <v>2</v>
      </c>
      <c r="G9" s="2"/>
      <c r="H9" s="2"/>
      <c r="I9" s="3" t="s">
        <v>62</v>
      </c>
      <c r="J9" s="3">
        <f>EXP(PI()*L/lambda_thin)*COS(PI()*L/lambda_thin)</f>
        <v>611.95133816933617</v>
      </c>
      <c r="K9" s="2"/>
      <c r="L9" s="2"/>
      <c r="M9" s="2"/>
      <c r="N9" s="2"/>
      <c r="O9" s="34">
        <v>8</v>
      </c>
      <c r="P9" s="38">
        <f t="shared" si="0"/>
        <v>0.78262379212492306</v>
      </c>
      <c r="Q9" s="38">
        <f>'Thin theory'!I$43*EXP(-PI()*(L-P9)/lambda_thin)*COS(PI()*(L-P9)/lambda_thin)+'Thin theory'!I$44*EXP(-PI()*(L-P9)/lambda_thin)*SIN(PI()*(L-P9)/lambda_thin)+'Thin theory'!I$45*EXP(PI()*(L-P9)/lambda_thin)*COS(PI()*(L-P9)/lambda_thin)+'Thin theory'!I$46*EXP(PI()*(L-P9)/lambda_thin)*SIN(PI()*(L-P9)/lambda_thin)+wm</f>
        <v>3.1915015998960942E-6</v>
      </c>
      <c r="R9" s="38">
        <f>'Thin theory'!I$43*2*(PI()/lambda_thin)^2*EXP(-PI()*(L-P9)/lambda_thin)*SIN(PI()*(L-P9)/lambda_thin)-'Thin theory'!I$44*2*(PI()/lambda_thin)^2*EXP(-PI()*(L-P9)/lambda_thin)*COS(PI()*(L-P9)/lambda_thin)-'Thin theory'!I$45*2*(PI()/lambda_thin)^2*EXP(PI()*(L-P9)/lambda_thin)*SIN(PI()*(L-P9)/lambda_thin)+'Thin theory'!I$46*2*(PI()/lambda_thin)^2*EXP(PI()*(L-P9)/lambda_thin)*COS(PI()*(L-P9)/lambda_thin)</f>
        <v>-1.3602356698913698E-6</v>
      </c>
      <c r="S9" s="38">
        <f>(L-P9)*Nz/Cs-nu/rad*(wm*(L-P9)+'Thin theory'!I$43*0.5*lambda_thin/PI()*(1-EXP(-PI()*(L-P9)/lambda_thin)*(COS(PI()*(L-P9)/lambda_thin)-SIN(PI()*(L-P9)/lambda_thin)))+'Thin theory'!I$44*0.5*lambda_thin/PI()*(1-EXP(-PI()*(L-P9)/lambda_thin)*(COS(PI()*(L-P9)/lambda_thin)+SIN(PI()*(L-P9)/lambda_thin)))+'Thin theory'!I$45*0.5*lambda_thin/PI()*(-1+EXP(PI()*(L-P9)/lambda_thin)*(COS(PI()*(L-P9)/lambda_thin)+SIN(PI()*(L-P9)/lambda_thin)))+'Thin theory'!I$46*0.5*lambda_thin/PI()*(1+EXP(PI()*(L-P9)/lambda_thin)*(SIN(PI()*(L-P9)/lambda_thin)-COS(PI()*(L-P9)/lambda_thin))))</f>
        <v>-5.1094607101418673E-5</v>
      </c>
      <c r="T9" s="38">
        <f t="shared" si="12"/>
        <v>5.1094607101418673E-5</v>
      </c>
      <c r="U9" s="38">
        <f t="shared" si="1"/>
        <v>-4.7414900959937657E-6</v>
      </c>
      <c r="V9" s="38">
        <f t="shared" si="2"/>
        <v>-1</v>
      </c>
      <c r="W9" s="38">
        <f t="shared" si="3"/>
        <v>-0.17233993600415623</v>
      </c>
      <c r="X9" s="38">
        <f t="shared" si="4"/>
        <v>-2.4912741206801644E-2</v>
      </c>
      <c r="Y9" s="38">
        <f t="shared" si="5"/>
        <v>-7.4738223620404928E-3</v>
      </c>
      <c r="Z9" s="38">
        <f t="shared" si="6"/>
        <v>-1.1494764472408099</v>
      </c>
      <c r="AA9" s="38">
        <f t="shared" si="7"/>
        <v>-1</v>
      </c>
      <c r="AB9" s="38">
        <f t="shared" si="8"/>
        <v>-0.85052355275919012</v>
      </c>
      <c r="AC9" s="38">
        <f t="shared" si="9"/>
        <v>-0.2171828701763992</v>
      </c>
      <c r="AD9" s="38">
        <f t="shared" si="10"/>
        <v>-0.17233993600415623</v>
      </c>
      <c r="AE9" s="38">
        <f t="shared" si="11"/>
        <v>-0.12749700183191326</v>
      </c>
    </row>
    <row r="10" spans="1:31" x14ac:dyDescent="0.3">
      <c r="G10" s="2"/>
      <c r="H10" s="2"/>
      <c r="I10" s="3" t="s">
        <v>61</v>
      </c>
      <c r="J10" s="3">
        <f>EXP(PI()*L/lambda_thin)*SIN(PI()*L/lambda_thin)</f>
        <v>88.641277563838329</v>
      </c>
      <c r="K10" s="2"/>
      <c r="L10" s="2"/>
      <c r="M10" s="2"/>
      <c r="N10" s="2"/>
      <c r="O10" s="34">
        <v>9</v>
      </c>
      <c r="P10" s="38">
        <f t="shared" si="0"/>
        <v>0.89442719099991197</v>
      </c>
      <c r="Q10" s="38">
        <f>'Thin theory'!I$43*EXP(-PI()*(L-P10)/lambda_thin)*COS(PI()*(L-P10)/lambda_thin)+'Thin theory'!I$44*EXP(-PI()*(L-P10)/lambda_thin)*SIN(PI()*(L-P10)/lambda_thin)+'Thin theory'!I$45*EXP(PI()*(L-P10)/lambda_thin)*COS(PI()*(L-P10)/lambda_thin)+'Thin theory'!I$46*EXP(PI()*(L-P10)/lambda_thin)*SIN(PI()*(L-P10)/lambda_thin)+wm</f>
        <v>3.5934701282288611E-6</v>
      </c>
      <c r="R10" s="38">
        <f>'Thin theory'!I$43*2*(PI()/lambda_thin)^2*EXP(-PI()*(L-P10)/lambda_thin)*SIN(PI()*(L-P10)/lambda_thin)-'Thin theory'!I$44*2*(PI()/lambda_thin)^2*EXP(-PI()*(L-P10)/lambda_thin)*COS(PI()*(L-P10)/lambda_thin)-'Thin theory'!I$45*2*(PI()/lambda_thin)^2*EXP(PI()*(L-P10)/lambda_thin)*SIN(PI()*(L-P10)/lambda_thin)+'Thin theory'!I$46*2*(PI()/lambda_thin)^2*EXP(PI()*(L-P10)/lambda_thin)*COS(PI()*(L-P10)/lambda_thin)</f>
        <v>-1.4413570274671636E-6</v>
      </c>
      <c r="S10" s="38">
        <f>(L-P10)*Nz/Cs-nu/rad*(wm*(L-P10)+'Thin theory'!I$43*0.5*lambda_thin/PI()*(1-EXP(-PI()*(L-P10)/lambda_thin)*(COS(PI()*(L-P10)/lambda_thin)-SIN(PI()*(L-P10)/lambda_thin)))+'Thin theory'!I$44*0.5*lambda_thin/PI()*(1-EXP(-PI()*(L-P10)/lambda_thin)*(COS(PI()*(L-P10)/lambda_thin)+SIN(PI()*(L-P10)/lambda_thin)))+'Thin theory'!I$45*0.5*lambda_thin/PI()*(-1+EXP(PI()*(L-P10)/lambda_thin)*(COS(PI()*(L-P10)/lambda_thin)+SIN(PI()*(L-P10)/lambda_thin)))+'Thin theory'!I$46*0.5*lambda_thin/PI()*(1+EXP(PI()*(L-P10)/lambda_thin)*(SIN(PI()*(L-P10)/lambda_thin)-COS(PI()*(L-P10)/lambda_thin))))</f>
        <v>-5.0563134345496577E-5</v>
      </c>
      <c r="T10" s="38">
        <f t="shared" si="12"/>
        <v>5.0563134345496577E-5</v>
      </c>
      <c r="U10" s="38">
        <f t="shared" si="1"/>
        <v>-4.7656082076937322E-6</v>
      </c>
      <c r="V10" s="38">
        <f t="shared" si="2"/>
        <v>-1</v>
      </c>
      <c r="W10" s="38">
        <f t="shared" si="3"/>
        <v>-0.15626119487084558</v>
      </c>
      <c r="X10" s="38">
        <f t="shared" si="4"/>
        <v>-2.6398480356541458E-2</v>
      </c>
      <c r="Y10" s="38">
        <f t="shared" si="5"/>
        <v>-7.9195441069624378E-3</v>
      </c>
      <c r="Z10" s="38">
        <f t="shared" si="6"/>
        <v>-1.1583908821392488</v>
      </c>
      <c r="AA10" s="38">
        <f t="shared" si="7"/>
        <v>-1</v>
      </c>
      <c r="AB10" s="38">
        <f t="shared" si="8"/>
        <v>-0.84160911786075121</v>
      </c>
      <c r="AC10" s="38">
        <f t="shared" si="9"/>
        <v>-0.20377845951262019</v>
      </c>
      <c r="AD10" s="38">
        <f t="shared" si="10"/>
        <v>-0.15626119487084558</v>
      </c>
      <c r="AE10" s="38">
        <f t="shared" si="11"/>
        <v>-0.10874393022907096</v>
      </c>
    </row>
    <row r="11" spans="1:31" x14ac:dyDescent="0.3">
      <c r="G11" s="2"/>
      <c r="H11" s="2"/>
      <c r="I11" s="3" t="s">
        <v>63</v>
      </c>
      <c r="J11" s="3">
        <f>-(PI()/lambda_thin)*EXP(-PI()*L/lambda_thin)*(COS(PI()*L/lambda_thin)+SIN(PI()*L/lambda_thin))</f>
        <v>-1.0533423116861822E-3</v>
      </c>
      <c r="K11" s="2"/>
      <c r="L11" s="2"/>
      <c r="M11" s="2"/>
      <c r="N11" s="2"/>
      <c r="O11" s="34">
        <v>10</v>
      </c>
      <c r="P11" s="38">
        <f t="shared" si="0"/>
        <v>1.0062305898749009</v>
      </c>
      <c r="Q11" s="38">
        <f>'Thin theory'!I$43*EXP(-PI()*(L-P11)/lambda_thin)*COS(PI()*(L-P11)/lambda_thin)+'Thin theory'!I$44*EXP(-PI()*(L-P11)/lambda_thin)*SIN(PI()*(L-P11)/lambda_thin)+'Thin theory'!I$45*EXP(PI()*(L-P11)/lambda_thin)*COS(PI()*(L-P11)/lambda_thin)+'Thin theory'!I$46*EXP(PI()*(L-P11)/lambda_thin)*SIN(PI()*(L-P11)/lambda_thin)+wm</f>
        <v>3.9774439155217642E-6</v>
      </c>
      <c r="R11" s="38">
        <f>'Thin theory'!I$43*2*(PI()/lambda_thin)^2*EXP(-PI()*(L-P11)/lambda_thin)*SIN(PI()*(L-P11)/lambda_thin)-'Thin theory'!I$44*2*(PI()/lambda_thin)^2*EXP(-PI()*(L-P11)/lambda_thin)*COS(PI()*(L-P11)/lambda_thin)-'Thin theory'!I$45*2*(PI()/lambda_thin)^2*EXP(PI()*(L-P11)/lambda_thin)*SIN(PI()*(L-P11)/lambda_thin)+'Thin theory'!I$46*2*(PI()/lambda_thin)^2*EXP(PI()*(L-P11)/lambda_thin)*COS(PI()*(L-P11)/lambda_thin)</f>
        <v>-1.5011405382690757E-6</v>
      </c>
      <c r="S11" s="38">
        <f>(L-P11)*Nz/Cs-nu/rad*(wm*(L-P11)+'Thin theory'!I$43*0.5*lambda_thin/PI()*(1-EXP(-PI()*(L-P11)/lambda_thin)*(COS(PI()*(L-P11)/lambda_thin)-SIN(PI()*(L-P11)/lambda_thin)))+'Thin theory'!I$44*0.5*lambda_thin/PI()*(1-EXP(-PI()*(L-P11)/lambda_thin)*(COS(PI()*(L-P11)/lambda_thin)+SIN(PI()*(L-P11)/lambda_thin)))+'Thin theory'!I$45*0.5*lambda_thin/PI()*(-1+EXP(PI()*(L-P11)/lambda_thin)*(COS(PI()*(L-P11)/lambda_thin)+SIN(PI()*(L-P11)/lambda_thin)))+'Thin theory'!I$46*0.5*lambda_thin/PI()*(1+EXP(PI()*(L-P11)/lambda_thin)*(SIN(PI()*(L-P11)/lambda_thin)-COS(PI()*(L-P11)/lambda_thin))))</f>
        <v>-5.002902496810656E-5</v>
      </c>
      <c r="T11" s="38">
        <f t="shared" si="12"/>
        <v>5.002902496810656E-5</v>
      </c>
      <c r="U11" s="38">
        <f t="shared" si="1"/>
        <v>-4.7886466349313065E-6</v>
      </c>
      <c r="V11" s="38">
        <f t="shared" si="2"/>
        <v>-1</v>
      </c>
      <c r="W11" s="38">
        <f t="shared" si="3"/>
        <v>-0.14090224337912946</v>
      </c>
      <c r="X11" s="38">
        <f t="shared" si="4"/>
        <v>-2.7493416451814572E-2</v>
      </c>
      <c r="Y11" s="38">
        <f t="shared" si="5"/>
        <v>-8.2480249355443708E-3</v>
      </c>
      <c r="Z11" s="38">
        <f t="shared" si="6"/>
        <v>-1.1649604987108875</v>
      </c>
      <c r="AA11" s="38">
        <f t="shared" si="7"/>
        <v>-1</v>
      </c>
      <c r="AB11" s="38">
        <f t="shared" si="8"/>
        <v>-0.83503950128911253</v>
      </c>
      <c r="AC11" s="38">
        <f t="shared" si="9"/>
        <v>-0.19039039299239569</v>
      </c>
      <c r="AD11" s="38">
        <f t="shared" si="10"/>
        <v>-0.14090224337912946</v>
      </c>
      <c r="AE11" s="38">
        <f t="shared" si="11"/>
        <v>-9.1414093765863236E-2</v>
      </c>
    </row>
    <row r="12" spans="1:31" x14ac:dyDescent="0.3">
      <c r="G12" s="2"/>
      <c r="H12" s="2"/>
      <c r="I12" s="3" t="s">
        <v>64</v>
      </c>
      <c r="J12" s="3">
        <f>(PI()/lambda_thin)*EXP(-PI()*L/lambda_thin)*(COS(PI()*L/lambda_thin)-SIN(PI()*L/lambda_thin))</f>
        <v>7.8679765756590407E-4</v>
      </c>
      <c r="K12" s="2"/>
      <c r="L12" s="2"/>
      <c r="M12" s="2"/>
      <c r="N12" s="2"/>
      <c r="O12" s="34">
        <v>11</v>
      </c>
      <c r="P12" s="38">
        <f t="shared" si="0"/>
        <v>1.11803398874989</v>
      </c>
      <c r="Q12" s="38">
        <f>'Thin theory'!I$43*EXP(-PI()*(L-P12)/lambda_thin)*COS(PI()*(L-P12)/lambda_thin)+'Thin theory'!I$44*EXP(-PI()*(L-P12)/lambda_thin)*SIN(PI()*(L-P12)/lambda_thin)+'Thin theory'!I$45*EXP(PI()*(L-P12)/lambda_thin)*COS(PI()*(L-P12)/lambda_thin)+'Thin theory'!I$46*EXP(PI()*(L-P12)/lambda_thin)*SIN(PI()*(L-P12)/lambda_thin)+wm</f>
        <v>4.3426734841806E-6</v>
      </c>
      <c r="R12" s="38">
        <f>'Thin theory'!I$43*2*(PI()/lambda_thin)^2*EXP(-PI()*(L-P12)/lambda_thin)*SIN(PI()*(L-P12)/lambda_thin)-'Thin theory'!I$44*2*(PI()/lambda_thin)^2*EXP(-PI()*(L-P12)/lambda_thin)*COS(PI()*(L-P12)/lambda_thin)-'Thin theory'!I$45*2*(PI()/lambda_thin)^2*EXP(PI()*(L-P12)/lambda_thin)*SIN(PI()*(L-P12)/lambda_thin)+'Thin theory'!I$46*2*(PI()/lambda_thin)^2*EXP(PI()*(L-P12)/lambda_thin)*COS(PI()*(L-P12)/lambda_thin)</f>
        <v>-1.5416823587595571E-6</v>
      </c>
      <c r="S12" s="38">
        <f>(L-P12)*Nz/Cs-nu/rad*(wm*(L-P12)+'Thin theory'!I$43*0.5*lambda_thin/PI()*(1-EXP(-PI()*(L-P12)/lambda_thin)*(COS(PI()*(L-P12)/lambda_thin)-SIN(PI()*(L-P12)/lambda_thin)))+'Thin theory'!I$44*0.5*lambda_thin/PI()*(1-EXP(-PI()*(L-P12)/lambda_thin)*(COS(PI()*(L-P12)/lambda_thin)+SIN(PI()*(L-P12)/lambda_thin)))+'Thin theory'!I$45*0.5*lambda_thin/PI()*(-1+EXP(PI()*(L-P12)/lambda_thin)*(COS(PI()*(L-P12)/lambda_thin)+SIN(PI()*(L-P12)/lambda_thin)))+'Thin theory'!I$46*0.5*lambda_thin/PI()*(1+EXP(PI()*(L-P12)/lambda_thin)*(SIN(PI()*(L-P12)/lambda_thin)-COS(PI()*(L-P12)/lambda_thin))))</f>
        <v>-4.9492402337174407E-5</v>
      </c>
      <c r="T12" s="38">
        <f t="shared" si="12"/>
        <v>4.9492402337174407E-5</v>
      </c>
      <c r="U12" s="38">
        <f t="shared" si="1"/>
        <v>-4.8105604090508364E-6</v>
      </c>
      <c r="V12" s="38">
        <f t="shared" si="2"/>
        <v>-1</v>
      </c>
      <c r="W12" s="38">
        <f t="shared" si="3"/>
        <v>-0.12629306063277604</v>
      </c>
      <c r="X12" s="38">
        <f t="shared" si="4"/>
        <v>-2.8235940636621923E-2</v>
      </c>
      <c r="Y12" s="38">
        <f t="shared" si="5"/>
        <v>-8.4707821909865769E-3</v>
      </c>
      <c r="Z12" s="38">
        <f t="shared" si="6"/>
        <v>-1.1694156438197316</v>
      </c>
      <c r="AA12" s="38">
        <f t="shared" si="7"/>
        <v>-1</v>
      </c>
      <c r="AB12" s="38">
        <f t="shared" si="8"/>
        <v>-0.83058435618026849</v>
      </c>
      <c r="AC12" s="38">
        <f t="shared" si="9"/>
        <v>-0.17711775377869549</v>
      </c>
      <c r="AD12" s="38">
        <f t="shared" si="10"/>
        <v>-0.12629306063277604</v>
      </c>
      <c r="AE12" s="38">
        <f t="shared" si="11"/>
        <v>-7.5468367486856577E-2</v>
      </c>
    </row>
    <row r="13" spans="1:31" x14ac:dyDescent="0.3">
      <c r="G13" s="2"/>
      <c r="H13" s="2"/>
      <c r="I13" s="3" t="s">
        <v>65</v>
      </c>
      <c r="J13" s="3">
        <f>(PI()/lambda_thin)*EXP(PI()*L/lambda_thin)*(COS(PI()*L/lambda_thin)-SIN(PI()*L/lambda_thin))</f>
        <v>300.82556683388464</v>
      </c>
      <c r="K13" s="2"/>
      <c r="L13" s="2"/>
      <c r="M13" s="2"/>
      <c r="N13" s="2"/>
      <c r="O13" s="34">
        <v>12</v>
      </c>
      <c r="P13" s="38">
        <f t="shared" si="0"/>
        <v>1.2298373876248789</v>
      </c>
      <c r="Q13" s="38">
        <f>'Thin theory'!I$43*EXP(-PI()*(L-P13)/lambda_thin)*COS(PI()*(L-P13)/lambda_thin)+'Thin theory'!I$44*EXP(-PI()*(L-P13)/lambda_thin)*SIN(PI()*(L-P13)/lambda_thin)+'Thin theory'!I$45*EXP(PI()*(L-P13)/lambda_thin)*COS(PI()*(L-P13)/lambda_thin)+'Thin theory'!I$46*EXP(PI()*(L-P13)/lambda_thin)*SIN(PI()*(L-P13)/lambda_thin)+wm</f>
        <v>4.6886499843022429E-6</v>
      </c>
      <c r="R13" s="38">
        <f>'Thin theory'!I$43*2*(PI()/lambda_thin)^2*EXP(-PI()*(L-P13)/lambda_thin)*SIN(PI()*(L-P13)/lambda_thin)-'Thin theory'!I$44*2*(PI()/lambda_thin)^2*EXP(-PI()*(L-P13)/lambda_thin)*COS(PI()*(L-P13)/lambda_thin)-'Thin theory'!I$45*2*(PI()/lambda_thin)^2*EXP(PI()*(L-P13)/lambda_thin)*SIN(PI()*(L-P13)/lambda_thin)+'Thin theory'!I$46*2*(PI()/lambda_thin)^2*EXP(PI()*(L-P13)/lambda_thin)*COS(PI()*(L-P13)/lambda_thin)</f>
        <v>-1.5649764114238332E-6</v>
      </c>
      <c r="S13" s="38">
        <f>(L-P13)*Nz/Cs-nu/rad*(wm*(L-P13)+'Thin theory'!I$43*0.5*lambda_thin/PI()*(1-EXP(-PI()*(L-P13)/lambda_thin)*(COS(PI()*(L-P13)/lambda_thin)-SIN(PI()*(L-P13)/lambda_thin)))+'Thin theory'!I$44*0.5*lambda_thin/PI()*(1-EXP(-PI()*(L-P13)/lambda_thin)*(COS(PI()*(L-P13)/lambda_thin)+SIN(PI()*(L-P13)/lambda_thin)))+'Thin theory'!I$45*0.5*lambda_thin/PI()*(-1+EXP(PI()*(L-P13)/lambda_thin)*(COS(PI()*(L-P13)/lambda_thin)+SIN(PI()*(L-P13)/lambda_thin)))+'Thin theory'!I$46*0.5*lambda_thin/PI()*(1+EXP(PI()*(L-P13)/lambda_thin)*(SIN(PI()*(L-P13)/lambda_thin)-COS(PI()*(L-P13)/lambda_thin))))</f>
        <v>-4.8953394026892064E-5</v>
      </c>
      <c r="T13" s="38">
        <f t="shared" si="12"/>
        <v>4.8953394026892064E-5</v>
      </c>
      <c r="U13" s="38">
        <f t="shared" si="1"/>
        <v>-4.8313189990581351E-6</v>
      </c>
      <c r="V13" s="38">
        <f t="shared" si="2"/>
        <v>-1</v>
      </c>
      <c r="W13" s="38">
        <f t="shared" si="3"/>
        <v>-0.11245400062791032</v>
      </c>
      <c r="X13" s="38">
        <f t="shared" si="4"/>
        <v>-2.8662571637799141E-2</v>
      </c>
      <c r="Y13" s="38">
        <f t="shared" si="5"/>
        <v>-8.5987714913397413E-3</v>
      </c>
      <c r="Z13" s="38">
        <f t="shared" si="6"/>
        <v>-1.1719754298267948</v>
      </c>
      <c r="AA13" s="38">
        <f t="shared" si="7"/>
        <v>-1</v>
      </c>
      <c r="AB13" s="38">
        <f t="shared" si="8"/>
        <v>-0.82802457017320519</v>
      </c>
      <c r="AC13" s="38">
        <f t="shared" si="9"/>
        <v>-0.16404662957594876</v>
      </c>
      <c r="AD13" s="38">
        <f t="shared" si="10"/>
        <v>-0.11245400062791032</v>
      </c>
      <c r="AE13" s="38">
        <f t="shared" si="11"/>
        <v>-6.0861371679871872E-2</v>
      </c>
    </row>
    <row r="14" spans="1:31" x14ac:dyDescent="0.3">
      <c r="G14" s="2"/>
      <c r="H14" s="2"/>
      <c r="I14" s="3" t="s">
        <v>66</v>
      </c>
      <c r="J14" s="3">
        <f>(PI()/lambda_thin)*EXP(PI()*L/lambda_thin)*(COS(PI()*L/lambda_thin)+SIN(PI()*L/lambda_thin))</f>
        <v>402.73670738091664</v>
      </c>
      <c r="K14" s="2"/>
      <c r="L14" s="2"/>
      <c r="M14" s="2"/>
      <c r="N14" s="2"/>
      <c r="O14" s="34">
        <v>13</v>
      </c>
      <c r="P14" s="38">
        <f t="shared" si="0"/>
        <v>1.3416407864998678</v>
      </c>
      <c r="Q14" s="38">
        <f>'Thin theory'!I$43*EXP(-PI()*(L-P14)/lambda_thin)*COS(PI()*(L-P14)/lambda_thin)+'Thin theory'!I$44*EXP(-PI()*(L-P14)/lambda_thin)*SIN(PI()*(L-P14)/lambda_thin)+'Thin theory'!I$45*EXP(PI()*(L-P14)/lambda_thin)*COS(PI()*(L-P14)/lambda_thin)+'Thin theory'!I$46*EXP(PI()*(L-P14)/lambda_thin)*SIN(PI()*(L-P14)/lambda_thin)+wm</f>
        <v>5.0150802725423188E-6</v>
      </c>
      <c r="R14" s="38">
        <f>'Thin theory'!I$43*2*(PI()/lambda_thin)^2*EXP(-PI()*(L-P14)/lambda_thin)*SIN(PI()*(L-P14)/lambda_thin)-'Thin theory'!I$44*2*(PI()/lambda_thin)^2*EXP(-PI()*(L-P14)/lambda_thin)*COS(PI()*(L-P14)/lambda_thin)-'Thin theory'!I$45*2*(PI()/lambda_thin)^2*EXP(PI()*(L-P14)/lambda_thin)*SIN(PI()*(L-P14)/lambda_thin)+'Thin theory'!I$46*2*(PI()/lambda_thin)^2*EXP(PI()*(L-P14)/lambda_thin)*COS(PI()*(L-P14)/lambda_thin)</f>
        <v>-1.5729115951095197E-6</v>
      </c>
      <c r="S14" s="38">
        <f>(L-P14)*Nz/Cs-nu/rad*(wm*(L-P14)+'Thin theory'!I$43*0.5*lambda_thin/PI()*(1-EXP(-PI()*(L-P14)/lambda_thin)*(COS(PI()*(L-P14)/lambda_thin)-SIN(PI()*(L-P14)/lambda_thin)))+'Thin theory'!I$44*0.5*lambda_thin/PI()*(1-EXP(-PI()*(L-P14)/lambda_thin)*(COS(PI()*(L-P14)/lambda_thin)+SIN(PI()*(L-P14)/lambda_thin)))+'Thin theory'!I$45*0.5*lambda_thin/PI()*(-1+EXP(PI()*(L-P14)/lambda_thin)*(COS(PI()*(L-P14)/lambda_thin)+SIN(PI()*(L-P14)/lambda_thin)))+'Thin theory'!I$46*0.5*lambda_thin/PI()*(1+EXP(PI()*(L-P14)/lambda_thin)*(SIN(PI()*(L-P14)/lambda_thin)-COS(PI()*(L-P14)/lambda_thin))))</f>
        <v>-4.8412130287851088E-5</v>
      </c>
      <c r="T14" s="38">
        <f t="shared" si="12"/>
        <v>4.8412130287851088E-5</v>
      </c>
      <c r="U14" s="38">
        <f t="shared" si="1"/>
        <v>-4.8509048163525395E-6</v>
      </c>
      <c r="V14" s="38">
        <f t="shared" si="2"/>
        <v>-1</v>
      </c>
      <c r="W14" s="38">
        <f t="shared" si="3"/>
        <v>-9.9396789098307278E-2</v>
      </c>
      <c r="X14" s="38">
        <f t="shared" si="4"/>
        <v>-2.8807904672335526E-2</v>
      </c>
      <c r="Y14" s="38">
        <f t="shared" si="5"/>
        <v>-8.6423714017006582E-3</v>
      </c>
      <c r="Z14" s="38">
        <f t="shared" si="6"/>
        <v>-1.1728474280340131</v>
      </c>
      <c r="AA14" s="38">
        <f t="shared" si="7"/>
        <v>-1</v>
      </c>
      <c r="AB14" s="38">
        <f t="shared" si="8"/>
        <v>-0.8271525719659869</v>
      </c>
      <c r="AC14" s="38">
        <f t="shared" si="9"/>
        <v>-0.15125101750851122</v>
      </c>
      <c r="AD14" s="38">
        <f t="shared" si="10"/>
        <v>-9.9396789098307278E-2</v>
      </c>
      <c r="AE14" s="38">
        <f t="shared" si="11"/>
        <v>-4.7542560688103329E-2</v>
      </c>
    </row>
    <row r="15" spans="1:31" x14ac:dyDescent="0.3">
      <c r="G15" s="2"/>
      <c r="H15" s="2"/>
      <c r="I15" s="3" t="s">
        <v>135</v>
      </c>
      <c r="J15" s="3">
        <f>2*(PI()/lambda_thin)^2*EXP(-PI()*L/lambda_thin)*SIN(PI()*L/lambda_thin)</f>
        <v>1.532235909424288E-4</v>
      </c>
      <c r="K15" s="2"/>
      <c r="L15" s="2"/>
      <c r="M15" s="2"/>
      <c r="N15" s="2"/>
      <c r="O15" s="34">
        <v>14</v>
      </c>
      <c r="P15" s="38">
        <f t="shared" si="0"/>
        <v>1.453444185374857</v>
      </c>
      <c r="Q15" s="38">
        <f>'Thin theory'!I$43*EXP(-PI()*(L-P15)/lambda_thin)*COS(PI()*(L-P15)/lambda_thin)+'Thin theory'!I$44*EXP(-PI()*(L-P15)/lambda_thin)*SIN(PI()*(L-P15)/lambda_thin)+'Thin theory'!I$45*EXP(PI()*(L-P15)/lambda_thin)*COS(PI()*(L-P15)/lambda_thin)+'Thin theory'!I$46*EXP(PI()*(L-P15)/lambda_thin)*SIN(PI()*(L-P15)/lambda_thin)+wm</f>
        <v>5.3218633025513709E-6</v>
      </c>
      <c r="R15" s="38">
        <f>'Thin theory'!I$43*2*(PI()/lambda_thin)^2*EXP(-PI()*(L-P15)/lambda_thin)*SIN(PI()*(L-P15)/lambda_thin)-'Thin theory'!I$44*2*(PI()/lambda_thin)^2*EXP(-PI()*(L-P15)/lambda_thin)*COS(PI()*(L-P15)/lambda_thin)-'Thin theory'!I$45*2*(PI()/lambda_thin)^2*EXP(PI()*(L-P15)/lambda_thin)*SIN(PI()*(L-P15)/lambda_thin)+'Thin theory'!I$46*2*(PI()/lambda_thin)^2*EXP(PI()*(L-P15)/lambda_thin)*COS(PI()*(L-P15)/lambda_thin)</f>
        <v>-1.5672701737211564E-6</v>
      </c>
      <c r="S15" s="38">
        <f>(L-P15)*Nz/Cs-nu/rad*(wm*(L-P15)+'Thin theory'!I$43*0.5*lambda_thin/PI()*(1-EXP(-PI()*(L-P15)/lambda_thin)*(COS(PI()*(L-P15)/lambda_thin)-SIN(PI()*(L-P15)/lambda_thin)))+'Thin theory'!I$44*0.5*lambda_thin/PI()*(1-EXP(-PI()*(L-P15)/lambda_thin)*(COS(PI()*(L-P15)/lambda_thin)+SIN(PI()*(L-P15)/lambda_thin)))+'Thin theory'!I$45*0.5*lambda_thin/PI()*(-1+EXP(PI()*(L-P15)/lambda_thin)*(COS(PI()*(L-P15)/lambda_thin)+SIN(PI()*(L-P15)/lambda_thin)))+'Thin theory'!I$46*0.5*lambda_thin/PI()*(1+EXP(PI()*(L-P15)/lambda_thin)*(SIN(PI()*(L-P15)/lambda_thin)-COS(PI()*(L-P15)/lambda_thin))))</f>
        <v>-4.7868742679968193E-5</v>
      </c>
      <c r="T15" s="38">
        <f t="shared" si="12"/>
        <v>4.7868742679968193E-5</v>
      </c>
      <c r="U15" s="38">
        <f t="shared" si="1"/>
        <v>-4.8693117981530825E-6</v>
      </c>
      <c r="V15" s="38">
        <f t="shared" si="2"/>
        <v>-1</v>
      </c>
      <c r="W15" s="38">
        <f t="shared" si="3"/>
        <v>-8.7125467897945202E-2</v>
      </c>
      <c r="X15" s="38">
        <f t="shared" si="4"/>
        <v>-2.8704581936284914E-2</v>
      </c>
      <c r="Y15" s="38">
        <f t="shared" si="5"/>
        <v>-8.6113745808854732E-3</v>
      </c>
      <c r="Z15" s="38">
        <f t="shared" si="6"/>
        <v>-1.1722274916177096</v>
      </c>
      <c r="AA15" s="38">
        <f t="shared" si="7"/>
        <v>-1</v>
      </c>
      <c r="AB15" s="38">
        <f t="shared" si="8"/>
        <v>-0.82777250838229055</v>
      </c>
      <c r="AC15" s="38">
        <f t="shared" si="9"/>
        <v>-0.13879371538325805</v>
      </c>
      <c r="AD15" s="38">
        <f t="shared" si="10"/>
        <v>-8.7125467897945202E-2</v>
      </c>
      <c r="AE15" s="38">
        <f t="shared" si="11"/>
        <v>-3.5457220412632363E-2</v>
      </c>
    </row>
    <row r="16" spans="1:31" x14ac:dyDescent="0.3">
      <c r="G16" s="2"/>
      <c r="H16" s="2"/>
      <c r="I16" s="3" t="s">
        <v>136</v>
      </c>
      <c r="J16" s="3">
        <f>-2*(PI()/lambda_thin)^2*EXP(-PI()*L/lambda_thin)*COS(PI()*L/lambda_thin)</f>
        <v>-1.0578071987827752E-3</v>
      </c>
      <c r="K16" s="2"/>
      <c r="L16" s="2"/>
      <c r="M16" s="2"/>
      <c r="N16" s="2"/>
      <c r="O16" s="34">
        <v>15</v>
      </c>
      <c r="P16" s="38">
        <f t="shared" si="0"/>
        <v>1.5652475842498461</v>
      </c>
      <c r="Q16" s="38">
        <f>'Thin theory'!I$43*EXP(-PI()*(L-P16)/lambda_thin)*COS(PI()*(L-P16)/lambda_thin)+'Thin theory'!I$44*EXP(-PI()*(L-P16)/lambda_thin)*SIN(PI()*(L-P16)/lambda_thin)+'Thin theory'!I$45*EXP(PI()*(L-P16)/lambda_thin)*COS(PI()*(L-P16)/lambda_thin)+'Thin theory'!I$46*EXP(PI()*(L-P16)/lambda_thin)*SIN(PI()*(L-P16)/lambda_thin)+wm</f>
        <v>5.6090678472549842E-6</v>
      </c>
      <c r="R16" s="38">
        <f>'Thin theory'!I$43*2*(PI()/lambda_thin)^2*EXP(-PI()*(L-P16)/lambda_thin)*SIN(PI()*(L-P16)/lambda_thin)-'Thin theory'!I$44*2*(PI()/lambda_thin)^2*EXP(-PI()*(L-P16)/lambda_thin)*COS(PI()*(L-P16)/lambda_thin)-'Thin theory'!I$45*2*(PI()/lambda_thin)^2*EXP(PI()*(L-P16)/lambda_thin)*SIN(PI()*(L-P16)/lambda_thin)+'Thin theory'!I$46*2*(PI()/lambda_thin)^2*EXP(PI()*(L-P16)/lambda_thin)*COS(PI()*(L-P16)/lambda_thin)</f>
        <v>-1.5497272143706163E-6</v>
      </c>
      <c r="S16" s="38">
        <f>(L-P16)*Nz/Cs-nu/rad*(wm*(L-P16)+'Thin theory'!I$43*0.5*lambda_thin/PI()*(1-EXP(-PI()*(L-P16)/lambda_thin)*(COS(PI()*(L-P16)/lambda_thin)-SIN(PI()*(L-P16)/lambda_thin)))+'Thin theory'!I$44*0.5*lambda_thin/PI()*(1-EXP(-PI()*(L-P16)/lambda_thin)*(COS(PI()*(L-P16)/lambda_thin)+SIN(PI()*(L-P16)/lambda_thin)))+'Thin theory'!I$45*0.5*lambda_thin/PI()*(-1+EXP(PI()*(L-P16)/lambda_thin)*(COS(PI()*(L-P16)/lambda_thin)+SIN(PI()*(L-P16)/lambda_thin)))+'Thin theory'!I$46*0.5*lambda_thin/PI()*(1+EXP(PI()*(L-P16)/lambda_thin)*(SIN(PI()*(L-P16)/lambda_thin)-COS(PI()*(L-P16)/lambda_thin))))</f>
        <v>-4.7323362859328977E-5</v>
      </c>
      <c r="T16" s="38">
        <f t="shared" si="12"/>
        <v>4.7323362859328977E-5</v>
      </c>
      <c r="U16" s="38">
        <f t="shared" si="1"/>
        <v>-4.8865440708352995E-6</v>
      </c>
      <c r="V16" s="38">
        <f t="shared" si="2"/>
        <v>-1</v>
      </c>
      <c r="W16" s="38">
        <f t="shared" si="3"/>
        <v>-7.5637286109800653E-2</v>
      </c>
      <c r="X16" s="38">
        <f t="shared" si="4"/>
        <v>-2.8383282314480153E-2</v>
      </c>
      <c r="Y16" s="38">
        <f t="shared" si="5"/>
        <v>-8.5149846943440455E-3</v>
      </c>
      <c r="Z16" s="38">
        <f t="shared" si="6"/>
        <v>-1.1702996938868808</v>
      </c>
      <c r="AA16" s="38">
        <f t="shared" si="7"/>
        <v>-1</v>
      </c>
      <c r="AB16" s="38">
        <f t="shared" si="8"/>
        <v>-0.82970030611311907</v>
      </c>
      <c r="AC16" s="38">
        <f t="shared" si="9"/>
        <v>-0.12672719427586493</v>
      </c>
      <c r="AD16" s="38">
        <f t="shared" si="10"/>
        <v>-7.5637286109800653E-2</v>
      </c>
      <c r="AE16" s="38">
        <f t="shared" si="11"/>
        <v>-2.4547377943736376E-2</v>
      </c>
    </row>
    <row r="17" spans="7:31" x14ac:dyDescent="0.3">
      <c r="G17" s="2"/>
      <c r="H17" s="2"/>
      <c r="I17" s="3" t="s">
        <v>137</v>
      </c>
      <c r="J17" s="3">
        <f>-2*(PI()/lambda_thin)^2*EXP(PI()*L/lambda_thin)*SIN(PI()*L/lambda_thin)</f>
        <v>-58.583770750128991</v>
      </c>
      <c r="K17" s="2"/>
      <c r="L17" s="2"/>
      <c r="M17" s="2"/>
      <c r="N17" s="2"/>
      <c r="O17" s="34">
        <v>16</v>
      </c>
      <c r="P17" s="38">
        <f t="shared" si="0"/>
        <v>1.6770509831248348</v>
      </c>
      <c r="Q17" s="38">
        <f>'Thin theory'!I$43*EXP(-PI()*(L-P17)/lambda_thin)*COS(PI()*(L-P17)/lambda_thin)+'Thin theory'!I$44*EXP(-PI()*(L-P17)/lambda_thin)*SIN(PI()*(L-P17)/lambda_thin)+'Thin theory'!I$45*EXP(PI()*(L-P17)/lambda_thin)*COS(PI()*(L-P17)/lambda_thin)+'Thin theory'!I$46*EXP(PI()*(L-P17)/lambda_thin)*SIN(PI()*(L-P17)/lambda_thin)+wm</f>
        <v>5.8769115601276691E-6</v>
      </c>
      <c r="R17" s="38">
        <f>'Thin theory'!I$43*2*(PI()/lambda_thin)^2*EXP(-PI()*(L-P17)/lambda_thin)*SIN(PI()*(L-P17)/lambda_thin)-'Thin theory'!I$44*2*(PI()/lambda_thin)^2*EXP(-PI()*(L-P17)/lambda_thin)*COS(PI()*(L-P17)/lambda_thin)-'Thin theory'!I$45*2*(PI()/lambda_thin)^2*EXP(PI()*(L-P17)/lambda_thin)*SIN(PI()*(L-P17)/lambda_thin)+'Thin theory'!I$46*2*(PI()/lambda_thin)^2*EXP(PI()*(L-P17)/lambda_thin)*COS(PI()*(L-P17)/lambda_thin)</f>
        <v>-1.521850953350266E-6</v>
      </c>
      <c r="S17" s="38">
        <f>(L-P17)*Nz/Cs-nu/rad*(wm*(L-P17)+'Thin theory'!I$43*0.5*lambda_thin/PI()*(1-EXP(-PI()*(L-P17)/lambda_thin)*(COS(PI()*(L-P17)/lambda_thin)-SIN(PI()*(L-P17)/lambda_thin)))+'Thin theory'!I$44*0.5*lambda_thin/PI()*(1-EXP(-PI()*(L-P17)/lambda_thin)*(COS(PI()*(L-P17)/lambda_thin)+SIN(PI()*(L-P17)/lambda_thin)))+'Thin theory'!I$45*0.5*lambda_thin/PI()*(-1+EXP(PI()*(L-P17)/lambda_thin)*(COS(PI()*(L-P17)/lambda_thin)+SIN(PI()*(L-P17)/lambda_thin)))+'Thin theory'!I$46*0.5*lambda_thin/PI()*(1+EXP(PI()*(L-P17)/lambda_thin)*(SIN(PI()*(L-P17)/lambda_thin)-COS(PI()*(L-P17)/lambda_thin))))</f>
        <v>-4.6776121509984617E-5</v>
      </c>
      <c r="T17" s="38">
        <f t="shared" si="12"/>
        <v>4.6776121509984617E-5</v>
      </c>
      <c r="U17" s="38">
        <f t="shared" si="1"/>
        <v>-4.9026146936076607E-6</v>
      </c>
      <c r="V17" s="38">
        <f t="shared" si="2"/>
        <v>-1</v>
      </c>
      <c r="W17" s="38">
        <f t="shared" si="3"/>
        <v>-6.4923537594893249E-2</v>
      </c>
      <c r="X17" s="38">
        <f t="shared" si="4"/>
        <v>-2.7872728083338204E-2</v>
      </c>
      <c r="Y17" s="38">
        <f t="shared" si="5"/>
        <v>-8.3618184250014611E-3</v>
      </c>
      <c r="Z17" s="38">
        <f t="shared" si="6"/>
        <v>-1.1672363685000291</v>
      </c>
      <c r="AA17" s="38">
        <f t="shared" si="7"/>
        <v>-1</v>
      </c>
      <c r="AB17" s="38">
        <f t="shared" si="8"/>
        <v>-0.83276363149997079</v>
      </c>
      <c r="AC17" s="38">
        <f t="shared" si="9"/>
        <v>-0.11509444814490202</v>
      </c>
      <c r="AD17" s="38">
        <f t="shared" si="10"/>
        <v>-6.4923537594893249E-2</v>
      </c>
      <c r="AE17" s="38">
        <f t="shared" si="11"/>
        <v>-1.4752627044884482E-2</v>
      </c>
    </row>
    <row r="18" spans="7:31" x14ac:dyDescent="0.3">
      <c r="G18" s="2"/>
      <c r="H18" s="2"/>
      <c r="I18" s="3" t="s">
        <v>138</v>
      </c>
      <c r="J18" s="3">
        <f>2*(PI()/lambda_thin)^2*EXP(PI()*L/lambda_thin)*COS(PI()*L/lambda_thin)</f>
        <v>404.44381997685036</v>
      </c>
      <c r="K18" s="2"/>
      <c r="L18" s="2"/>
      <c r="M18" s="2"/>
      <c r="N18" s="2"/>
      <c r="O18" s="34">
        <v>17</v>
      </c>
      <c r="P18" s="38">
        <f t="shared" si="0"/>
        <v>1.7888543819998239</v>
      </c>
      <c r="Q18" s="38">
        <f>'Thin theory'!I$43*EXP(-PI()*(L-P18)/lambda_thin)*COS(PI()*(L-P18)/lambda_thin)+'Thin theory'!I$44*EXP(-PI()*(L-P18)/lambda_thin)*SIN(PI()*(L-P18)/lambda_thin)+'Thin theory'!I$45*EXP(PI()*(L-P18)/lambda_thin)*COS(PI()*(L-P18)/lambda_thin)+'Thin theory'!I$46*EXP(PI()*(L-P18)/lambda_thin)*SIN(PI()*(L-P18)/lambda_thin)+wm</f>
        <v>6.125741371005077E-6</v>
      </c>
      <c r="R18" s="38">
        <f>'Thin theory'!I$43*2*(PI()/lambda_thin)^2*EXP(-PI()*(L-P18)/lambda_thin)*SIN(PI()*(L-P18)/lambda_thin)-'Thin theory'!I$44*2*(PI()/lambda_thin)^2*EXP(-PI()*(L-P18)/lambda_thin)*COS(PI()*(L-P18)/lambda_thin)-'Thin theory'!I$45*2*(PI()/lambda_thin)^2*EXP(PI()*(L-P18)/lambda_thin)*SIN(PI()*(L-P18)/lambda_thin)+'Thin theory'!I$46*2*(PI()/lambda_thin)^2*EXP(PI()*(L-P18)/lambda_thin)*COS(PI()*(L-P18)/lambda_thin)</f>
        <v>-1.4851039756013666E-6</v>
      </c>
      <c r="S18" s="38">
        <f>(L-P18)*Nz/Cs-nu/rad*(wm*(L-P18)+'Thin theory'!I$43*0.5*lambda_thin/PI()*(1-EXP(-PI()*(L-P18)/lambda_thin)*(COS(PI()*(L-P18)/lambda_thin)-SIN(PI()*(L-P18)/lambda_thin)))+'Thin theory'!I$44*0.5*lambda_thin/PI()*(1-EXP(-PI()*(L-P18)/lambda_thin)*(COS(PI()*(L-P18)/lambda_thin)+SIN(PI()*(L-P18)/lambda_thin)))+'Thin theory'!I$45*0.5*lambda_thin/PI()*(-1+EXP(PI()*(L-P18)/lambda_thin)*(COS(PI()*(L-P18)/lambda_thin)+SIN(PI()*(L-P18)/lambda_thin)))+'Thin theory'!I$46*0.5*lambda_thin/PI()*(1+EXP(PI()*(L-P18)/lambda_thin)*(SIN(PI()*(L-P18)/lambda_thin)-COS(PI()*(L-P18)/lambda_thin))))</f>
        <v>-4.6227147411728098E-5</v>
      </c>
      <c r="T18" s="38">
        <f t="shared" si="12"/>
        <v>4.6227147411728098E-5</v>
      </c>
      <c r="U18" s="38">
        <f t="shared" si="1"/>
        <v>-4.9175444822603052E-6</v>
      </c>
      <c r="V18" s="38">
        <f t="shared" si="2"/>
        <v>-1</v>
      </c>
      <c r="W18" s="38">
        <f t="shared" si="3"/>
        <v>-5.4970345159796929E-2</v>
      </c>
      <c r="X18" s="38">
        <f t="shared" si="4"/>
        <v>-2.7199706512845541E-2</v>
      </c>
      <c r="Y18" s="38">
        <f t="shared" si="5"/>
        <v>-8.1599119538536616E-3</v>
      </c>
      <c r="Z18" s="38">
        <f t="shared" si="6"/>
        <v>-1.1631982390770732</v>
      </c>
      <c r="AA18" s="38">
        <f t="shared" si="7"/>
        <v>-1</v>
      </c>
      <c r="AB18" s="38">
        <f t="shared" si="8"/>
        <v>-0.8368017609229268</v>
      </c>
      <c r="AC18" s="38">
        <f t="shared" si="9"/>
        <v>-0.1039298168829189</v>
      </c>
      <c r="AD18" s="38">
        <f t="shared" si="10"/>
        <v>-5.4970345159796929E-2</v>
      </c>
      <c r="AE18" s="38">
        <f t="shared" si="11"/>
        <v>-6.01087343667496E-3</v>
      </c>
    </row>
    <row r="19" spans="7:31" x14ac:dyDescent="0.3">
      <c r="G19" s="2"/>
      <c r="H19" s="2"/>
      <c r="I19" s="80" t="s">
        <v>75</v>
      </c>
      <c r="J19" s="81"/>
      <c r="K19" s="2"/>
      <c r="L19" s="2"/>
      <c r="M19" s="2"/>
      <c r="N19" s="2"/>
      <c r="O19" s="34">
        <v>18</v>
      </c>
      <c r="P19" s="38">
        <f t="shared" si="0"/>
        <v>1.9006577808748131</v>
      </c>
      <c r="Q19" s="38">
        <f>'Thin theory'!I$43*EXP(-PI()*(L-P19)/lambda_thin)*COS(PI()*(L-P19)/lambda_thin)+'Thin theory'!I$44*EXP(-PI()*(L-P19)/lambda_thin)*SIN(PI()*(L-P19)/lambda_thin)+'Thin theory'!I$45*EXP(PI()*(L-P19)/lambda_thin)*COS(PI()*(L-P19)/lambda_thin)+'Thin theory'!I$46*EXP(PI()*(L-P19)/lambda_thin)*SIN(PI()*(L-P19)/lambda_thin)+wm</f>
        <v>6.356015201802486E-6</v>
      </c>
      <c r="R19" s="38">
        <f>'Thin theory'!I$43*2*(PI()/lambda_thin)^2*EXP(-PI()*(L-P19)/lambda_thin)*SIN(PI()*(L-P19)/lambda_thin)-'Thin theory'!I$44*2*(PI()/lambda_thin)^2*EXP(-PI()*(L-P19)/lambda_thin)*COS(PI()*(L-P19)/lambda_thin)-'Thin theory'!I$45*2*(PI()/lambda_thin)^2*EXP(PI()*(L-P19)/lambda_thin)*SIN(PI()*(L-P19)/lambda_thin)+'Thin theory'!I$46*2*(PI()/lambda_thin)^2*EXP(PI()*(L-P19)/lambda_thin)*COS(PI()*(L-P19)/lambda_thin)</f>
        <v>-1.4408451006321671E-6</v>
      </c>
      <c r="S19" s="38">
        <f>(L-P19)*Nz/Cs-nu/rad*(wm*(L-P19)+'Thin theory'!I$43*0.5*lambda_thin/PI()*(1-EXP(-PI()*(L-P19)/lambda_thin)*(COS(PI()*(L-P19)/lambda_thin)-SIN(PI()*(L-P19)/lambda_thin)))+'Thin theory'!I$44*0.5*lambda_thin/PI()*(1-EXP(-PI()*(L-P19)/lambda_thin)*(COS(PI()*(L-P19)/lambda_thin)+SIN(PI()*(L-P19)/lambda_thin)))+'Thin theory'!I$45*0.5*lambda_thin/PI()*(-1+EXP(PI()*(L-P19)/lambda_thin)*(COS(PI()*(L-P19)/lambda_thin)+SIN(PI()*(L-P19)/lambda_thin)))+'Thin theory'!I$46*0.5*lambda_thin/PI()*(1+EXP(PI()*(L-P19)/lambda_thin)*(SIN(PI()*(L-P19)/lambda_thin)-COS(PI()*(L-P19)/lambda_thin))))</f>
        <v>-4.5676566634941579E-5</v>
      </c>
      <c r="T19" s="38">
        <f t="shared" si="12"/>
        <v>4.5676566634941579E-5</v>
      </c>
      <c r="U19" s="38">
        <f t="shared" si="1"/>
        <v>-4.9313609121081496E-6</v>
      </c>
      <c r="V19" s="38">
        <f t="shared" si="2"/>
        <v>-1</v>
      </c>
      <c r="W19" s="38">
        <f t="shared" si="3"/>
        <v>-4.5759391927900558E-2</v>
      </c>
      <c r="X19" s="38">
        <f t="shared" si="4"/>
        <v>-2.6389104407182548E-2</v>
      </c>
      <c r="Y19" s="38">
        <f t="shared" si="5"/>
        <v>-7.9167313221547644E-3</v>
      </c>
      <c r="Z19" s="38">
        <f t="shared" si="6"/>
        <v>-1.1583346264430954</v>
      </c>
      <c r="AA19" s="38">
        <f t="shared" si="7"/>
        <v>-1</v>
      </c>
      <c r="AB19" s="38">
        <f t="shared" si="8"/>
        <v>-0.84166537355690474</v>
      </c>
      <c r="AC19" s="38">
        <f t="shared" si="9"/>
        <v>-9.3259779860829145E-2</v>
      </c>
      <c r="AD19" s="38">
        <f t="shared" si="10"/>
        <v>-4.5759391927900558E-2</v>
      </c>
      <c r="AE19" s="38">
        <f t="shared" si="11"/>
        <v>1.7409960050280282E-3</v>
      </c>
    </row>
    <row r="20" spans="7:31" x14ac:dyDescent="0.3">
      <c r="G20" s="2"/>
      <c r="H20" s="2"/>
      <c r="I20" s="3" t="s">
        <v>80</v>
      </c>
      <c r="J20" s="3">
        <f>EXP(-PI()*0/lambda_thin)*COS(PI()*0/lambda_thin)</f>
        <v>1</v>
      </c>
      <c r="K20" s="2"/>
      <c r="L20" s="2"/>
      <c r="M20" s="2"/>
      <c r="N20" s="2"/>
      <c r="O20" s="34">
        <v>19</v>
      </c>
      <c r="P20" s="38">
        <f t="shared" si="0"/>
        <v>2.0124611797498018</v>
      </c>
      <c r="Q20" s="38">
        <f>'Thin theory'!I$43*EXP(-PI()*(L-P20)/lambda_thin)*COS(PI()*(L-P20)/lambda_thin)+'Thin theory'!I$44*EXP(-PI()*(L-P20)/lambda_thin)*SIN(PI()*(L-P20)/lambda_thin)+'Thin theory'!I$45*EXP(PI()*(L-P20)/lambda_thin)*COS(PI()*(L-P20)/lambda_thin)+'Thin theory'!I$46*EXP(PI()*(L-P20)/lambda_thin)*SIN(PI()*(L-P20)/lambda_thin)+wm</f>
        <v>6.5682849786697775E-6</v>
      </c>
      <c r="R20" s="38">
        <f>'Thin theory'!I$43*2*(PI()/lambda_thin)^2*EXP(-PI()*(L-P20)/lambda_thin)*SIN(PI()*(L-P20)/lambda_thin)-'Thin theory'!I$44*2*(PI()/lambda_thin)^2*EXP(-PI()*(L-P20)/lambda_thin)*COS(PI()*(L-P20)/lambda_thin)-'Thin theory'!I$45*2*(PI()/lambda_thin)^2*EXP(PI()*(L-P20)/lambda_thin)*SIN(PI()*(L-P20)/lambda_thin)+'Thin theory'!I$46*2*(PI()/lambda_thin)^2*EXP(PI()*(L-P20)/lambda_thin)*COS(PI()*(L-P20)/lambda_thin)</f>
        <v>-1.3903318750427982E-6</v>
      </c>
      <c r="S20" s="38">
        <f>(L-P20)*Nz/Cs-nu/rad*(wm*(L-P20)+'Thin theory'!I$43*0.5*lambda_thin/PI()*(1-EXP(-PI()*(L-P20)/lambda_thin)*(COS(PI()*(L-P20)/lambda_thin)-SIN(PI()*(L-P20)/lambda_thin)))+'Thin theory'!I$44*0.5*lambda_thin/PI()*(1-EXP(-PI()*(L-P20)/lambda_thin)*(COS(PI()*(L-P20)/lambda_thin)+SIN(PI()*(L-P20)/lambda_thin)))+'Thin theory'!I$45*0.5*lambda_thin/PI()*(-1+EXP(PI()*(L-P20)/lambda_thin)*(COS(PI()*(L-P20)/lambda_thin)+SIN(PI()*(L-P20)/lambda_thin)))+'Thin theory'!I$46*0.5*lambda_thin/PI()*(1+EXP(PI()*(L-P20)/lambda_thin)*(SIN(PI()*(L-P20)/lambda_thin)-COS(PI()*(L-P20)/lambda_thin))))</f>
        <v>-4.5124501853734517E-5</v>
      </c>
      <c r="T20" s="38">
        <f t="shared" si="12"/>
        <v>4.5124501853734517E-5</v>
      </c>
      <c r="U20" s="38">
        <f t="shared" si="1"/>
        <v>-4.9440970987201873E-6</v>
      </c>
      <c r="V20" s="38">
        <f t="shared" si="2"/>
        <v>-1</v>
      </c>
      <c r="W20" s="38">
        <f t="shared" si="3"/>
        <v>-3.7268600853208919E-2</v>
      </c>
      <c r="X20" s="38">
        <f t="shared" si="4"/>
        <v>-2.5463953755362603E-2</v>
      </c>
      <c r="Y20" s="38">
        <f t="shared" si="5"/>
        <v>-7.6391861266087808E-3</v>
      </c>
      <c r="Z20" s="38">
        <f t="shared" si="6"/>
        <v>-1.1527837225321755</v>
      </c>
      <c r="AA20" s="38">
        <f t="shared" si="7"/>
        <v>-1</v>
      </c>
      <c r="AB20" s="38">
        <f t="shared" si="8"/>
        <v>-0.84721627746782435</v>
      </c>
      <c r="AC20" s="38">
        <f t="shared" si="9"/>
        <v>-8.3103717612861602E-2</v>
      </c>
      <c r="AD20" s="38">
        <f t="shared" si="10"/>
        <v>-3.7268600853208919E-2</v>
      </c>
      <c r="AE20" s="38">
        <f t="shared" si="11"/>
        <v>8.566515906443764E-3</v>
      </c>
    </row>
    <row r="21" spans="7:31" x14ac:dyDescent="0.3">
      <c r="G21" s="2"/>
      <c r="H21" s="2"/>
      <c r="I21" s="3" t="s">
        <v>81</v>
      </c>
      <c r="J21" s="3">
        <f>EXP(-PI()*0/lambda_thin)*SIN(PI()*0/lambda_thin)</f>
        <v>0</v>
      </c>
      <c r="K21" s="2"/>
      <c r="L21" s="2"/>
      <c r="M21" s="2"/>
      <c r="N21" s="2"/>
      <c r="O21" s="34">
        <v>20</v>
      </c>
      <c r="P21" s="38">
        <f t="shared" si="0"/>
        <v>2.1242645786247909</v>
      </c>
      <c r="Q21" s="38">
        <f>'Thin theory'!I$43*EXP(-PI()*(L-P21)/lambda_thin)*COS(PI()*(L-P21)/lambda_thin)+'Thin theory'!I$44*EXP(-PI()*(L-P21)/lambda_thin)*SIN(PI()*(L-P21)/lambda_thin)+'Thin theory'!I$45*EXP(PI()*(L-P21)/lambda_thin)*COS(PI()*(L-P21)/lambda_thin)+'Thin theory'!I$46*EXP(PI()*(L-P21)/lambda_thin)*SIN(PI()*(L-P21)/lambda_thin)+wm</f>
        <v>6.763180909522793E-6</v>
      </c>
      <c r="R21" s="38">
        <f>'Thin theory'!I$43*2*(PI()/lambda_thin)^2*EXP(-PI()*(L-P21)/lambda_thin)*SIN(PI()*(L-P21)/lambda_thin)-'Thin theory'!I$44*2*(PI()/lambda_thin)^2*EXP(-PI()*(L-P21)/lambda_thin)*COS(PI()*(L-P21)/lambda_thin)-'Thin theory'!I$45*2*(PI()/lambda_thin)^2*EXP(PI()*(L-P21)/lambda_thin)*SIN(PI()*(L-P21)/lambda_thin)+'Thin theory'!I$46*2*(PI()/lambda_thin)^2*EXP(PI()*(L-P21)/lambda_thin)*COS(PI()*(L-P21)/lambda_thin)</f>
        <v>-1.3347235788891909E-6</v>
      </c>
      <c r="S21" s="38">
        <f>(L-P21)*Nz/Cs-nu/rad*(wm*(L-P21)+'Thin theory'!I$43*0.5*lambda_thin/PI()*(1-EXP(-PI()*(L-P21)/lambda_thin)*(COS(PI()*(L-P21)/lambda_thin)-SIN(PI()*(L-P21)/lambda_thin)))+'Thin theory'!I$44*0.5*lambda_thin/PI()*(1-EXP(-PI()*(L-P21)/lambda_thin)*(COS(PI()*(L-P21)/lambda_thin)+SIN(PI()*(L-P21)/lambda_thin)))+'Thin theory'!I$45*0.5*lambda_thin/PI()*(-1+EXP(PI()*(L-P21)/lambda_thin)*(COS(PI()*(L-P21)/lambda_thin)+SIN(PI()*(L-P21)/lambda_thin)))+'Thin theory'!I$46*0.5*lambda_thin/PI()*(1+EXP(PI()*(L-P21)/lambda_thin)*(SIN(PI()*(L-P21)/lambda_thin)-COS(PI()*(L-P21)/lambda_thin))))</f>
        <v>-4.4571071768776418E-5</v>
      </c>
      <c r="T21" s="38">
        <f t="shared" si="12"/>
        <v>4.4571071768776418E-5</v>
      </c>
      <c r="U21" s="38">
        <f t="shared" si="1"/>
        <v>-4.9557908545713679E-6</v>
      </c>
      <c r="V21" s="38">
        <f t="shared" si="2"/>
        <v>-1</v>
      </c>
      <c r="W21" s="38">
        <f t="shared" si="3"/>
        <v>-2.9472763619088294E-2</v>
      </c>
      <c r="X21" s="38">
        <f t="shared" si="4"/>
        <v>-2.4445486792842325E-2</v>
      </c>
      <c r="Y21" s="38">
        <f t="shared" si="5"/>
        <v>-7.3336460378526976E-3</v>
      </c>
      <c r="Z21" s="38">
        <f t="shared" si="6"/>
        <v>-1.1466729207570538</v>
      </c>
      <c r="AA21" s="38">
        <f t="shared" si="7"/>
        <v>-1</v>
      </c>
      <c r="AB21" s="38">
        <f t="shared" si="8"/>
        <v>-0.85332707924294604</v>
      </c>
      <c r="AC21" s="38">
        <f t="shared" si="9"/>
        <v>-7.3474639846204476E-2</v>
      </c>
      <c r="AD21" s="38">
        <f t="shared" si="10"/>
        <v>-2.9472763619088294E-2</v>
      </c>
      <c r="AE21" s="38">
        <f t="shared" si="11"/>
        <v>1.4529112608027889E-2</v>
      </c>
    </row>
    <row r="22" spans="7:31" x14ac:dyDescent="0.3">
      <c r="G22" s="2"/>
      <c r="H22" s="2"/>
      <c r="I22" s="3" t="s">
        <v>82</v>
      </c>
      <c r="J22" s="3">
        <f>EXP(PI()*0/lambda_thin)*COS(PI()*0/lambda_thin)</f>
        <v>1</v>
      </c>
      <c r="K22" s="2"/>
      <c r="L22" s="2"/>
      <c r="M22" s="2"/>
      <c r="N22" s="2"/>
      <c r="O22" s="34">
        <v>21</v>
      </c>
      <c r="P22" s="38">
        <f t="shared" si="0"/>
        <v>2.23606797749978</v>
      </c>
      <c r="Q22" s="38">
        <f>'Thin theory'!I$43*EXP(-PI()*(L-P22)/lambda_thin)*COS(PI()*(L-P22)/lambda_thin)+'Thin theory'!I$44*EXP(-PI()*(L-P22)/lambda_thin)*SIN(PI()*(L-P22)/lambda_thin)+'Thin theory'!I$45*EXP(PI()*(L-P22)/lambda_thin)*COS(PI()*(L-P22)/lambda_thin)+'Thin theory'!I$46*EXP(PI()*(L-P22)/lambda_thin)*SIN(PI()*(L-P22)/lambda_thin)+wm</f>
        <v>6.9413969894611181E-6</v>
      </c>
      <c r="R22" s="38">
        <f>'Thin theory'!I$43*2*(PI()/lambda_thin)^2*EXP(-PI()*(L-P22)/lambda_thin)*SIN(PI()*(L-P22)/lambda_thin)-'Thin theory'!I$44*2*(PI()/lambda_thin)^2*EXP(-PI()*(L-P22)/lambda_thin)*COS(PI()*(L-P22)/lambda_thin)-'Thin theory'!I$45*2*(PI()/lambda_thin)^2*EXP(PI()*(L-P22)/lambda_thin)*SIN(PI()*(L-P22)/lambda_thin)+'Thin theory'!I$46*2*(PI()/lambda_thin)^2*EXP(PI()*(L-P22)/lambda_thin)*COS(PI()*(L-P22)/lambda_thin)</f>
        <v>-1.2750846600242316E-6</v>
      </c>
      <c r="S22" s="38">
        <f>(L-P22)*Nz/Cs-nu/rad*(wm*(L-P22)+'Thin theory'!I$43*0.5*lambda_thin/PI()*(1-EXP(-PI()*(L-P22)/lambda_thin)*(COS(PI()*(L-P22)/lambda_thin)-SIN(PI()*(L-P22)/lambda_thin)))+'Thin theory'!I$44*0.5*lambda_thin/PI()*(1-EXP(-PI()*(L-P22)/lambda_thin)*(COS(PI()*(L-P22)/lambda_thin)+SIN(PI()*(L-P22)/lambda_thin)))+'Thin theory'!I$45*0.5*lambda_thin/PI()*(-1+EXP(PI()*(L-P22)/lambda_thin)*(COS(PI()*(L-P22)/lambda_thin)+SIN(PI()*(L-P22)/lambda_thin)))+'Thin theory'!I$46*0.5*lambda_thin/PI()*(1+EXP(PI()*(L-P22)/lambda_thin)*(SIN(PI()*(L-P22)/lambda_thin)-COS(PI()*(L-P22)/lambda_thin))))</f>
        <v>-4.4016390631457973E-5</v>
      </c>
      <c r="T22" s="38">
        <f t="shared" si="12"/>
        <v>4.4016390631457973E-5</v>
      </c>
      <c r="U22" s="38">
        <f t="shared" si="1"/>
        <v>-4.9664838193676679E-6</v>
      </c>
      <c r="V22" s="38">
        <f t="shared" si="2"/>
        <v>-1</v>
      </c>
      <c r="W22" s="38">
        <f t="shared" si="3"/>
        <v>-2.2344120421555327E-2</v>
      </c>
      <c r="X22" s="38">
        <f t="shared" si="4"/>
        <v>-2.3353198901542704E-2</v>
      </c>
      <c r="Y22" s="38">
        <f t="shared" si="5"/>
        <v>-7.0059596704628111E-3</v>
      </c>
      <c r="Z22" s="38">
        <f t="shared" si="6"/>
        <v>-1.1401191934092563</v>
      </c>
      <c r="AA22" s="38">
        <f t="shared" si="7"/>
        <v>-1</v>
      </c>
      <c r="AB22" s="38">
        <f t="shared" si="8"/>
        <v>-0.85988080659074373</v>
      </c>
      <c r="AC22" s="38">
        <f t="shared" si="9"/>
        <v>-6.4379878444332198E-2</v>
      </c>
      <c r="AD22" s="38">
        <f t="shared" si="10"/>
        <v>-2.2344120421555327E-2</v>
      </c>
      <c r="AE22" s="38">
        <f t="shared" si="11"/>
        <v>1.9691637601221543E-2</v>
      </c>
    </row>
    <row r="23" spans="7:31" x14ac:dyDescent="0.3">
      <c r="G23" s="2"/>
      <c r="H23" s="2"/>
      <c r="I23" s="3" t="s">
        <v>83</v>
      </c>
      <c r="J23" s="3">
        <f>EXP(PI()*0/lambda_thin)*SIN(PI()*0/lambda_thin)</f>
        <v>0</v>
      </c>
      <c r="K23" s="2"/>
      <c r="L23" s="2"/>
      <c r="M23" s="2"/>
      <c r="N23" s="2"/>
      <c r="O23" s="34">
        <v>22</v>
      </c>
      <c r="P23" s="38">
        <f t="shared" si="0"/>
        <v>2.3478713763747687</v>
      </c>
      <c r="Q23" s="38">
        <f>'Thin theory'!I$43*EXP(-PI()*(L-P23)/lambda_thin)*COS(PI()*(L-P23)/lambda_thin)+'Thin theory'!I$44*EXP(-PI()*(L-P23)/lambda_thin)*SIN(PI()*(L-P23)/lambda_thin)+'Thin theory'!I$45*EXP(PI()*(L-P23)/lambda_thin)*COS(PI()*(L-P23)/lambda_thin)+'Thin theory'!I$46*EXP(PI()*(L-P23)/lambda_thin)*SIN(PI()*(L-P23)/lambda_thin)+wm</f>
        <v>7.1036776912253217E-6</v>
      </c>
      <c r="R23" s="38">
        <f>'Thin theory'!I$43*2*(PI()/lambda_thin)^2*EXP(-PI()*(L-P23)/lambda_thin)*SIN(PI()*(L-P23)/lambda_thin)-'Thin theory'!I$44*2*(PI()/lambda_thin)^2*EXP(-PI()*(L-P23)/lambda_thin)*COS(PI()*(L-P23)/lambda_thin)-'Thin theory'!I$45*2*(PI()/lambda_thin)^2*EXP(PI()*(L-P23)/lambda_thin)*SIN(PI()*(L-P23)/lambda_thin)+'Thin theory'!I$46*2*(PI()/lambda_thin)^2*EXP(PI()*(L-P23)/lambda_thin)*COS(PI()*(L-P23)/lambda_thin)</f>
        <v>-1.2123885172562442E-6</v>
      </c>
      <c r="S23" s="38">
        <f>(L-P23)*Nz/Cs-nu/rad*(wm*(L-P23)+'Thin theory'!I$43*0.5*lambda_thin/PI()*(1-EXP(-PI()*(L-P23)/lambda_thin)*(COS(PI()*(L-P23)/lambda_thin)-SIN(PI()*(L-P23)/lambda_thin)))+'Thin theory'!I$44*0.5*lambda_thin/PI()*(1-EXP(-PI()*(L-P23)/lambda_thin)*(COS(PI()*(L-P23)/lambda_thin)+SIN(PI()*(L-P23)/lambda_thin)))+'Thin theory'!I$45*0.5*lambda_thin/PI()*(-1+EXP(PI()*(L-P23)/lambda_thin)*(COS(PI()*(L-P23)/lambda_thin)+SIN(PI()*(L-P23)/lambda_thin)))+'Thin theory'!I$46*0.5*lambda_thin/PI()*(1+EXP(PI()*(L-P23)/lambda_thin)*(SIN(PI()*(L-P23)/lambda_thin)-COS(PI()*(L-P23)/lambda_thin))))</f>
        <v>-4.3460567861284885E-5</v>
      </c>
      <c r="T23" s="38">
        <f t="shared" si="12"/>
        <v>4.3460567861284885E-5</v>
      </c>
      <c r="U23" s="38">
        <f t="shared" si="1"/>
        <v>-4.9762206614735196E-6</v>
      </c>
      <c r="V23" s="38">
        <f t="shared" si="2"/>
        <v>-1</v>
      </c>
      <c r="W23" s="38">
        <f t="shared" si="3"/>
        <v>-1.5852892350987132E-2</v>
      </c>
      <c r="X23" s="38">
        <f t="shared" si="4"/>
        <v>-2.2204917898466011E-2</v>
      </c>
      <c r="Y23" s="38">
        <f t="shared" si="5"/>
        <v>-6.6614753695398033E-3</v>
      </c>
      <c r="Z23" s="38">
        <f t="shared" si="6"/>
        <v>-1.1332295073907961</v>
      </c>
      <c r="AA23" s="38">
        <f t="shared" si="7"/>
        <v>-1</v>
      </c>
      <c r="AB23" s="38">
        <f t="shared" si="8"/>
        <v>-0.86677049260920391</v>
      </c>
      <c r="AC23" s="38">
        <f t="shared" si="9"/>
        <v>-5.5821744568225959E-2</v>
      </c>
      <c r="AD23" s="38">
        <f t="shared" si="10"/>
        <v>-1.5852892350987132E-2</v>
      </c>
      <c r="AE23" s="38">
        <f t="shared" si="11"/>
        <v>2.4115959866251691E-2</v>
      </c>
    </row>
    <row r="24" spans="7:31" x14ac:dyDescent="0.3">
      <c r="G24" s="2"/>
      <c r="H24" s="2"/>
      <c r="I24" s="3" t="s">
        <v>84</v>
      </c>
      <c r="J24" s="3">
        <f>-(PI()/lambda_thin)*EXP(-PI()*0/lambda_thin)*(COS(PI()*0/lambda_thin)+SIN(PI()*0/lambda_thin))</f>
        <v>-0.57485148763586413</v>
      </c>
      <c r="K24" s="2"/>
      <c r="L24" s="2"/>
      <c r="M24" s="2"/>
      <c r="N24" s="2"/>
      <c r="O24" s="34">
        <v>23</v>
      </c>
      <c r="P24" s="38">
        <f t="shared" si="0"/>
        <v>2.4596747752497579</v>
      </c>
      <c r="Q24" s="38">
        <f>'Thin theory'!I$43*EXP(-PI()*(L-P24)/lambda_thin)*COS(PI()*(L-P24)/lambda_thin)+'Thin theory'!I$44*EXP(-PI()*(L-P24)/lambda_thin)*SIN(PI()*(L-P24)/lambda_thin)+'Thin theory'!I$45*EXP(PI()*(L-P24)/lambda_thin)*COS(PI()*(L-P24)/lambda_thin)+'Thin theory'!I$46*EXP(PI()*(L-P24)/lambda_thin)*SIN(PI()*(L-P24)/lambda_thin)+wm</f>
        <v>7.2508057934799689E-6</v>
      </c>
      <c r="R24" s="38">
        <f>'Thin theory'!I$43*2*(PI()/lambda_thin)^2*EXP(-PI()*(L-P24)/lambda_thin)*SIN(PI()*(L-P24)/lambda_thin)-'Thin theory'!I$44*2*(PI()/lambda_thin)^2*EXP(-PI()*(L-P24)/lambda_thin)*COS(PI()*(L-P24)/lambda_thin)-'Thin theory'!I$45*2*(PI()/lambda_thin)^2*EXP(PI()*(L-P24)/lambda_thin)*SIN(PI()*(L-P24)/lambda_thin)+'Thin theory'!I$46*2*(PI()/lambda_thin)^2*EXP(PI()*(L-P24)/lambda_thin)*COS(PI()*(L-P24)/lambda_thin)</f>
        <v>-1.1475215596331781E-6</v>
      </c>
      <c r="S24" s="38">
        <f>(L-P24)*Nz/Cs-nu/rad*(wm*(L-P24)+'Thin theory'!I$43*0.5*lambda_thin/PI()*(1-EXP(-PI()*(L-P24)/lambda_thin)*(COS(PI()*(L-P24)/lambda_thin)-SIN(PI()*(L-P24)/lambda_thin)))+'Thin theory'!I$44*0.5*lambda_thin/PI()*(1-EXP(-PI()*(L-P24)/lambda_thin)*(COS(PI()*(L-P24)/lambda_thin)+SIN(PI()*(L-P24)/lambda_thin)))+'Thin theory'!I$45*0.5*lambda_thin/PI()*(-1+EXP(PI()*(L-P24)/lambda_thin)*(COS(PI()*(L-P24)/lambda_thin)+SIN(PI()*(L-P24)/lambda_thin)))+'Thin theory'!I$46*0.5*lambda_thin/PI()*(1+EXP(PI()*(L-P24)/lambda_thin)*(SIN(PI()*(L-P24)/lambda_thin)-COS(PI()*(L-P24)/lambda_thin))))</f>
        <v>-4.2903707748710928E-5</v>
      </c>
      <c r="T24" s="38">
        <f t="shared" si="12"/>
        <v>4.2903707748710928E-5</v>
      </c>
      <c r="U24" s="38">
        <f t="shared" si="1"/>
        <v>-4.9850483476087989E-6</v>
      </c>
      <c r="V24" s="38">
        <f t="shared" si="2"/>
        <v>-1</v>
      </c>
      <c r="W24" s="38">
        <f t="shared" si="3"/>
        <v>-9.9677682608012713E-3</v>
      </c>
      <c r="X24" s="38">
        <f t="shared" si="4"/>
        <v>-2.1016878381560036E-2</v>
      </c>
      <c r="Y24" s="38">
        <f t="shared" si="5"/>
        <v>-6.3050635144680104E-3</v>
      </c>
      <c r="Z24" s="38">
        <f t="shared" si="6"/>
        <v>-1.1261012702893602</v>
      </c>
      <c r="AA24" s="38">
        <f t="shared" si="7"/>
        <v>-1</v>
      </c>
      <c r="AB24" s="38">
        <f t="shared" si="8"/>
        <v>-0.87389872971063975</v>
      </c>
      <c r="AC24" s="38">
        <f t="shared" si="9"/>
        <v>-4.7798149347609335E-2</v>
      </c>
      <c r="AD24" s="38">
        <f t="shared" si="10"/>
        <v>-9.9677682608012713E-3</v>
      </c>
      <c r="AE24" s="38">
        <f t="shared" si="11"/>
        <v>2.7862612826006793E-2</v>
      </c>
    </row>
    <row r="25" spans="7:31" x14ac:dyDescent="0.3">
      <c r="G25" s="2"/>
      <c r="H25" s="2"/>
      <c r="I25" s="3" t="s">
        <v>85</v>
      </c>
      <c r="J25" s="3">
        <f>(PI()/lambda_thin)*EXP(-PI()*0/lambda_thin)*(COS(PI()*0/lambda_thin)-SIN(PI()*0/lambda_thin))</f>
        <v>0.57485148763586413</v>
      </c>
      <c r="K25" s="2"/>
      <c r="L25" s="2"/>
      <c r="M25" s="2"/>
      <c r="N25" s="2"/>
      <c r="O25" s="34">
        <v>24</v>
      </c>
      <c r="P25" s="38">
        <f t="shared" si="0"/>
        <v>2.571478174124747</v>
      </c>
      <c r="Q25" s="38">
        <f>'Thin theory'!I$43*EXP(-PI()*(L-P25)/lambda_thin)*COS(PI()*(L-P25)/lambda_thin)+'Thin theory'!I$44*EXP(-PI()*(L-P25)/lambda_thin)*SIN(PI()*(L-P25)/lambda_thin)+'Thin theory'!I$45*EXP(PI()*(L-P25)/lambda_thin)*COS(PI()*(L-P25)/lambda_thin)+'Thin theory'!I$46*EXP(PI()*(L-P25)/lambda_thin)*SIN(PI()*(L-P25)/lambda_thin)+wm</f>
        <v>7.3835912962505817E-6</v>
      </c>
      <c r="R25" s="38">
        <f>'Thin theory'!I$43*2*(PI()/lambda_thin)^2*EXP(-PI()*(L-P25)/lambda_thin)*SIN(PI()*(L-P25)/lambda_thin)-'Thin theory'!I$44*2*(PI()/lambda_thin)^2*EXP(-PI()*(L-P25)/lambda_thin)*COS(PI()*(L-P25)/lambda_thin)-'Thin theory'!I$45*2*(PI()/lambda_thin)^2*EXP(PI()*(L-P25)/lambda_thin)*SIN(PI()*(L-P25)/lambda_thin)+'Thin theory'!I$46*2*(PI()/lambda_thin)^2*EXP(PI()*(L-P25)/lambda_thin)*COS(PI()*(L-P25)/lambda_thin)</f>
        <v>-1.0812874753718548E-6</v>
      </c>
      <c r="S25" s="38">
        <f>(L-P25)*Nz/Cs-nu/rad*(wm*(L-P25)+'Thin theory'!I$43*0.5*lambda_thin/PI()*(1-EXP(-PI()*(L-P25)/lambda_thin)*(COS(PI()*(L-P25)/lambda_thin)-SIN(PI()*(L-P25)/lambda_thin)))+'Thin theory'!I$44*0.5*lambda_thin/PI()*(1-EXP(-PI()*(L-P25)/lambda_thin)*(COS(PI()*(L-P25)/lambda_thin)+SIN(PI()*(L-P25)/lambda_thin)))+'Thin theory'!I$45*0.5*lambda_thin/PI()*(-1+EXP(PI()*(L-P25)/lambda_thin)*(COS(PI()*(L-P25)/lambda_thin)+SIN(PI()*(L-P25)/lambda_thin)))+'Thin theory'!I$46*0.5*lambda_thin/PI()*(1+EXP(PI()*(L-P25)/lambda_thin)*(SIN(PI()*(L-P25)/lambda_thin)-COS(PI()*(L-P25)/lambda_thin))))</f>
        <v>-4.234590923594582E-5</v>
      </c>
      <c r="T25" s="38">
        <f t="shared" si="12"/>
        <v>4.234590923594582E-5</v>
      </c>
      <c r="U25" s="38">
        <f t="shared" si="1"/>
        <v>-4.9930154777750356E-6</v>
      </c>
      <c r="V25" s="38">
        <f t="shared" si="2"/>
        <v>-1</v>
      </c>
      <c r="W25" s="38">
        <f t="shared" si="3"/>
        <v>-4.6563481499767778E-3</v>
      </c>
      <c r="X25" s="38">
        <f t="shared" si="4"/>
        <v>-1.9803799915235436E-2</v>
      </c>
      <c r="Y25" s="38">
        <f t="shared" si="5"/>
        <v>-5.9411399745706306E-3</v>
      </c>
      <c r="Z25" s="38">
        <f t="shared" si="6"/>
        <v>-1.1188227994914126</v>
      </c>
      <c r="AA25" s="38">
        <f t="shared" si="7"/>
        <v>-1</v>
      </c>
      <c r="AB25" s="38">
        <f t="shared" si="8"/>
        <v>-0.88117720050858739</v>
      </c>
      <c r="AC25" s="38">
        <f t="shared" si="9"/>
        <v>-4.0303187997400562E-2</v>
      </c>
      <c r="AD25" s="38">
        <f t="shared" si="10"/>
        <v>-4.6563481499767778E-3</v>
      </c>
      <c r="AE25" s="38">
        <f t="shared" si="11"/>
        <v>3.0990491697447005E-2</v>
      </c>
    </row>
    <row r="26" spans="7:31" x14ac:dyDescent="0.3">
      <c r="G26" s="2"/>
      <c r="H26" s="2"/>
      <c r="I26" s="3" t="s">
        <v>86</v>
      </c>
      <c r="J26" s="3">
        <f>(PI()/lambda_thin)*EXP(PI()*0/lambda_thin)*(COS(PI()*0/lambda_thin)-SIN(PI()*0/lambda_thin))</f>
        <v>0.57485148763586413</v>
      </c>
      <c r="K26" s="2"/>
      <c r="L26" s="2"/>
      <c r="M26" s="2"/>
      <c r="N26" s="2"/>
      <c r="O26" s="34">
        <v>25</v>
      </c>
      <c r="P26" s="38">
        <f t="shared" si="0"/>
        <v>2.6832815729997357</v>
      </c>
      <c r="Q26" s="38">
        <f>'Thin theory'!I$43*EXP(-PI()*(L-P26)/lambda_thin)*COS(PI()*(L-P26)/lambda_thin)+'Thin theory'!I$44*EXP(-PI()*(L-P26)/lambda_thin)*SIN(PI()*(L-P26)/lambda_thin)+'Thin theory'!I$45*EXP(PI()*(L-P26)/lambda_thin)*COS(PI()*(L-P26)/lambda_thin)+'Thin theory'!I$46*EXP(PI()*(L-P26)/lambda_thin)*SIN(PI()*(L-P26)/lambda_thin)+wm</f>
        <v>7.5028613702159477E-6</v>
      </c>
      <c r="R26" s="38">
        <f>'Thin theory'!I$43*2*(PI()/lambda_thin)^2*EXP(-PI()*(L-P26)/lambda_thin)*SIN(PI()*(L-P26)/lambda_thin)-'Thin theory'!I$44*2*(PI()/lambda_thin)^2*EXP(-PI()*(L-P26)/lambda_thin)*COS(PI()*(L-P26)/lambda_thin)-'Thin theory'!I$45*2*(PI()/lambda_thin)^2*EXP(PI()*(L-P26)/lambda_thin)*SIN(PI()*(L-P26)/lambda_thin)+'Thin theory'!I$46*2*(PI()/lambda_thin)^2*EXP(PI()*(L-P26)/lambda_thin)*COS(PI()*(L-P26)/lambda_thin)</f>
        <v>-1.0144116498862902E-6</v>
      </c>
      <c r="S26" s="38">
        <f>(L-P26)*Nz/Cs-nu/rad*(wm*(L-P26)+'Thin theory'!I$43*0.5*lambda_thin/PI()*(1-EXP(-PI()*(L-P26)/lambda_thin)*(COS(PI()*(L-P26)/lambda_thin)-SIN(PI()*(L-P26)/lambda_thin)))+'Thin theory'!I$44*0.5*lambda_thin/PI()*(1-EXP(-PI()*(L-P26)/lambda_thin)*(COS(PI()*(L-P26)/lambda_thin)+SIN(PI()*(L-P26)/lambda_thin)))+'Thin theory'!I$45*0.5*lambda_thin/PI()*(-1+EXP(PI()*(L-P26)/lambda_thin)*(COS(PI()*(L-P26)/lambda_thin)+SIN(PI()*(L-P26)/lambda_thin)))+'Thin theory'!I$46*0.5*lambda_thin/PI()*(1+EXP(PI()*(L-P26)/lambda_thin)*(SIN(PI()*(L-P26)/lambda_thin)-COS(PI()*(L-P26)/lambda_thin))))</f>
        <v>-4.1787265768622582E-5</v>
      </c>
      <c r="T26" s="38">
        <f t="shared" si="12"/>
        <v>4.1787265768622582E-5</v>
      </c>
      <c r="U26" s="38">
        <f t="shared" si="1"/>
        <v>-5.0001716822129572E-6</v>
      </c>
      <c r="V26" s="38">
        <f t="shared" si="2"/>
        <v>-1</v>
      </c>
      <c r="W26" s="38">
        <f t="shared" si="3"/>
        <v>1.1445480863786763E-4</v>
      </c>
      <c r="X26" s="38">
        <f t="shared" si="4"/>
        <v>-1.8578967946635352E-2</v>
      </c>
      <c r="Y26" s="38">
        <f t="shared" si="5"/>
        <v>-5.573690383990605E-3</v>
      </c>
      <c r="Z26" s="38">
        <f t="shared" si="6"/>
        <v>-1.1114738076798121</v>
      </c>
      <c r="AA26" s="38">
        <f t="shared" si="7"/>
        <v>-1</v>
      </c>
      <c r="AB26" s="38">
        <f t="shared" si="8"/>
        <v>-0.88852619232018792</v>
      </c>
      <c r="AC26" s="38">
        <f t="shared" si="9"/>
        <v>-3.3327687495305763E-2</v>
      </c>
      <c r="AD26" s="38">
        <f t="shared" si="10"/>
        <v>1.1445480863786763E-4</v>
      </c>
      <c r="AE26" s="38">
        <f t="shared" si="11"/>
        <v>3.3556597112581493E-2</v>
      </c>
    </row>
    <row r="27" spans="7:31" x14ac:dyDescent="0.3">
      <c r="G27" s="2"/>
      <c r="H27" s="2"/>
      <c r="I27" s="3" t="s">
        <v>87</v>
      </c>
      <c r="J27" s="3">
        <f>(PI()/lambda_thin)*EXP(PI()*0/lambda_thin)*(COS(PI()*0/lambda_thin)+SIN(PI()*0/lambda_thin))</f>
        <v>0.57485148763586413</v>
      </c>
      <c r="K27" s="2"/>
      <c r="L27" s="2"/>
      <c r="M27" s="2"/>
      <c r="N27" s="2"/>
      <c r="O27" s="34">
        <v>26</v>
      </c>
      <c r="P27" s="38">
        <f t="shared" si="0"/>
        <v>2.7950849718747248</v>
      </c>
      <c r="Q27" s="38">
        <f>'Thin theory'!I$43*EXP(-PI()*(L-P27)/lambda_thin)*COS(PI()*(L-P27)/lambda_thin)+'Thin theory'!I$44*EXP(-PI()*(L-P27)/lambda_thin)*SIN(PI()*(L-P27)/lambda_thin)+'Thin theory'!I$45*EXP(PI()*(L-P27)/lambda_thin)*COS(PI()*(L-P27)/lambda_thin)+'Thin theory'!I$46*EXP(PI()*(L-P27)/lambda_thin)*SIN(PI()*(L-P27)/lambda_thin)+wm</f>
        <v>7.6094512846876362E-6</v>
      </c>
      <c r="R27" s="38">
        <f>'Thin theory'!I$43*2*(PI()/lambda_thin)^2*EXP(-PI()*(L-P27)/lambda_thin)*SIN(PI()*(L-P27)/lambda_thin)-'Thin theory'!I$44*2*(PI()/lambda_thin)^2*EXP(-PI()*(L-P27)/lambda_thin)*COS(PI()*(L-P27)/lambda_thin)-'Thin theory'!I$45*2*(PI()/lambda_thin)^2*EXP(PI()*(L-P27)/lambda_thin)*SIN(PI()*(L-P27)/lambda_thin)+'Thin theory'!I$46*2*(PI()/lambda_thin)^2*EXP(PI()*(L-P27)/lambda_thin)*COS(PI()*(L-P27)/lambda_thin)</f>
        <v>-9.4754567801311888E-7</v>
      </c>
      <c r="S27" s="38">
        <f>(L-P27)*Nz/Cs-nu/rad*(wm*(L-P27)+'Thin theory'!I$43*0.5*lambda_thin/PI()*(1-EXP(-PI()*(L-P27)/lambda_thin)*(COS(PI()*(L-P27)/lambda_thin)-SIN(PI()*(L-P27)/lambda_thin)))+'Thin theory'!I$44*0.5*lambda_thin/PI()*(1-EXP(-PI()*(L-P27)/lambda_thin)*(COS(PI()*(L-P27)/lambda_thin)+SIN(PI()*(L-P27)/lambda_thin)))+'Thin theory'!I$45*0.5*lambda_thin/PI()*(-1+EXP(PI()*(L-P27)/lambda_thin)*(COS(PI()*(L-P27)/lambda_thin)+SIN(PI()*(L-P27)/lambda_thin)))+'Thin theory'!I$46*0.5*lambda_thin/PI()*(1+EXP(PI()*(L-P27)/lambda_thin)*(SIN(PI()*(L-P27)/lambda_thin)-COS(PI()*(L-P27)/lambda_thin))))</f>
        <v>-4.1227865211573167E-5</v>
      </c>
      <c r="T27" s="38">
        <f t="shared" si="12"/>
        <v>4.1227865211573167E-5</v>
      </c>
      <c r="U27" s="38">
        <f t="shared" si="1"/>
        <v>-5.0065670770812588E-6</v>
      </c>
      <c r="V27" s="38">
        <f t="shared" si="2"/>
        <v>-1</v>
      </c>
      <c r="W27" s="38">
        <f t="shared" si="3"/>
        <v>4.378051387505408E-3</v>
      </c>
      <c r="X27" s="38">
        <f t="shared" si="4"/>
        <v>-1.7354316447126719E-2</v>
      </c>
      <c r="Y27" s="38">
        <f t="shared" si="5"/>
        <v>-5.2062949341380154E-3</v>
      </c>
      <c r="Z27" s="38">
        <f t="shared" si="6"/>
        <v>-1.1041258986827602</v>
      </c>
      <c r="AA27" s="38">
        <f t="shared" si="7"/>
        <v>-1</v>
      </c>
      <c r="AB27" s="38">
        <f t="shared" si="8"/>
        <v>-0.89587410131723966</v>
      </c>
      <c r="AC27" s="38">
        <f t="shared" si="9"/>
        <v>-2.6859718217322685E-2</v>
      </c>
      <c r="AD27" s="38">
        <f t="shared" si="10"/>
        <v>4.378051387505408E-3</v>
      </c>
      <c r="AE27" s="38">
        <f t="shared" si="11"/>
        <v>3.56158209923335E-2</v>
      </c>
    </row>
    <row r="28" spans="7:31" x14ac:dyDescent="0.3">
      <c r="G28" s="2"/>
      <c r="H28" s="2"/>
      <c r="I28" s="3" t="s">
        <v>139</v>
      </c>
      <c r="J28" s="3">
        <f>2*(PI()/lambda_thin)^2*EXP(-PI()*0/lambda_thin)*SIN(PI()*0/lambda_thin)</f>
        <v>0</v>
      </c>
      <c r="K28" s="2"/>
      <c r="L28" s="2"/>
      <c r="M28" s="2"/>
      <c r="N28" s="2"/>
      <c r="O28" s="34">
        <v>27</v>
      </c>
      <c r="P28" s="38">
        <f t="shared" si="0"/>
        <v>2.906888370749714</v>
      </c>
      <c r="Q28" s="38">
        <f>'Thin theory'!I$43*EXP(-PI()*(L-P28)/lambda_thin)*COS(PI()*(L-P28)/lambda_thin)+'Thin theory'!I$44*EXP(-PI()*(L-P28)/lambda_thin)*SIN(PI()*(L-P28)/lambda_thin)+'Thin theory'!I$45*EXP(PI()*(L-P28)/lambda_thin)*COS(PI()*(L-P28)/lambda_thin)+'Thin theory'!I$46*EXP(PI()*(L-P28)/lambda_thin)*SIN(PI()*(L-P28)/lambda_thin)+wm</f>
        <v>7.7041962579254904E-6</v>
      </c>
      <c r="R28" s="38">
        <f>'Thin theory'!I$43*2*(PI()/lambda_thin)^2*EXP(-PI()*(L-P28)/lambda_thin)*SIN(PI()*(L-P28)/lambda_thin)-'Thin theory'!I$44*2*(PI()/lambda_thin)^2*EXP(-PI()*(L-P28)/lambda_thin)*COS(PI()*(L-P28)/lambda_thin)-'Thin theory'!I$45*2*(PI()/lambda_thin)^2*EXP(PI()*(L-P28)/lambda_thin)*SIN(PI()*(L-P28)/lambda_thin)+'Thin theory'!I$46*2*(PI()/lambda_thin)^2*EXP(PI()*(L-P28)/lambda_thin)*COS(PI()*(L-P28)/lambda_thin)</f>
        <v>-8.8127192087522255E-7</v>
      </c>
      <c r="S28" s="38">
        <f>(L-P28)*Nz/Cs-nu/rad*(wm*(L-P28)+'Thin theory'!I$43*0.5*lambda_thin/PI()*(1-EXP(-PI()*(L-P28)/lambda_thin)*(COS(PI()*(L-P28)/lambda_thin)-SIN(PI()*(L-P28)/lambda_thin)))+'Thin theory'!I$44*0.5*lambda_thin/PI()*(1-EXP(-PI()*(L-P28)/lambda_thin)*(COS(PI()*(L-P28)/lambda_thin)+SIN(PI()*(L-P28)/lambda_thin)))+'Thin theory'!I$45*0.5*lambda_thin/PI()*(-1+EXP(PI()*(L-P28)/lambda_thin)*(COS(PI()*(L-P28)/lambda_thin)+SIN(PI()*(L-P28)/lambda_thin)))+'Thin theory'!I$46*0.5*lambda_thin/PI()*(1+EXP(PI()*(L-P28)/lambda_thin)*(SIN(PI()*(L-P28)/lambda_thin)-COS(PI()*(L-P28)/lambda_thin))))</f>
        <v>-4.0667789822335845E-5</v>
      </c>
      <c r="T28" s="38">
        <f t="shared" si="12"/>
        <v>4.0667789822335845E-5</v>
      </c>
      <c r="U28" s="38">
        <f t="shared" si="1"/>
        <v>-5.0122517754755297E-6</v>
      </c>
      <c r="V28" s="38">
        <f t="shared" si="2"/>
        <v>-1</v>
      </c>
      <c r="W28" s="38">
        <f t="shared" si="3"/>
        <v>8.1678503170196214E-3</v>
      </c>
      <c r="X28" s="38">
        <f t="shared" si="4"/>
        <v>-1.6140511371341072E-2</v>
      </c>
      <c r="Y28" s="38">
        <f t="shared" si="5"/>
        <v>-4.8421534114023211E-3</v>
      </c>
      <c r="Z28" s="38">
        <f t="shared" si="6"/>
        <v>-1.0968430682280463</v>
      </c>
      <c r="AA28" s="38">
        <f t="shared" si="7"/>
        <v>-1</v>
      </c>
      <c r="AB28" s="38">
        <f t="shared" si="8"/>
        <v>-0.90315693177195355</v>
      </c>
      <c r="AC28" s="38">
        <f t="shared" si="9"/>
        <v>-2.0885070151394305E-2</v>
      </c>
      <c r="AD28" s="38">
        <f t="shared" si="10"/>
        <v>8.1678503170196214E-3</v>
      </c>
      <c r="AE28" s="38">
        <f t="shared" si="11"/>
        <v>3.7220770785433552E-2</v>
      </c>
    </row>
    <row r="29" spans="7:31" x14ac:dyDescent="0.3">
      <c r="G29" s="2"/>
      <c r="H29" s="2"/>
      <c r="I29" s="3" t="s">
        <v>140</v>
      </c>
      <c r="J29" s="3">
        <f>-2*(PI()/lambda_thin)^2*EXP(-PI()*0/lambda_thin)*COS(PI()*0/lambda_thin)</f>
        <v>-0.66090846567433215</v>
      </c>
      <c r="K29" s="2"/>
      <c r="L29" s="2"/>
      <c r="M29" s="2"/>
      <c r="N29" s="2"/>
      <c r="O29" s="34">
        <v>28</v>
      </c>
      <c r="P29" s="38">
        <f t="shared" si="0"/>
        <v>3.0186917696247031</v>
      </c>
      <c r="Q29" s="38">
        <f>'Thin theory'!I$43*EXP(-PI()*(L-P29)/lambda_thin)*COS(PI()*(L-P29)/lambda_thin)+'Thin theory'!I$44*EXP(-PI()*(L-P29)/lambda_thin)*SIN(PI()*(L-P29)/lambda_thin)+'Thin theory'!I$45*EXP(PI()*(L-P29)/lambda_thin)*COS(PI()*(L-P29)/lambda_thin)+'Thin theory'!I$46*EXP(PI()*(L-P29)/lambda_thin)*SIN(PI()*(L-P29)/lambda_thin)+wm</f>
        <v>7.7879241728746636E-6</v>
      </c>
      <c r="R29" s="38">
        <f>'Thin theory'!I$43*2*(PI()/lambda_thin)^2*EXP(-PI()*(L-P29)/lambda_thin)*SIN(PI()*(L-P29)/lambda_thin)-'Thin theory'!I$44*2*(PI()/lambda_thin)^2*EXP(-PI()*(L-P29)/lambda_thin)*COS(PI()*(L-P29)/lambda_thin)-'Thin theory'!I$45*2*(PI()/lambda_thin)^2*EXP(PI()*(L-P29)/lambda_thin)*SIN(PI()*(L-P29)/lambda_thin)+'Thin theory'!I$46*2*(PI()/lambda_thin)^2*EXP(PI()*(L-P29)/lambda_thin)*COS(PI()*(L-P29)/lambda_thin)</f>
        <v>-8.1610806286038423E-7</v>
      </c>
      <c r="S29" s="38">
        <f>(L-P29)*Nz/Cs-nu/rad*(wm*(L-P29)+'Thin theory'!I$43*0.5*lambda_thin/PI()*(1-EXP(-PI()*(L-P29)/lambda_thin)*(COS(PI()*(L-P29)/lambda_thin)-SIN(PI()*(L-P29)/lambda_thin)))+'Thin theory'!I$44*0.5*lambda_thin/PI()*(1-EXP(-PI()*(L-P29)/lambda_thin)*(COS(PI()*(L-P29)/lambda_thin)+SIN(PI()*(L-P29)/lambda_thin)))+'Thin theory'!I$45*0.5*lambda_thin/PI()*(-1+EXP(PI()*(L-P29)/lambda_thin)*(COS(PI()*(L-P29)/lambda_thin)+SIN(PI()*(L-P29)/lambda_thin)))+'Thin theory'!I$46*0.5*lambda_thin/PI()*(1+EXP(PI()*(L-P29)/lambda_thin)*(SIN(PI()*(L-P29)/lambda_thin)-COS(PI()*(L-P29)/lambda_thin))))</f>
        <v>-4.0107116276397609E-5</v>
      </c>
      <c r="T29" s="38">
        <f t="shared" si="12"/>
        <v>4.0107116276397609E-5</v>
      </c>
      <c r="U29" s="38">
        <f t="shared" si="1"/>
        <v>-5.0172754503724801E-6</v>
      </c>
      <c r="V29" s="38">
        <f t="shared" si="2"/>
        <v>-1</v>
      </c>
      <c r="W29" s="38">
        <f t="shared" si="3"/>
        <v>1.1516966914986526E-2</v>
      </c>
      <c r="X29" s="38">
        <f t="shared" si="4"/>
        <v>-1.4947034118322055E-2</v>
      </c>
      <c r="Y29" s="38">
        <f t="shared" si="5"/>
        <v>-4.4841102354966165E-3</v>
      </c>
      <c r="Z29" s="38">
        <f t="shared" si="6"/>
        <v>-1.0896822047099324</v>
      </c>
      <c r="AA29" s="38">
        <f t="shared" si="7"/>
        <v>-1</v>
      </c>
      <c r="AB29" s="38">
        <f t="shared" si="8"/>
        <v>-0.91031779529006762</v>
      </c>
      <c r="AC29" s="38">
        <f t="shared" si="9"/>
        <v>-1.5387694497993173E-2</v>
      </c>
      <c r="AD29" s="38">
        <f t="shared" si="10"/>
        <v>1.1516966914986526E-2</v>
      </c>
      <c r="AE29" s="38">
        <f t="shared" si="11"/>
        <v>3.8421628327966223E-2</v>
      </c>
    </row>
    <row r="30" spans="7:31" x14ac:dyDescent="0.3">
      <c r="G30" s="2"/>
      <c r="H30" s="2"/>
      <c r="I30" s="3" t="s">
        <v>141</v>
      </c>
      <c r="J30" s="3">
        <f>-2*(PI()/lambda_thin)^2*EXP(-PI()*0/lambda_thin)*SIN(PI()*0/lambda_thin)</f>
        <v>0</v>
      </c>
      <c r="K30" s="2"/>
      <c r="L30" s="2"/>
      <c r="M30" s="2"/>
      <c r="N30" s="2"/>
      <c r="O30" s="34">
        <v>29</v>
      </c>
      <c r="P30" s="38">
        <f t="shared" si="0"/>
        <v>3.1304951684996922</v>
      </c>
      <c r="Q30" s="38">
        <f>'Thin theory'!I$43*EXP(-PI()*(L-P30)/lambda_thin)*COS(PI()*(L-P30)/lambda_thin)+'Thin theory'!I$44*EXP(-PI()*(L-P30)/lambda_thin)*SIN(PI()*(L-P30)/lambda_thin)+'Thin theory'!I$45*EXP(PI()*(L-P30)/lambda_thin)*COS(PI()*(L-P30)/lambda_thin)+'Thin theory'!I$46*EXP(PI()*(L-P30)/lambda_thin)*SIN(PI()*(L-P30)/lambda_thin)+wm</f>
        <v>7.8614491014034248E-6</v>
      </c>
      <c r="R30" s="38">
        <f>'Thin theory'!I$43*2*(PI()/lambda_thin)^2*EXP(-PI()*(L-P30)/lambda_thin)*SIN(PI()*(L-P30)/lambda_thin)-'Thin theory'!I$44*2*(PI()/lambda_thin)^2*EXP(-PI()*(L-P30)/lambda_thin)*COS(PI()*(L-P30)/lambda_thin)-'Thin theory'!I$45*2*(PI()/lambda_thin)^2*EXP(PI()*(L-P30)/lambda_thin)*SIN(PI()*(L-P30)/lambda_thin)+'Thin theory'!I$46*2*(PI()/lambda_thin)^2*EXP(PI()*(L-P30)/lambda_thin)*COS(PI()*(L-P30)/lambda_thin)</f>
        <v>-7.5251162891698329E-7</v>
      </c>
      <c r="S30" s="38">
        <f>(L-P30)*Nz/Cs-nu/rad*(wm*(L-P30)+'Thin theory'!I$43*0.5*lambda_thin/PI()*(1-EXP(-PI()*(L-P30)/lambda_thin)*(COS(PI()*(L-P30)/lambda_thin)-SIN(PI()*(L-P30)/lambda_thin)))+'Thin theory'!I$44*0.5*lambda_thin/PI()*(1-EXP(-PI()*(L-P30)/lambda_thin)*(COS(PI()*(L-P30)/lambda_thin)+SIN(PI()*(L-P30)/lambda_thin)))+'Thin theory'!I$45*0.5*lambda_thin/PI()*(-1+EXP(PI()*(L-P30)/lambda_thin)*(COS(PI()*(L-P30)/lambda_thin)+SIN(PI()*(L-P30)/lambda_thin)))+'Thin theory'!I$46*0.5*lambda_thin/PI()*(1+EXP(PI()*(L-P30)/lambda_thin)*(SIN(PI()*(L-P30)/lambda_thin)-COS(PI()*(L-P30)/lambda_thin))))</f>
        <v>-3.9545915738557474E-5</v>
      </c>
      <c r="T30" s="38">
        <f t="shared" si="12"/>
        <v>3.9545915738557474E-5</v>
      </c>
      <c r="U30" s="38">
        <f t="shared" si="1"/>
        <v>-5.0216869460842057E-6</v>
      </c>
      <c r="V30" s="38">
        <f t="shared" si="2"/>
        <v>-1</v>
      </c>
      <c r="W30" s="38">
        <f t="shared" si="3"/>
        <v>1.4457964056136989E-2</v>
      </c>
      <c r="X30" s="38">
        <f t="shared" si="4"/>
        <v>-1.3782264265878814E-2</v>
      </c>
      <c r="Y30" s="38">
        <f t="shared" si="5"/>
        <v>-4.1346792797636442E-3</v>
      </c>
      <c r="Z30" s="38">
        <f t="shared" si="6"/>
        <v>-1.0826935855952728</v>
      </c>
      <c r="AA30" s="38">
        <f t="shared" si="7"/>
        <v>-1</v>
      </c>
      <c r="AB30" s="38">
        <f t="shared" si="8"/>
        <v>-0.91730641440472716</v>
      </c>
      <c r="AC30" s="38">
        <f t="shared" si="9"/>
        <v>-1.0350111622444874E-2</v>
      </c>
      <c r="AD30" s="38">
        <f t="shared" si="10"/>
        <v>1.4457964056136989E-2</v>
      </c>
      <c r="AE30" s="38">
        <f t="shared" si="11"/>
        <v>3.9266039734718851E-2</v>
      </c>
    </row>
    <row r="31" spans="7:31" x14ac:dyDescent="0.3">
      <c r="G31" s="2"/>
      <c r="H31" s="2"/>
      <c r="I31" s="3" t="s">
        <v>142</v>
      </c>
      <c r="J31" s="3">
        <f>2*(PI()/lambda_thin)^2*EXP(PI()*0/lambda_thin)*COS(PI()*0/lambda_thin)</f>
        <v>0.66090846567433215</v>
      </c>
      <c r="K31" s="2"/>
      <c r="L31" s="2"/>
      <c r="M31" s="2"/>
      <c r="N31" s="2"/>
      <c r="O31" s="34">
        <v>30</v>
      </c>
      <c r="P31" s="38">
        <f t="shared" si="0"/>
        <v>3.2422985673746805</v>
      </c>
      <c r="Q31" s="38">
        <f>'Thin theory'!I$43*EXP(-PI()*(L-P31)/lambda_thin)*COS(PI()*(L-P31)/lambda_thin)+'Thin theory'!I$44*EXP(-PI()*(L-P31)/lambda_thin)*SIN(PI()*(L-P31)/lambda_thin)+'Thin theory'!I$45*EXP(PI()*(L-P31)/lambda_thin)*COS(PI()*(L-P31)/lambda_thin)+'Thin theory'!I$46*EXP(PI()*(L-P31)/lambda_thin)*SIN(PI()*(L-P31)/lambda_thin)+wm</f>
        <v>7.9255655806123371E-6</v>
      </c>
      <c r="R31" s="38">
        <f>'Thin theory'!I$43*2*(PI()/lambda_thin)^2*EXP(-PI()*(L-P31)/lambda_thin)*SIN(PI()*(L-P31)/lambda_thin)-'Thin theory'!I$44*2*(PI()/lambda_thin)^2*EXP(-PI()*(L-P31)/lambda_thin)*COS(PI()*(L-P31)/lambda_thin)-'Thin theory'!I$45*2*(PI()/lambda_thin)^2*EXP(PI()*(L-P31)/lambda_thin)*SIN(PI()*(L-P31)/lambda_thin)+'Thin theory'!I$46*2*(PI()/lambda_thin)^2*EXP(PI()*(L-P31)/lambda_thin)*COS(PI()*(L-P31)/lambda_thin)</f>
        <v>-6.9088442678338633E-7</v>
      </c>
      <c r="S31" s="38">
        <f>(L-P31)*Nz/Cs-nu/rad*(wm*(L-P31)+'Thin theory'!I$43*0.5*lambda_thin/PI()*(1-EXP(-PI()*(L-P31)/lambda_thin)*(COS(PI()*(L-P31)/lambda_thin)-SIN(PI()*(L-P31)/lambda_thin)))+'Thin theory'!I$44*0.5*lambda_thin/PI()*(1-EXP(-PI()*(L-P31)/lambda_thin)*(COS(PI()*(L-P31)/lambda_thin)+SIN(PI()*(L-P31)/lambda_thin)))+'Thin theory'!I$45*0.5*lambda_thin/PI()*(-1+EXP(PI()*(L-P31)/lambda_thin)*(COS(PI()*(L-P31)/lambda_thin)+SIN(PI()*(L-P31)/lambda_thin)))+'Thin theory'!I$46*0.5*lambda_thin/PI()*(1+EXP(PI()*(L-P31)/lambda_thin)*(SIN(PI()*(L-P31)/lambda_thin)-COS(PI()*(L-P31)/lambda_thin))))</f>
        <v>-3.8984253975176662E-5</v>
      </c>
      <c r="T31" s="38">
        <f t="shared" si="12"/>
        <v>3.8984253975176662E-5</v>
      </c>
      <c r="U31" s="38">
        <f t="shared" si="1"/>
        <v>-5.0255339348367407E-6</v>
      </c>
      <c r="V31" s="38">
        <f t="shared" si="2"/>
        <v>-1</v>
      </c>
      <c r="W31" s="38">
        <f t="shared" si="3"/>
        <v>1.702262322449347E-2</v>
      </c>
      <c r="X31" s="38">
        <f t="shared" si="4"/>
        <v>-1.265356093009865E-2</v>
      </c>
      <c r="Y31" s="38">
        <f t="shared" si="5"/>
        <v>-3.7960682790295951E-3</v>
      </c>
      <c r="Z31" s="38">
        <f t="shared" si="6"/>
        <v>-1.0759213655805919</v>
      </c>
      <c r="AA31" s="38">
        <f t="shared" si="7"/>
        <v>-1</v>
      </c>
      <c r="AB31" s="38">
        <f t="shared" si="8"/>
        <v>-0.92407863441940807</v>
      </c>
      <c r="AC31" s="38">
        <f t="shared" si="9"/>
        <v>-5.7537864496841028E-3</v>
      </c>
      <c r="AD31" s="38">
        <f t="shared" si="10"/>
        <v>1.702262322449347E-2</v>
      </c>
      <c r="AE31" s="38">
        <f t="shared" si="11"/>
        <v>3.9799032898671038E-2</v>
      </c>
    </row>
    <row r="32" spans="7:31" x14ac:dyDescent="0.3">
      <c r="G32" s="2"/>
      <c r="H32" s="2"/>
      <c r="I32" s="2"/>
      <c r="J32" s="2"/>
      <c r="K32" s="2"/>
      <c r="L32" s="2"/>
      <c r="M32" s="2"/>
      <c r="N32" s="2"/>
      <c r="O32" s="34">
        <v>31</v>
      </c>
      <c r="P32" s="38">
        <f t="shared" si="0"/>
        <v>3.3541019662496696</v>
      </c>
      <c r="Q32" s="38">
        <f>'Thin theory'!I$43*EXP(-PI()*(L-P32)/lambda_thin)*COS(PI()*(L-P32)/lambda_thin)+'Thin theory'!I$44*EXP(-PI()*(L-P32)/lambda_thin)*SIN(PI()*(L-P32)/lambda_thin)+'Thin theory'!I$45*EXP(PI()*(L-P32)/lambda_thin)*COS(PI()*(L-P32)/lambda_thin)+'Thin theory'!I$46*EXP(PI()*(L-P32)/lambda_thin)*SIN(PI()*(L-P32)/lambda_thin)+wm</f>
        <v>7.9810435857195675E-6</v>
      </c>
      <c r="R32" s="38">
        <f>'Thin theory'!I$43*2*(PI()/lambda_thin)^2*EXP(-PI()*(L-P32)/lambda_thin)*SIN(PI()*(L-P32)/lambda_thin)-'Thin theory'!I$44*2*(PI()/lambda_thin)^2*EXP(-PI()*(L-P32)/lambda_thin)*COS(PI()*(L-P32)/lambda_thin)-'Thin theory'!I$45*2*(PI()/lambda_thin)^2*EXP(PI()*(L-P32)/lambda_thin)*SIN(PI()*(L-P32)/lambda_thin)+'Thin theory'!I$46*2*(PI()/lambda_thin)^2*EXP(PI()*(L-P32)/lambda_thin)*COS(PI()*(L-P32)/lambda_thin)</f>
        <v>-6.3157688287440049E-7</v>
      </c>
      <c r="S32" s="38">
        <f>(L-P32)*Nz/Cs-nu/rad*(wm*(L-P32)+'Thin theory'!I$43*0.5*lambda_thin/PI()*(1-EXP(-PI()*(L-P32)/lambda_thin)*(COS(PI()*(L-P32)/lambda_thin)-SIN(PI()*(L-P32)/lambda_thin)))+'Thin theory'!I$44*0.5*lambda_thin/PI()*(1-EXP(-PI()*(L-P32)/lambda_thin)*(COS(PI()*(L-P32)/lambda_thin)+SIN(PI()*(L-P32)/lambda_thin)))+'Thin theory'!I$45*0.5*lambda_thin/PI()*(-1+EXP(PI()*(L-P32)/lambda_thin)*(COS(PI()*(L-P32)/lambda_thin)+SIN(PI()*(L-P32)/lambda_thin)))+'Thin theory'!I$46*0.5*lambda_thin/PI()*(1+EXP(PI()*(L-P32)/lambda_thin)*(SIN(PI()*(L-P32)/lambda_thin)-COS(PI()*(L-P32)/lambda_thin))))</f>
        <v>-3.842219150245731E-5</v>
      </c>
      <c r="T32" s="38">
        <f t="shared" si="12"/>
        <v>3.842219150245731E-5</v>
      </c>
      <c r="U32" s="38">
        <f t="shared" si="1"/>
        <v>-5.0288626151431747E-6</v>
      </c>
      <c r="V32" s="38">
        <f t="shared" si="2"/>
        <v>-1</v>
      </c>
      <c r="W32" s="38">
        <f t="shared" si="3"/>
        <v>1.924174342878265E-2</v>
      </c>
      <c r="X32" s="38">
        <f t="shared" si="4"/>
        <v>-1.1567342177186822E-2</v>
      </c>
      <c r="Y32" s="38">
        <f t="shared" si="5"/>
        <v>-3.4702026531560465E-3</v>
      </c>
      <c r="Z32" s="38">
        <f t="shared" si="6"/>
        <v>-1.069404053063121</v>
      </c>
      <c r="AA32" s="38">
        <f t="shared" si="7"/>
        <v>-1</v>
      </c>
      <c r="AB32" s="38">
        <f t="shared" si="8"/>
        <v>-0.93059594693687908</v>
      </c>
      <c r="AC32" s="38">
        <f t="shared" si="9"/>
        <v>-1.5794724901536279E-3</v>
      </c>
      <c r="AD32" s="38">
        <f t="shared" si="10"/>
        <v>1.924174342878265E-2</v>
      </c>
      <c r="AE32" s="38">
        <f t="shared" si="11"/>
        <v>4.0062959347718932E-2</v>
      </c>
    </row>
    <row r="33" spans="7:31" x14ac:dyDescent="0.3">
      <c r="G33" s="11"/>
      <c r="H33" s="2"/>
      <c r="I33" s="2"/>
      <c r="J33" s="2"/>
      <c r="K33" s="2"/>
      <c r="L33" s="2"/>
      <c r="M33" s="2"/>
      <c r="N33" s="2"/>
      <c r="O33" s="34">
        <v>32</v>
      </c>
      <c r="P33" s="38">
        <f t="shared" si="0"/>
        <v>3.4659053651246587</v>
      </c>
      <c r="Q33" s="38">
        <f>'Thin theory'!I$43*EXP(-PI()*(L-P33)/lambda_thin)*COS(PI()*(L-P33)/lambda_thin)+'Thin theory'!I$44*EXP(-PI()*(L-P33)/lambda_thin)*SIN(PI()*(L-P33)/lambda_thin)+'Thin theory'!I$45*EXP(PI()*(L-P33)/lambda_thin)*COS(PI()*(L-P33)/lambda_thin)+'Thin theory'!I$46*EXP(PI()*(L-P33)/lambda_thin)*SIN(PI()*(L-P33)/lambda_thin)+wm</f>
        <v>8.0286241453522923E-6</v>
      </c>
      <c r="R33" s="38">
        <f>'Thin theory'!I$43*2*(PI()/lambda_thin)^2*EXP(-PI()*(L-P33)/lambda_thin)*SIN(PI()*(L-P33)/lambda_thin)-'Thin theory'!I$44*2*(PI()/lambda_thin)^2*EXP(-PI()*(L-P33)/lambda_thin)*COS(PI()*(L-P33)/lambda_thin)-'Thin theory'!I$45*2*(PI()/lambda_thin)^2*EXP(PI()*(L-P33)/lambda_thin)*SIN(PI()*(L-P33)/lambda_thin)+'Thin theory'!I$46*2*(PI()/lambda_thin)^2*EXP(PI()*(L-P33)/lambda_thin)*COS(PI()*(L-P33)/lambda_thin)</f>
        <v>-5.7489224435212792E-7</v>
      </c>
      <c r="S33" s="38">
        <f>(L-P33)*Nz/Cs-nu/rad*(wm*(L-P33)+'Thin theory'!I$43*0.5*lambda_thin/PI()*(1-EXP(-PI()*(L-P33)/lambda_thin)*(COS(PI()*(L-P33)/lambda_thin)-SIN(PI()*(L-P33)/lambda_thin)))+'Thin theory'!I$44*0.5*lambda_thin/PI()*(1-EXP(-PI()*(L-P33)/lambda_thin)*(COS(PI()*(L-P33)/lambda_thin)+SIN(PI()*(L-P33)/lambda_thin)))+'Thin theory'!I$45*0.5*lambda_thin/PI()*(-1+EXP(PI()*(L-P33)/lambda_thin)*(COS(PI()*(L-P33)/lambda_thin)+SIN(PI()*(L-P33)/lambda_thin)))+'Thin theory'!I$46*0.5*lambda_thin/PI()*(1+EXP(PI()*(L-P33)/lambda_thin)*(SIN(PI()*(L-P33)/lambda_thin)-COS(PI()*(L-P33)/lambda_thin))))</f>
        <v>-3.7859783766259655E-5</v>
      </c>
      <c r="T33" s="38">
        <f t="shared" si="12"/>
        <v>3.7859783766259655E-5</v>
      </c>
      <c r="U33" s="38">
        <f t="shared" si="1"/>
        <v>-5.0317174487211378E-6</v>
      </c>
      <c r="V33" s="38">
        <f t="shared" si="2"/>
        <v>-1</v>
      </c>
      <c r="W33" s="38">
        <f t="shared" si="3"/>
        <v>2.1144965814091674E-2</v>
      </c>
      <c r="X33" s="38">
        <f t="shared" si="4"/>
        <v>-1.0529161984471208E-2</v>
      </c>
      <c r="Y33" s="38">
        <f t="shared" si="5"/>
        <v>-3.1587485953413624E-3</v>
      </c>
      <c r="Z33" s="38">
        <f t="shared" si="6"/>
        <v>-1.0631749719068273</v>
      </c>
      <c r="AA33" s="38">
        <f t="shared" si="7"/>
        <v>-1</v>
      </c>
      <c r="AB33" s="38">
        <f t="shared" si="8"/>
        <v>-0.9368250280931727</v>
      </c>
      <c r="AC33" s="38">
        <f t="shared" si="9"/>
        <v>2.1924742420434996E-3</v>
      </c>
      <c r="AD33" s="38">
        <f t="shared" si="10"/>
        <v>2.1144965814091674E-2</v>
      </c>
      <c r="AE33" s="38">
        <f t="shared" si="11"/>
        <v>4.0097457386139845E-2</v>
      </c>
    </row>
    <row r="34" spans="7:31" x14ac:dyDescent="0.3">
      <c r="G34" s="11"/>
      <c r="H34" s="2"/>
      <c r="I34" s="2"/>
      <c r="J34" s="2"/>
      <c r="K34" s="2"/>
      <c r="L34" s="2"/>
      <c r="M34" s="2"/>
      <c r="N34" s="2"/>
      <c r="O34" s="34">
        <v>33</v>
      </c>
      <c r="P34" s="38">
        <f t="shared" ref="P34:P65" si="13">0+(O34-1)/100*L</f>
        <v>3.5777087639996479</v>
      </c>
      <c r="Q34" s="38">
        <f>'Thin theory'!I$43*EXP(-PI()*(L-P34)/lambda_thin)*COS(PI()*(L-P34)/lambda_thin)+'Thin theory'!I$44*EXP(-PI()*(L-P34)/lambda_thin)*SIN(PI()*(L-P34)/lambda_thin)+'Thin theory'!I$45*EXP(PI()*(L-P34)/lambda_thin)*COS(PI()*(L-P34)/lambda_thin)+'Thin theory'!I$46*EXP(PI()*(L-P34)/lambda_thin)*SIN(PI()*(L-P34)/lambda_thin)+wm</f>
        <v>8.0690155467432854E-6</v>
      </c>
      <c r="R34" s="38">
        <f>'Thin theory'!I$43*2*(PI()/lambda_thin)^2*EXP(-PI()*(L-P34)/lambda_thin)*SIN(PI()*(L-P34)/lambda_thin)-'Thin theory'!I$44*2*(PI()/lambda_thin)^2*EXP(-PI()*(L-P34)/lambda_thin)*COS(PI()*(L-P34)/lambda_thin)-'Thin theory'!I$45*2*(PI()/lambda_thin)^2*EXP(PI()*(L-P34)/lambda_thin)*SIN(PI()*(L-P34)/lambda_thin)+'Thin theory'!I$46*2*(PI()/lambda_thin)^2*EXP(PI()*(L-P34)/lambda_thin)*COS(PI()*(L-P34)/lambda_thin)</f>
        <v>-5.210906234167806E-7</v>
      </c>
      <c r="S34" s="38">
        <f>(L-P34)*Nz/Cs-nu/rad*(wm*(L-P34)+'Thin theory'!I$43*0.5*lambda_thin/PI()*(1-EXP(-PI()*(L-P34)/lambda_thin)*(COS(PI()*(L-P34)/lambda_thin)-SIN(PI()*(L-P34)/lambda_thin)))+'Thin theory'!I$44*0.5*lambda_thin/PI()*(1-EXP(-PI()*(L-P34)/lambda_thin)*(COS(PI()*(L-P34)/lambda_thin)+SIN(PI()*(L-P34)/lambda_thin)))+'Thin theory'!I$45*0.5*lambda_thin/PI()*(-1+EXP(PI()*(L-P34)/lambda_thin)*(COS(PI()*(L-P34)/lambda_thin)+SIN(PI()*(L-P34)/lambda_thin)))+'Thin theory'!I$46*0.5*lambda_thin/PI()*(1+EXP(PI()*(L-P34)/lambda_thin)*(SIN(PI()*(L-P34)/lambda_thin)-COS(PI()*(L-P34)/lambda_thin))))</f>
        <v>-3.7297081349325217E-5</v>
      </c>
      <c r="T34" s="38">
        <f t="shared" si="12"/>
        <v>3.7297081349325217E-5</v>
      </c>
      <c r="U34" s="38">
        <f t="shared" ref="U34:U65" si="14">Nz/Cs-nu/rad*Q34</f>
        <v>-5.0341409328045979E-6</v>
      </c>
      <c r="V34" s="38">
        <f t="shared" ref="V34:V65" si="15">Cs*(U34 + nu/rad*Q34)</f>
        <v>-1</v>
      </c>
      <c r="W34" s="38">
        <f t="shared" ref="W34:W65" si="16">Cs*(Q34/rad+nu*U34)</f>
        <v>2.2760621869731365E-2</v>
      </c>
      <c r="X34" s="38">
        <f t="shared" ref="X34:X65" si="17">D*R34</f>
        <v>-9.5437843116626484E-3</v>
      </c>
      <c r="Y34" s="38">
        <f t="shared" ref="Y34:Y65" si="18">nu*X34</f>
        <v>-2.8631352934987944E-3</v>
      </c>
      <c r="Z34" s="38">
        <f t="shared" ref="Z34:Z65" si="19">V34/t+6*X34/t/t</f>
        <v>-1.0572627058699759</v>
      </c>
      <c r="AA34" s="38">
        <f t="shared" ref="AA34:AA65" si="20">V34/t</f>
        <v>-1</v>
      </c>
      <c r="AB34" s="38">
        <f t="shared" ref="AB34:AB65" si="21">V34/t-6*X34/t/t</f>
        <v>-0.94273729413002405</v>
      </c>
      <c r="AC34" s="38">
        <f t="shared" ref="AC34:AC65" si="22">W34/t+6*Y34/t/t</f>
        <v>5.5818101087385975E-3</v>
      </c>
      <c r="AD34" s="38">
        <f t="shared" ref="AD34:AD65" si="23">W34/t</f>
        <v>2.2760621869731365E-2</v>
      </c>
      <c r="AE34" s="38">
        <f t="shared" ref="AE34:AE65" si="24">W34/t-6*Y34/t/t</f>
        <v>3.9939433630724136E-2</v>
      </c>
    </row>
    <row r="35" spans="7:31" x14ac:dyDescent="0.3">
      <c r="G35" s="11"/>
      <c r="H35" s="2"/>
      <c r="I35" s="2"/>
      <c r="J35" s="2"/>
      <c r="K35" s="2"/>
      <c r="L35" s="2"/>
      <c r="M35" s="2"/>
      <c r="N35" s="2"/>
      <c r="O35" s="34">
        <v>34</v>
      </c>
      <c r="P35" s="38">
        <f t="shared" si="13"/>
        <v>3.689512162874637</v>
      </c>
      <c r="Q35" s="38">
        <f>'Thin theory'!I$43*EXP(-PI()*(L-P35)/lambda_thin)*COS(PI()*(L-P35)/lambda_thin)+'Thin theory'!I$44*EXP(-PI()*(L-P35)/lambda_thin)*SIN(PI()*(L-P35)/lambda_thin)+'Thin theory'!I$45*EXP(PI()*(L-P35)/lambda_thin)*COS(PI()*(L-P35)/lambda_thin)+'Thin theory'!I$46*EXP(PI()*(L-P35)/lambda_thin)*SIN(PI()*(L-P35)/lambda_thin)+wm</f>
        <v>8.1028900803006539E-6</v>
      </c>
      <c r="R35" s="38">
        <f>'Thin theory'!I$43*2*(PI()/lambda_thin)^2*EXP(-PI()*(L-P35)/lambda_thin)*SIN(PI()*(L-P35)/lambda_thin)-'Thin theory'!I$44*2*(PI()/lambda_thin)^2*EXP(-PI()*(L-P35)/lambda_thin)*COS(PI()*(L-P35)/lambda_thin)-'Thin theory'!I$45*2*(PI()/lambda_thin)^2*EXP(PI()*(L-P35)/lambda_thin)*SIN(PI()*(L-P35)/lambda_thin)+'Thin theory'!I$46*2*(PI()/lambda_thin)^2*EXP(PI()*(L-P35)/lambda_thin)*COS(PI()*(L-P35)/lambda_thin)</f>
        <v>-4.703928630748482E-7</v>
      </c>
      <c r="S35" s="38">
        <f>(L-P35)*Nz/Cs-nu/rad*(wm*(L-P35)+'Thin theory'!I$43*0.5*lambda_thin/PI()*(1-EXP(-PI()*(L-P35)/lambda_thin)*(COS(PI()*(L-P35)/lambda_thin)-SIN(PI()*(L-P35)/lambda_thin)))+'Thin theory'!I$44*0.5*lambda_thin/PI()*(1-EXP(-PI()*(L-P35)/lambda_thin)*(COS(PI()*(L-P35)/lambda_thin)+SIN(PI()*(L-P35)/lambda_thin)))+'Thin theory'!I$45*0.5*lambda_thin/PI()*(-1+EXP(PI()*(L-P35)/lambda_thin)*(COS(PI()*(L-P35)/lambda_thin)+SIN(PI()*(L-P35)/lambda_thin)))+'Thin theory'!I$46*0.5*lambda_thin/PI()*(1+EXP(PI()*(L-P35)/lambda_thin)*(SIN(PI()*(L-P35)/lambda_thin)-COS(PI()*(L-P35)/lambda_thin))))</f>
        <v>-3.6734130202119571E-5</v>
      </c>
      <c r="T35" s="38">
        <f t="shared" si="12"/>
        <v>3.6734130202119571E-5</v>
      </c>
      <c r="U35" s="38">
        <f t="shared" si="14"/>
        <v>-5.0361734048180397E-6</v>
      </c>
      <c r="V35" s="38">
        <f t="shared" si="15"/>
        <v>-1</v>
      </c>
      <c r="W35" s="38">
        <f t="shared" si="16"/>
        <v>2.4115603212026146E-2</v>
      </c>
      <c r="X35" s="38">
        <f t="shared" si="17"/>
        <v>-8.6152539024697463E-3</v>
      </c>
      <c r="Y35" s="38">
        <f t="shared" si="18"/>
        <v>-2.5845761707409239E-3</v>
      </c>
      <c r="Z35" s="38">
        <f t="shared" si="19"/>
        <v>-1.0516915234148185</v>
      </c>
      <c r="AA35" s="38">
        <f t="shared" si="20"/>
        <v>-1</v>
      </c>
      <c r="AB35" s="38">
        <f t="shared" si="21"/>
        <v>-0.94830847658518147</v>
      </c>
      <c r="AC35" s="38">
        <f t="shared" si="22"/>
        <v>8.6081461875806026E-3</v>
      </c>
      <c r="AD35" s="38">
        <f t="shared" si="23"/>
        <v>2.4115603212026146E-2</v>
      </c>
      <c r="AE35" s="38">
        <f t="shared" si="24"/>
        <v>3.9623060236471691E-2</v>
      </c>
    </row>
    <row r="36" spans="7:31" x14ac:dyDescent="0.3">
      <c r="G36" s="2"/>
      <c r="H36" s="2"/>
      <c r="I36" s="63" t="s">
        <v>109</v>
      </c>
      <c r="J36" s="63"/>
      <c r="K36" s="63"/>
      <c r="L36" s="63"/>
      <c r="M36" s="26" t="s">
        <v>143</v>
      </c>
      <c r="N36" s="2"/>
      <c r="O36" s="34">
        <v>35</v>
      </c>
      <c r="P36" s="38">
        <f t="shared" si="13"/>
        <v>3.8013155617496261</v>
      </c>
      <c r="Q36" s="38">
        <f>'Thin theory'!I$43*EXP(-PI()*(L-P36)/lambda_thin)*COS(PI()*(L-P36)/lambda_thin)+'Thin theory'!I$44*EXP(-PI()*(L-P36)/lambda_thin)*SIN(PI()*(L-P36)/lambda_thin)+'Thin theory'!I$45*EXP(PI()*(L-P36)/lambda_thin)*COS(PI()*(L-P36)/lambda_thin)+'Thin theory'!I$46*EXP(PI()*(L-P36)/lambda_thin)*SIN(PI()*(L-P36)/lambda_thin)+wm</f>
        <v>8.1308812752471273E-6</v>
      </c>
      <c r="R36" s="38">
        <f>'Thin theory'!I$43*2*(PI()/lambda_thin)^2*EXP(-PI()*(L-P36)/lambda_thin)*SIN(PI()*(L-P36)/lambda_thin)-'Thin theory'!I$44*2*(PI()/lambda_thin)^2*EXP(-PI()*(L-P36)/lambda_thin)*COS(PI()*(L-P36)/lambda_thin)-'Thin theory'!I$45*2*(PI()/lambda_thin)^2*EXP(PI()*(L-P36)/lambda_thin)*SIN(PI()*(L-P36)/lambda_thin)+'Thin theory'!I$46*2*(PI()/lambda_thin)^2*EXP(PI()*(L-P36)/lambda_thin)*COS(PI()*(L-P36)/lambda_thin)</f>
        <v>-4.2298420658799085E-7</v>
      </c>
      <c r="S36" s="38">
        <f>(L-P36)*Nz/Cs-nu/rad*(wm*(L-P36)+'Thin theory'!I$43*0.5*lambda_thin/PI()*(1-EXP(-PI()*(L-P36)/lambda_thin)*(COS(PI()*(L-P36)/lambda_thin)-SIN(PI()*(L-P36)/lambda_thin)))+'Thin theory'!I$44*0.5*lambda_thin/PI()*(1-EXP(-PI()*(L-P36)/lambda_thin)*(COS(PI()*(L-P36)/lambda_thin)+SIN(PI()*(L-P36)/lambda_thin)))+'Thin theory'!I$45*0.5*lambda_thin/PI()*(-1+EXP(PI()*(L-P36)/lambda_thin)*(COS(PI()*(L-P36)/lambda_thin)+SIN(PI()*(L-P36)/lambda_thin)))+'Thin theory'!I$46*0.5*lambda_thin/PI()*(1+EXP(PI()*(L-P36)/lambda_thin)*(SIN(PI()*(L-P36)/lambda_thin)-COS(PI()*(L-P36)/lambda_thin))))</f>
        <v>-3.6170971893839809E-5</v>
      </c>
      <c r="T36" s="38">
        <f t="shared" si="12"/>
        <v>3.6170971893839809E-5</v>
      </c>
      <c r="U36" s="38">
        <f t="shared" si="14"/>
        <v>-5.0378528765148286E-6</v>
      </c>
      <c r="V36" s="38">
        <f t="shared" si="15"/>
        <v>-1</v>
      </c>
      <c r="W36" s="38">
        <f t="shared" si="16"/>
        <v>2.5235251009885003E-2</v>
      </c>
      <c r="X36" s="38">
        <f t="shared" si="17"/>
        <v>-7.7469634906225425E-3</v>
      </c>
      <c r="Y36" s="38">
        <f t="shared" si="18"/>
        <v>-2.3240890471867628E-3</v>
      </c>
      <c r="Z36" s="38">
        <f t="shared" si="19"/>
        <v>-1.0464817809437352</v>
      </c>
      <c r="AA36" s="38">
        <f t="shared" si="20"/>
        <v>-1</v>
      </c>
      <c r="AB36" s="38">
        <f t="shared" si="21"/>
        <v>-0.95351821905626477</v>
      </c>
      <c r="AC36" s="38">
        <f t="shared" si="22"/>
        <v>1.1290716726764426E-2</v>
      </c>
      <c r="AD36" s="38">
        <f t="shared" si="23"/>
        <v>2.5235251009885003E-2</v>
      </c>
      <c r="AE36" s="38">
        <f t="shared" si="24"/>
        <v>3.917978529300558E-2</v>
      </c>
    </row>
    <row r="37" spans="7:31" x14ac:dyDescent="0.3">
      <c r="G37" s="73" t="s">
        <v>21</v>
      </c>
      <c r="H37" s="1" t="s">
        <v>128</v>
      </c>
      <c r="I37" s="1">
        <f>J7</f>
        <v>1.6005351023964912E-3</v>
      </c>
      <c r="J37" s="1">
        <f>J8</f>
        <v>2.3183783973185009E-4</v>
      </c>
      <c r="K37" s="1">
        <f>J9</f>
        <v>611.95133816933617</v>
      </c>
      <c r="L37" s="1">
        <f>J10</f>
        <v>88.641277563838329</v>
      </c>
      <c r="M37" s="1">
        <f>-wm</f>
        <v>-7.5000000000000002E-6</v>
      </c>
      <c r="N37" s="2"/>
      <c r="O37" s="34">
        <v>36</v>
      </c>
      <c r="P37" s="38">
        <f t="shared" si="13"/>
        <v>3.9131189606246144</v>
      </c>
      <c r="Q37" s="38">
        <f>'Thin theory'!I$43*EXP(-PI()*(L-P37)/lambda_thin)*COS(PI()*(L-P37)/lambda_thin)+'Thin theory'!I$44*EXP(-PI()*(L-P37)/lambda_thin)*SIN(PI()*(L-P37)/lambda_thin)+'Thin theory'!I$45*EXP(PI()*(L-P37)/lambda_thin)*COS(PI()*(L-P37)/lambda_thin)+'Thin theory'!I$46*EXP(PI()*(L-P37)/lambda_thin)*SIN(PI()*(L-P37)/lambda_thin)+wm</f>
        <v>8.1535815804765296E-6</v>
      </c>
      <c r="R37" s="38">
        <f>'Thin theory'!I$43*2*(PI()/lambda_thin)^2*EXP(-PI()*(L-P37)/lambda_thin)*SIN(PI()*(L-P37)/lambda_thin)-'Thin theory'!I$44*2*(PI()/lambda_thin)^2*EXP(-PI()*(L-P37)/lambda_thin)*COS(PI()*(L-P37)/lambda_thin)-'Thin theory'!I$45*2*(PI()/lambda_thin)^2*EXP(PI()*(L-P37)/lambda_thin)*SIN(PI()*(L-P37)/lambda_thin)+'Thin theory'!I$46*2*(PI()/lambda_thin)^2*EXP(PI()*(L-P37)/lambda_thin)*COS(PI()*(L-P37)/lambda_thin)</f>
        <v>-3.7901775548836449E-7</v>
      </c>
      <c r="S37" s="38">
        <f>(L-P37)*Nz/Cs-nu/rad*(wm*(L-P37)+'Thin theory'!I$43*0.5*lambda_thin/PI()*(1-EXP(-PI()*(L-P37)/lambda_thin)*(COS(PI()*(L-P37)/lambda_thin)-SIN(PI()*(L-P37)/lambda_thin)))+'Thin theory'!I$44*0.5*lambda_thin/PI()*(1-EXP(-PI()*(L-P37)/lambda_thin)*(COS(PI()*(L-P37)/lambda_thin)+SIN(PI()*(L-P37)/lambda_thin)))+'Thin theory'!I$45*0.5*lambda_thin/PI()*(-1+EXP(PI()*(L-P37)/lambda_thin)*(COS(PI()*(L-P37)/lambda_thin)+SIN(PI()*(L-P37)/lambda_thin)))+'Thin theory'!I$46*0.5*lambda_thin/PI()*(1+EXP(PI()*(L-P37)/lambda_thin)*(SIN(PI()*(L-P37)/lambda_thin)-COS(PI()*(L-P37)/lambda_thin))))</f>
        <v>-3.560764388044761E-5</v>
      </c>
      <c r="T37" s="38">
        <f t="shared" si="12"/>
        <v>3.560764388044761E-5</v>
      </c>
      <c r="U37" s="38">
        <f t="shared" si="14"/>
        <v>-5.0392148948285922E-6</v>
      </c>
      <c r="V37" s="38">
        <f t="shared" si="15"/>
        <v>-1</v>
      </c>
      <c r="W37" s="38">
        <f t="shared" si="16"/>
        <v>2.6143263219061155E-2</v>
      </c>
      <c r="X37" s="38">
        <f t="shared" si="17"/>
        <v>-6.9417171334865291E-3</v>
      </c>
      <c r="Y37" s="38">
        <f t="shared" si="18"/>
        <v>-2.0825151400459588E-3</v>
      </c>
      <c r="Z37" s="38">
        <f t="shared" si="19"/>
        <v>-1.0416503028009192</v>
      </c>
      <c r="AA37" s="38">
        <f t="shared" si="20"/>
        <v>-1</v>
      </c>
      <c r="AB37" s="38">
        <f t="shared" si="21"/>
        <v>-0.95834969719908081</v>
      </c>
      <c r="AC37" s="38">
        <f t="shared" si="22"/>
        <v>1.3648172378785402E-2</v>
      </c>
      <c r="AD37" s="38">
        <f t="shared" si="23"/>
        <v>2.6143263219061155E-2</v>
      </c>
      <c r="AE37" s="38">
        <f t="shared" si="24"/>
        <v>3.863835405933691E-2</v>
      </c>
    </row>
    <row r="38" spans="7:31" x14ac:dyDescent="0.3">
      <c r="G38" s="73"/>
      <c r="H38" s="1" t="s">
        <v>129</v>
      </c>
      <c r="I38" s="1">
        <f>J15</f>
        <v>1.532235909424288E-4</v>
      </c>
      <c r="J38" s="1">
        <f>J16</f>
        <v>-1.0578071987827752E-3</v>
      </c>
      <c r="K38" s="1">
        <f>J17</f>
        <v>-58.583770750128991</v>
      </c>
      <c r="L38" s="1">
        <f>J18</f>
        <v>404.44381997685036</v>
      </c>
      <c r="M38" s="1">
        <f>0</f>
        <v>0</v>
      </c>
      <c r="N38" s="2"/>
      <c r="O38" s="34">
        <v>37</v>
      </c>
      <c r="P38" s="38">
        <f t="shared" si="13"/>
        <v>4.0249223594996035</v>
      </c>
      <c r="Q38" s="38">
        <f>'Thin theory'!I$43*EXP(-PI()*(L-P38)/lambda_thin)*COS(PI()*(L-P38)/lambda_thin)+'Thin theory'!I$44*EXP(-PI()*(L-P38)/lambda_thin)*SIN(PI()*(L-P38)/lambda_thin)+'Thin theory'!I$45*EXP(PI()*(L-P38)/lambda_thin)*COS(PI()*(L-P38)/lambda_thin)+'Thin theory'!I$46*EXP(PI()*(L-P38)/lambda_thin)*SIN(PI()*(L-P38)/lambda_thin)+wm</f>
        <v>8.171540447415431E-6</v>
      </c>
      <c r="R38" s="38">
        <f>'Thin theory'!I$43*2*(PI()/lambda_thin)^2*EXP(-PI()*(L-P38)/lambda_thin)*SIN(PI()*(L-P38)/lambda_thin)-'Thin theory'!I$44*2*(PI()/lambda_thin)^2*EXP(-PI()*(L-P38)/lambda_thin)*COS(PI()*(L-P38)/lambda_thin)-'Thin theory'!I$45*2*(PI()/lambda_thin)^2*EXP(PI()*(L-P38)/lambda_thin)*SIN(PI()*(L-P38)/lambda_thin)+'Thin theory'!I$46*2*(PI()/lambda_thin)^2*EXP(PI()*(L-P38)/lambda_thin)*COS(PI()*(L-P38)/lambda_thin)</f>
        <v>-3.3861770347820476E-7</v>
      </c>
      <c r="S38" s="38">
        <f>(L-P38)*Nz/Cs-nu/rad*(wm*(L-P38)+'Thin theory'!I$43*0.5*lambda_thin/PI()*(1-EXP(-PI()*(L-P38)/lambda_thin)*(COS(PI()*(L-P38)/lambda_thin)-SIN(PI()*(L-P38)/lambda_thin)))+'Thin theory'!I$44*0.5*lambda_thin/PI()*(1-EXP(-PI()*(L-P38)/lambda_thin)*(COS(PI()*(L-P38)/lambda_thin)+SIN(PI()*(L-P38)/lambda_thin)))+'Thin theory'!I$45*0.5*lambda_thin/PI()*(-1+EXP(PI()*(L-P38)/lambda_thin)*(COS(PI()*(L-P38)/lambda_thin)+SIN(PI()*(L-P38)/lambda_thin)))+'Thin theory'!I$46*0.5*lambda_thin/PI()*(1+EXP(PI()*(L-P38)/lambda_thin)*(SIN(PI()*(L-P38)/lambda_thin)-COS(PI()*(L-P38)/lambda_thin))))</f>
        <v>-3.504417978688787E-5</v>
      </c>
      <c r="T38" s="38">
        <f t="shared" si="12"/>
        <v>3.504417978688787E-5</v>
      </c>
      <c r="U38" s="38">
        <f t="shared" si="14"/>
        <v>-5.0402924268449265E-6</v>
      </c>
      <c r="V38" s="38">
        <f t="shared" si="15"/>
        <v>-1</v>
      </c>
      <c r="W38" s="38">
        <f t="shared" si="16"/>
        <v>2.6861617896617198E-2</v>
      </c>
      <c r="X38" s="38">
        <f t="shared" si="17"/>
        <v>-6.2017894409927615E-3</v>
      </c>
      <c r="Y38" s="38">
        <f t="shared" si="18"/>
        <v>-1.8605368322978284E-3</v>
      </c>
      <c r="Z38" s="38">
        <f t="shared" si="19"/>
        <v>-1.0372107366459566</v>
      </c>
      <c r="AA38" s="38">
        <f t="shared" si="20"/>
        <v>-1</v>
      </c>
      <c r="AB38" s="38">
        <f t="shared" si="21"/>
        <v>-0.96278926335404347</v>
      </c>
      <c r="AC38" s="38">
        <f t="shared" si="22"/>
        <v>1.5698396902830227E-2</v>
      </c>
      <c r="AD38" s="38">
        <f t="shared" si="23"/>
        <v>2.6861617896617198E-2</v>
      </c>
      <c r="AE38" s="38">
        <f t="shared" si="24"/>
        <v>3.8024838890404172E-2</v>
      </c>
    </row>
    <row r="39" spans="7:31" x14ac:dyDescent="0.3">
      <c r="G39" s="73" t="s">
        <v>22</v>
      </c>
      <c r="H39" s="1" t="s">
        <v>130</v>
      </c>
      <c r="I39" s="1">
        <f>J20</f>
        <v>1</v>
      </c>
      <c r="J39" s="1">
        <f>J21</f>
        <v>0</v>
      </c>
      <c r="K39" s="1">
        <f>J22</f>
        <v>1</v>
      </c>
      <c r="L39" s="1">
        <f>J23</f>
        <v>0</v>
      </c>
      <c r="M39" s="1">
        <f>-wm</f>
        <v>-7.5000000000000002E-6</v>
      </c>
      <c r="N39" s="2"/>
      <c r="O39" s="34">
        <v>38</v>
      </c>
      <c r="P39" s="38">
        <f t="shared" si="13"/>
        <v>4.1367257583745927</v>
      </c>
      <c r="Q39" s="38">
        <f>'Thin theory'!I$43*EXP(-PI()*(L-P39)/lambda_thin)*COS(PI()*(L-P39)/lambda_thin)+'Thin theory'!I$44*EXP(-PI()*(L-P39)/lambda_thin)*SIN(PI()*(L-P39)/lambda_thin)+'Thin theory'!I$45*EXP(PI()*(L-P39)/lambda_thin)*COS(PI()*(L-P39)/lambda_thin)+'Thin theory'!I$46*EXP(PI()*(L-P39)/lambda_thin)*SIN(PI()*(L-P39)/lambda_thin)+wm</f>
        <v>8.1852627744771693E-6</v>
      </c>
      <c r="R39" s="38">
        <f>'Thin theory'!I$43*2*(PI()/lambda_thin)^2*EXP(-PI()*(L-P39)/lambda_thin)*SIN(PI()*(L-P39)/lambda_thin)-'Thin theory'!I$44*2*(PI()/lambda_thin)^2*EXP(-PI()*(L-P39)/lambda_thin)*COS(PI()*(L-P39)/lambda_thin)-'Thin theory'!I$45*2*(PI()/lambda_thin)^2*EXP(PI()*(L-P39)/lambda_thin)*SIN(PI()*(L-P39)/lambda_thin)+'Thin theory'!I$46*2*(PI()/lambda_thin)^2*EXP(PI()*(L-P39)/lambda_thin)*COS(PI()*(L-P39)/lambda_thin)</f>
        <v>-3.0188233572769506E-7</v>
      </c>
      <c r="S39" s="38">
        <f>(L-P39)*Nz/Cs-nu/rad*(wm*(L-P39)+'Thin theory'!I$43*0.5*lambda_thin/PI()*(1-EXP(-PI()*(L-P39)/lambda_thin)*(COS(PI()*(L-P39)/lambda_thin)-SIN(PI()*(L-P39)/lambda_thin)))+'Thin theory'!I$44*0.5*lambda_thin/PI()*(1-EXP(-PI()*(L-P39)/lambda_thin)*(COS(PI()*(L-P39)/lambda_thin)+SIN(PI()*(L-P39)/lambda_thin)))+'Thin theory'!I$45*0.5*lambda_thin/PI()*(-1+EXP(PI()*(L-P39)/lambda_thin)*(COS(PI()*(L-P39)/lambda_thin)+SIN(PI()*(L-P39)/lambda_thin)))+'Thin theory'!I$46*0.5*lambda_thin/PI()*(1+EXP(PI()*(L-P39)/lambda_thin)*(SIN(PI()*(L-P39)/lambda_thin)-COS(PI()*(L-P39)/lambda_thin))))</f>
        <v>-3.4480609700933358E-5</v>
      </c>
      <c r="T39" s="38">
        <f t="shared" si="12"/>
        <v>3.4480609700933358E-5</v>
      </c>
      <c r="U39" s="38">
        <f t="shared" si="14"/>
        <v>-5.0411157664686308E-6</v>
      </c>
      <c r="V39" s="38">
        <f t="shared" si="15"/>
        <v>-1</v>
      </c>
      <c r="W39" s="38">
        <f t="shared" si="16"/>
        <v>2.7410510979086745E-2</v>
      </c>
      <c r="X39" s="38">
        <f t="shared" si="17"/>
        <v>-5.5289805078332427E-3</v>
      </c>
      <c r="Y39" s="38">
        <f t="shared" si="18"/>
        <v>-1.6586941523499728E-3</v>
      </c>
      <c r="Z39" s="38">
        <f t="shared" si="19"/>
        <v>-1.0331738830469994</v>
      </c>
      <c r="AA39" s="38">
        <f t="shared" si="20"/>
        <v>-1</v>
      </c>
      <c r="AB39" s="38">
        <f t="shared" si="21"/>
        <v>-0.96682611695300058</v>
      </c>
      <c r="AC39" s="38">
        <f t="shared" si="22"/>
        <v>1.7458346064986908E-2</v>
      </c>
      <c r="AD39" s="38">
        <f t="shared" si="23"/>
        <v>2.7410510979086745E-2</v>
      </c>
      <c r="AE39" s="38">
        <f t="shared" si="24"/>
        <v>3.7362675893186578E-2</v>
      </c>
    </row>
    <row r="40" spans="7:31" x14ac:dyDescent="0.3">
      <c r="G40" s="73"/>
      <c r="H40" s="1" t="s">
        <v>131</v>
      </c>
      <c r="I40" s="1">
        <f>J24</f>
        <v>-0.57485148763586413</v>
      </c>
      <c r="J40" s="1">
        <f>J25</f>
        <v>0.57485148763586413</v>
      </c>
      <c r="K40" s="1">
        <f>J26</f>
        <v>0.57485148763586413</v>
      </c>
      <c r="L40" s="1">
        <f>J27</f>
        <v>0.57485148763586413</v>
      </c>
      <c r="M40" s="1">
        <f>0</f>
        <v>0</v>
      </c>
      <c r="N40" s="2"/>
      <c r="O40" s="34">
        <v>39</v>
      </c>
      <c r="P40" s="38">
        <f t="shared" si="13"/>
        <v>4.2485291572495818</v>
      </c>
      <c r="Q40" s="38">
        <f>'Thin theory'!I$43*EXP(-PI()*(L-P40)/lambda_thin)*COS(PI()*(L-P40)/lambda_thin)+'Thin theory'!I$44*EXP(-PI()*(L-P40)/lambda_thin)*SIN(PI()*(L-P40)/lambda_thin)+'Thin theory'!I$45*EXP(PI()*(L-P40)/lambda_thin)*COS(PI()*(L-P40)/lambda_thin)+'Thin theory'!I$46*EXP(PI()*(L-P40)/lambda_thin)*SIN(PI()*(L-P40)/lambda_thin)+wm</f>
        <v>8.1952076756258387E-6</v>
      </c>
      <c r="R40" s="38">
        <f>'Thin theory'!I$43*2*(PI()/lambda_thin)^2*EXP(-PI()*(L-P40)/lambda_thin)*SIN(PI()*(L-P40)/lambda_thin)-'Thin theory'!I$44*2*(PI()/lambda_thin)^2*EXP(-PI()*(L-P40)/lambda_thin)*COS(PI()*(L-P40)/lambda_thin)-'Thin theory'!I$45*2*(PI()/lambda_thin)^2*EXP(PI()*(L-P40)/lambda_thin)*SIN(PI()*(L-P40)/lambda_thin)+'Thin theory'!I$46*2*(PI()/lambda_thin)^2*EXP(PI()*(L-P40)/lambda_thin)*COS(PI()*(L-P40)/lambda_thin)</f>
        <v>-2.6888678506078282E-7</v>
      </c>
      <c r="S40" s="38">
        <f>(L-P40)*Nz/Cs-nu/rad*(wm*(L-P40)+'Thin theory'!I$43*0.5*lambda_thin/PI()*(1-EXP(-PI()*(L-P40)/lambda_thin)*(COS(PI()*(L-P40)/lambda_thin)-SIN(PI()*(L-P40)/lambda_thin)))+'Thin theory'!I$44*0.5*lambda_thin/PI()*(1-EXP(-PI()*(L-P40)/lambda_thin)*(COS(PI()*(L-P40)/lambda_thin)+SIN(PI()*(L-P40)/lambda_thin)))+'Thin theory'!I$45*0.5*lambda_thin/PI()*(-1+EXP(PI()*(L-P40)/lambda_thin)*(COS(PI()*(L-P40)/lambda_thin)+SIN(PI()*(L-P40)/lambda_thin)))+'Thin theory'!I$46*0.5*lambda_thin/PI()*(1+EXP(PI()*(L-P40)/lambda_thin)*(SIN(PI()*(L-P40)/lambda_thin)-COS(PI()*(L-P40)/lambda_thin))))</f>
        <v>-3.3916960476356962E-5</v>
      </c>
      <c r="T40" s="38">
        <f t="shared" si="12"/>
        <v>3.3916960476356962E-5</v>
      </c>
      <c r="U40" s="38">
        <f t="shared" si="14"/>
        <v>-5.0417124605375511E-6</v>
      </c>
      <c r="V40" s="38">
        <f t="shared" si="15"/>
        <v>-1</v>
      </c>
      <c r="W40" s="38">
        <f t="shared" si="16"/>
        <v>2.7808307025033476E-2</v>
      </c>
      <c r="X40" s="38">
        <f t="shared" si="17"/>
        <v>-4.9246663930546308E-3</v>
      </c>
      <c r="Y40" s="38">
        <f t="shared" si="18"/>
        <v>-1.4773999179163893E-3</v>
      </c>
      <c r="Z40" s="38">
        <f t="shared" si="19"/>
        <v>-1.0295479983583278</v>
      </c>
      <c r="AA40" s="38">
        <f t="shared" si="20"/>
        <v>-1</v>
      </c>
      <c r="AB40" s="38">
        <f t="shared" si="21"/>
        <v>-0.97045200164167222</v>
      </c>
      <c r="AC40" s="38">
        <f t="shared" si="22"/>
        <v>1.8943907517535143E-2</v>
      </c>
      <c r="AD40" s="38">
        <f t="shared" si="23"/>
        <v>2.7808307025033476E-2</v>
      </c>
      <c r="AE40" s="38">
        <f t="shared" si="24"/>
        <v>3.667270653253181E-2</v>
      </c>
    </row>
    <row r="41" spans="7:31" x14ac:dyDescent="0.3">
      <c r="G41" s="2"/>
      <c r="H41" s="2"/>
      <c r="I41" s="63" t="s">
        <v>144</v>
      </c>
      <c r="J41" s="63"/>
      <c r="K41" s="63"/>
      <c r="L41" s="63"/>
      <c r="M41" s="63"/>
      <c r="N41" s="2"/>
      <c r="O41" s="34">
        <v>40</v>
      </c>
      <c r="P41" s="38">
        <f t="shared" si="13"/>
        <v>4.3603325561245709</v>
      </c>
      <c r="Q41" s="38">
        <f>'Thin theory'!I$43*EXP(-PI()*(L-P41)/lambda_thin)*COS(PI()*(L-P41)/lambda_thin)+'Thin theory'!I$44*EXP(-PI()*(L-P41)/lambda_thin)*SIN(PI()*(L-P41)/lambda_thin)+'Thin theory'!I$45*EXP(PI()*(L-P41)/lambda_thin)*COS(PI()*(L-P41)/lambda_thin)+'Thin theory'!I$46*EXP(PI()*(L-P41)/lambda_thin)*SIN(PI()*(L-P41)/lambda_thin)+wm</f>
        <v>8.2017875386049589E-6</v>
      </c>
      <c r="R41" s="38">
        <f>'Thin theory'!I$43*2*(PI()/lambda_thin)^2*EXP(-PI()*(L-P41)/lambda_thin)*SIN(PI()*(L-P41)/lambda_thin)-'Thin theory'!I$44*2*(PI()/lambda_thin)^2*EXP(-PI()*(L-P41)/lambda_thin)*COS(PI()*(L-P41)/lambda_thin)-'Thin theory'!I$45*2*(PI()/lambda_thin)^2*EXP(PI()*(L-P41)/lambda_thin)*SIN(PI()*(L-P41)/lambda_thin)+'Thin theory'!I$46*2*(PI()/lambda_thin)^2*EXP(PI()*(L-P41)/lambda_thin)*COS(PI()*(L-P41)/lambda_thin)</f>
        <v>-2.3968553828963297E-7</v>
      </c>
      <c r="S41" s="38">
        <f>(L-P41)*Nz/Cs-nu/rad*(wm*(L-P41)+'Thin theory'!I$43*0.5*lambda_thin/PI()*(1-EXP(-PI()*(L-P41)/lambda_thin)*(COS(PI()*(L-P41)/lambda_thin)-SIN(PI()*(L-P41)/lambda_thin)))+'Thin theory'!I$44*0.5*lambda_thin/PI()*(1-EXP(-PI()*(L-P41)/lambda_thin)*(COS(PI()*(L-P41)/lambda_thin)+SIN(PI()*(L-P41)/lambda_thin)))+'Thin theory'!I$45*0.5*lambda_thin/PI()*(-1+EXP(PI()*(L-P41)/lambda_thin)*(COS(PI()*(L-P41)/lambda_thin)+SIN(PI()*(L-P41)/lambda_thin)))+'Thin theory'!I$46*0.5*lambda_thin/PI()*(1+EXP(PI()*(L-P41)/lambda_thin)*(SIN(PI()*(L-P41)/lambda_thin)-COS(PI()*(L-P41)/lambda_thin))))</f>
        <v>-3.3353256043374746E-5</v>
      </c>
      <c r="T41" s="38">
        <f t="shared" si="12"/>
        <v>3.3353256043374746E-5</v>
      </c>
      <c r="U41" s="38">
        <f t="shared" si="14"/>
        <v>-5.0421072523162982E-6</v>
      </c>
      <c r="V41" s="38">
        <f t="shared" si="15"/>
        <v>-1</v>
      </c>
      <c r="W41" s="38">
        <f t="shared" si="16"/>
        <v>2.8071501544198338E-2</v>
      </c>
      <c r="X41" s="38">
        <f t="shared" si="17"/>
        <v>-4.3898450236196512E-3</v>
      </c>
      <c r="Y41" s="38">
        <f t="shared" si="18"/>
        <v>-1.3169535070858952E-3</v>
      </c>
      <c r="Z41" s="38">
        <f t="shared" si="19"/>
        <v>-1.0263390701417179</v>
      </c>
      <c r="AA41" s="38">
        <f t="shared" si="20"/>
        <v>-1</v>
      </c>
      <c r="AB41" s="38">
        <f t="shared" si="21"/>
        <v>-0.97366092985828212</v>
      </c>
      <c r="AC41" s="38">
        <f t="shared" si="22"/>
        <v>2.0169780501682964E-2</v>
      </c>
      <c r="AD41" s="38">
        <f t="shared" si="23"/>
        <v>2.8071501544198338E-2</v>
      </c>
      <c r="AE41" s="38">
        <f t="shared" si="24"/>
        <v>3.5973222586713711E-2</v>
      </c>
    </row>
    <row r="42" spans="7:31" x14ac:dyDescent="0.3">
      <c r="G42" s="2"/>
      <c r="H42" s="2"/>
      <c r="I42" s="43" t="s">
        <v>106</v>
      </c>
      <c r="J42" s="2"/>
      <c r="K42" s="2"/>
      <c r="L42" s="2"/>
      <c r="M42" s="2"/>
      <c r="N42" s="2"/>
      <c r="O42" s="34">
        <v>41</v>
      </c>
      <c r="P42" s="38">
        <f t="shared" si="13"/>
        <v>4.4721359549995601</v>
      </c>
      <c r="Q42" s="38">
        <f>'Thin theory'!I$43*EXP(-PI()*(L-P42)/lambda_thin)*COS(PI()*(L-P42)/lambda_thin)+'Thin theory'!I$44*EXP(-PI()*(L-P42)/lambda_thin)*SIN(PI()*(L-P42)/lambda_thin)+'Thin theory'!I$45*EXP(PI()*(L-P42)/lambda_thin)*COS(PI()*(L-P42)/lambda_thin)+'Thin theory'!I$46*EXP(PI()*(L-P42)/lambda_thin)*SIN(PI()*(L-P42)/lambda_thin)+wm</f>
        <v>8.2053673415069986E-6</v>
      </c>
      <c r="R42" s="38">
        <f>'Thin theory'!I$43*2*(PI()/lambda_thin)^2*EXP(-PI()*(L-P42)/lambda_thin)*SIN(PI()*(L-P42)/lambda_thin)-'Thin theory'!I$44*2*(PI()/lambda_thin)^2*EXP(-PI()*(L-P42)/lambda_thin)*COS(PI()*(L-P42)/lambda_thin)-'Thin theory'!I$45*2*(PI()/lambda_thin)^2*EXP(PI()*(L-P42)/lambda_thin)*SIN(PI()*(L-P42)/lambda_thin)+'Thin theory'!I$46*2*(PI()/lambda_thin)^2*EXP(PI()*(L-P42)/lambda_thin)*COS(PI()*(L-P42)/lambda_thin)</f>
        <v>-2.1431468754138473E-7</v>
      </c>
      <c r="S42" s="38">
        <f>(L-P42)*Nz/Cs-nu/rad*(wm*(L-P42)+'Thin theory'!I$43*0.5*lambda_thin/PI()*(1-EXP(-PI()*(L-P42)/lambda_thin)*(COS(PI()*(L-P42)/lambda_thin)-SIN(PI()*(L-P42)/lambda_thin)))+'Thin theory'!I$44*0.5*lambda_thin/PI()*(1-EXP(-PI()*(L-P42)/lambda_thin)*(COS(PI()*(L-P42)/lambda_thin)+SIN(PI()*(L-P42)/lambda_thin)))+'Thin theory'!I$45*0.5*lambda_thin/PI()*(-1+EXP(PI()*(L-P42)/lambda_thin)*(COS(PI()*(L-P42)/lambda_thin)+SIN(PI()*(L-P42)/lambda_thin)))+'Thin theory'!I$46*0.5*lambda_thin/PI()*(1+EXP(PI()*(L-P42)/lambda_thin)*(SIN(PI()*(L-P42)/lambda_thin)-COS(PI()*(L-P42)/lambda_thin))))</f>
        <v>-3.2789517724523538E-5</v>
      </c>
      <c r="T42" s="38">
        <f t="shared" si="12"/>
        <v>3.2789517724523538E-5</v>
      </c>
      <c r="U42" s="38">
        <f t="shared" si="14"/>
        <v>-5.0423220404904205E-6</v>
      </c>
      <c r="V42" s="38">
        <f t="shared" si="15"/>
        <v>-1</v>
      </c>
      <c r="W42" s="38">
        <f t="shared" si="16"/>
        <v>2.8214693660279892E-2</v>
      </c>
      <c r="X42" s="38">
        <f t="shared" si="17"/>
        <v>-3.9251774274978888E-3</v>
      </c>
      <c r="Y42" s="38">
        <f t="shared" si="18"/>
        <v>-1.1775532282493667E-3</v>
      </c>
      <c r="Z42" s="38">
        <f t="shared" si="19"/>
        <v>-1.0235510645649872</v>
      </c>
      <c r="AA42" s="38">
        <f t="shared" si="20"/>
        <v>-1</v>
      </c>
      <c r="AB42" s="38">
        <f t="shared" si="21"/>
        <v>-0.97644893543501265</v>
      </c>
      <c r="AC42" s="38">
        <f t="shared" si="22"/>
        <v>2.1149374290783694E-2</v>
      </c>
      <c r="AD42" s="38">
        <f t="shared" si="23"/>
        <v>2.8214693660279892E-2</v>
      </c>
      <c r="AE42" s="38">
        <f t="shared" si="24"/>
        <v>3.528001302977609E-2</v>
      </c>
    </row>
    <row r="43" spans="7:31" x14ac:dyDescent="0.3">
      <c r="G43" s="2"/>
      <c r="H43" s="2"/>
      <c r="I43" s="10" cm="1">
        <f t="array" ref="I43:I46">MMULT(MINVERSE(I37:L40),M37:M40)</f>
        <v>-7.4880203133039997E-6</v>
      </c>
      <c r="J43" s="2"/>
      <c r="K43" s="2"/>
      <c r="L43" s="2"/>
      <c r="M43" s="2"/>
      <c r="N43" s="2"/>
      <c r="O43" s="34">
        <v>42</v>
      </c>
      <c r="P43" s="38">
        <f t="shared" si="13"/>
        <v>4.5839393538745483</v>
      </c>
      <c r="Q43" s="38">
        <f>'Thin theory'!I$43*EXP(-PI()*(L-P43)/lambda_thin)*COS(PI()*(L-P43)/lambda_thin)+'Thin theory'!I$44*EXP(-PI()*(L-P43)/lambda_thin)*SIN(PI()*(L-P43)/lambda_thin)+'Thin theory'!I$45*EXP(PI()*(L-P43)/lambda_thin)*COS(PI()*(L-P43)/lambda_thin)+'Thin theory'!I$46*EXP(PI()*(L-P43)/lambda_thin)*SIN(PI()*(L-P43)/lambda_thin)+wm</f>
        <v>8.2062641995460626E-6</v>
      </c>
      <c r="R43" s="38">
        <f>'Thin theory'!I$43*2*(PI()/lambda_thin)^2*EXP(-PI()*(L-P43)/lambda_thin)*SIN(PI()*(L-P43)/lambda_thin)-'Thin theory'!I$44*2*(PI()/lambda_thin)^2*EXP(-PI()*(L-P43)/lambda_thin)*COS(PI()*(L-P43)/lambda_thin)-'Thin theory'!I$45*2*(PI()/lambda_thin)^2*EXP(PI()*(L-P43)/lambda_thin)*SIN(PI()*(L-P43)/lambda_thin)+'Thin theory'!I$46*2*(PI()/lambda_thin)^2*EXP(PI()*(L-P43)/lambda_thin)*COS(PI()*(L-P43)/lambda_thin)</f>
        <v>-1.9279392283288552E-7</v>
      </c>
      <c r="S43" s="38">
        <f>(L-P43)*Nz/Cs-nu/rad*(wm*(L-P43)+'Thin theory'!I$43*0.5*lambda_thin/PI()*(1-EXP(-PI()*(L-P43)/lambda_thin)*(COS(PI()*(L-P43)/lambda_thin)-SIN(PI()*(L-P43)/lambda_thin)))+'Thin theory'!I$44*0.5*lambda_thin/PI()*(1-EXP(-PI()*(L-P43)/lambda_thin)*(COS(PI()*(L-P43)/lambda_thin)+SIN(PI()*(L-P43)/lambda_thin)))+'Thin theory'!I$45*0.5*lambda_thin/PI()*(-1+EXP(PI()*(L-P43)/lambda_thin)*(COS(PI()*(L-P43)/lambda_thin)+SIN(PI()*(L-P43)/lambda_thin)))+'Thin theory'!I$46*0.5*lambda_thin/PI()*(1+EXP(PI()*(L-P43)/lambda_thin)*(SIN(PI()*(L-P43)/lambda_thin)-COS(PI()*(L-P43)/lambda_thin))))</f>
        <v>-3.2225764554336051E-5</v>
      </c>
      <c r="T43" s="38">
        <f t="shared" si="12"/>
        <v>3.2225764554336051E-5</v>
      </c>
      <c r="U43" s="38">
        <f t="shared" si="14"/>
        <v>-5.0423758519727639E-6</v>
      </c>
      <c r="V43" s="38">
        <f t="shared" si="15"/>
        <v>-1</v>
      </c>
      <c r="W43" s="38">
        <f t="shared" si="16"/>
        <v>2.8250567981842528E-2</v>
      </c>
      <c r="X43" s="38">
        <f t="shared" si="17"/>
        <v>-3.5310242277085259E-3</v>
      </c>
      <c r="Y43" s="38">
        <f t="shared" si="18"/>
        <v>-1.0593072683125577E-3</v>
      </c>
      <c r="Z43" s="38">
        <f t="shared" si="19"/>
        <v>-1.0211861453662512</v>
      </c>
      <c r="AA43" s="38">
        <f t="shared" si="20"/>
        <v>-1</v>
      </c>
      <c r="AB43" s="38">
        <f t="shared" si="21"/>
        <v>-0.97881385463374881</v>
      </c>
      <c r="AC43" s="38">
        <f t="shared" si="22"/>
        <v>2.1894724371967184E-2</v>
      </c>
      <c r="AD43" s="38">
        <f t="shared" si="23"/>
        <v>2.8250567981842528E-2</v>
      </c>
      <c r="AE43" s="38">
        <f t="shared" si="24"/>
        <v>3.4606411591717873E-2</v>
      </c>
    </row>
    <row r="44" spans="7:31" x14ac:dyDescent="0.3">
      <c r="G44" s="2"/>
      <c r="H44" s="2"/>
      <c r="I44" s="10">
        <v>-7.4742886546429407E-6</v>
      </c>
      <c r="J44" s="2"/>
      <c r="K44" s="2"/>
      <c r="L44" s="2"/>
      <c r="M44" s="2"/>
      <c r="N44" s="2"/>
      <c r="O44" s="34">
        <v>43</v>
      </c>
      <c r="P44" s="38">
        <f t="shared" si="13"/>
        <v>4.6957427527495375</v>
      </c>
      <c r="Q44" s="38">
        <f>'Thin theory'!I$43*EXP(-PI()*(L-P44)/lambda_thin)*COS(PI()*(L-P44)/lambda_thin)+'Thin theory'!I$44*EXP(-PI()*(L-P44)/lambda_thin)*SIN(PI()*(L-P44)/lambda_thin)+'Thin theory'!I$45*EXP(PI()*(L-P44)/lambda_thin)*COS(PI()*(L-P44)/lambda_thin)+'Thin theory'!I$46*EXP(PI()*(L-P44)/lambda_thin)*SIN(PI()*(L-P44)/lambda_thin)+wm</f>
        <v>8.2047471171291235E-6</v>
      </c>
      <c r="R44" s="38">
        <f>'Thin theory'!I$43*2*(PI()/lambda_thin)^2*EXP(-PI()*(L-P44)/lambda_thin)*SIN(PI()*(L-P44)/lambda_thin)-'Thin theory'!I$44*2*(PI()/lambda_thin)^2*EXP(-PI()*(L-P44)/lambda_thin)*COS(PI()*(L-P44)/lambda_thin)-'Thin theory'!I$45*2*(PI()/lambda_thin)^2*EXP(PI()*(L-P44)/lambda_thin)*SIN(PI()*(L-P44)/lambda_thin)+'Thin theory'!I$46*2*(PI()/lambda_thin)^2*EXP(PI()*(L-P44)/lambda_thin)*COS(PI()*(L-P44)/lambda_thin)</f>
        <v>-1.7512826340744466E-7</v>
      </c>
      <c r="S44" s="38">
        <f>(L-P44)*Nz/Cs-nu/rad*(wm*(L-P44)+'Thin theory'!I$43*0.5*lambda_thin/PI()*(1-EXP(-PI()*(L-P44)/lambda_thin)*(COS(PI()*(L-P44)/lambda_thin)-SIN(PI()*(L-P44)/lambda_thin)))+'Thin theory'!I$44*0.5*lambda_thin/PI()*(1-EXP(-PI()*(L-P44)/lambda_thin)*(COS(PI()*(L-P44)/lambda_thin)+SIN(PI()*(L-P44)/lambda_thin)))+'Thin theory'!I$45*0.5*lambda_thin/PI()*(-1+EXP(PI()*(L-P44)/lambda_thin)*(COS(PI()*(L-P44)/lambda_thin)+SIN(PI()*(L-P44)/lambda_thin)))+'Thin theory'!I$46*0.5*lambda_thin/PI()*(1+EXP(PI()*(L-P44)/lambda_thin)*(SIN(PI()*(L-P44)/lambda_thin)-COS(PI()*(L-P44)/lambda_thin))))</f>
        <v>-3.166201360135482E-5</v>
      </c>
      <c r="T44" s="38">
        <f t="shared" si="12"/>
        <v>3.166201360135482E-5</v>
      </c>
      <c r="U44" s="38">
        <f t="shared" si="14"/>
        <v>-5.0422848270277481E-6</v>
      </c>
      <c r="V44" s="38">
        <f t="shared" si="15"/>
        <v>-1</v>
      </c>
      <c r="W44" s="38">
        <f t="shared" si="16"/>
        <v>2.8189884685164906E-2</v>
      </c>
      <c r="X44" s="38">
        <f t="shared" si="17"/>
        <v>-3.2074773517847006E-3</v>
      </c>
      <c r="Y44" s="38">
        <f t="shared" si="18"/>
        <v>-9.6224320553541009E-4</v>
      </c>
      <c r="Z44" s="38">
        <f t="shared" si="19"/>
        <v>-1.0192448641107081</v>
      </c>
      <c r="AA44" s="38">
        <f t="shared" si="20"/>
        <v>-1</v>
      </c>
      <c r="AB44" s="38">
        <f t="shared" si="21"/>
        <v>-0.98075513588929175</v>
      </c>
      <c r="AC44" s="38">
        <f t="shared" si="22"/>
        <v>2.2416425451952444E-2</v>
      </c>
      <c r="AD44" s="38">
        <f t="shared" si="23"/>
        <v>2.8189884685164906E-2</v>
      </c>
      <c r="AE44" s="38">
        <f t="shared" si="24"/>
        <v>3.3963343918377367E-2</v>
      </c>
    </row>
    <row r="45" spans="7:31" x14ac:dyDescent="0.3">
      <c r="G45" s="2"/>
      <c r="H45" s="2"/>
      <c r="I45" s="10">
        <v>-1.1979686696000947E-8</v>
      </c>
      <c r="J45" s="2"/>
      <c r="K45" s="2"/>
      <c r="L45" s="2"/>
      <c r="M45" s="2"/>
      <c r="N45" s="2"/>
      <c r="O45" s="34">
        <v>44</v>
      </c>
      <c r="P45" s="38">
        <f t="shared" si="13"/>
        <v>4.8075461516245266</v>
      </c>
      <c r="Q45" s="38">
        <f>'Thin theory'!I$43*EXP(-PI()*(L-P45)/lambda_thin)*COS(PI()*(L-P45)/lambda_thin)+'Thin theory'!I$44*EXP(-PI()*(L-P45)/lambda_thin)*SIN(PI()*(L-P45)/lambda_thin)+'Thin theory'!I$45*EXP(PI()*(L-P45)/lambda_thin)*COS(PI()*(L-P45)/lambda_thin)+'Thin theory'!I$46*EXP(PI()*(L-P45)/lambda_thin)*SIN(PI()*(L-P45)/lambda_thin)+wm</f>
        <v>8.2010369235855438E-6</v>
      </c>
      <c r="R45" s="38">
        <f>'Thin theory'!I$43*2*(PI()/lambda_thin)^2*EXP(-PI()*(L-P45)/lambda_thin)*SIN(PI()*(L-P45)/lambda_thin)-'Thin theory'!I$44*2*(PI()/lambda_thin)^2*EXP(-PI()*(L-P45)/lambda_thin)*COS(PI()*(L-P45)/lambda_thin)-'Thin theory'!I$45*2*(PI()/lambda_thin)^2*EXP(PI()*(L-P45)/lambda_thin)*SIN(PI()*(L-P45)/lambda_thin)+'Thin theory'!I$46*2*(PI()/lambda_thin)^2*EXP(PI()*(L-P45)/lambda_thin)*COS(PI()*(L-P45)/lambda_thin)</f>
        <v>-1.6130952647006949E-7</v>
      </c>
      <c r="S45" s="38">
        <f>(L-P45)*Nz/Cs-nu/rad*(wm*(L-P45)+'Thin theory'!I$43*0.5*lambda_thin/PI()*(1-EXP(-PI()*(L-P45)/lambda_thin)*(COS(PI()*(L-P45)/lambda_thin)-SIN(PI()*(L-P45)/lambda_thin)))+'Thin theory'!I$44*0.5*lambda_thin/PI()*(1-EXP(-PI()*(L-P45)/lambda_thin)*(COS(PI()*(L-P45)/lambda_thin)+SIN(PI()*(L-P45)/lambda_thin)))+'Thin theory'!I$45*0.5*lambda_thin/PI()*(-1+EXP(PI()*(L-P45)/lambda_thin)*(COS(PI()*(L-P45)/lambda_thin)+SIN(PI()*(L-P45)/lambda_thin)))+'Thin theory'!I$46*0.5*lambda_thin/PI()*(1+EXP(PI()*(L-P45)/lambda_thin)*(SIN(PI()*(L-P45)/lambda_thin)-COS(PI()*(L-P45)/lambda_thin))))</f>
        <v>-3.1098280291182075E-5</v>
      </c>
      <c r="T45" s="38">
        <f t="shared" si="12"/>
        <v>3.1098280291182075E-5</v>
      </c>
      <c r="U45" s="38">
        <f t="shared" si="14"/>
        <v>-5.0420622154151328E-6</v>
      </c>
      <c r="V45" s="38">
        <f t="shared" si="15"/>
        <v>-1</v>
      </c>
      <c r="W45" s="38">
        <f t="shared" si="16"/>
        <v>2.804147694342177E-2</v>
      </c>
      <c r="X45" s="38">
        <f t="shared" si="17"/>
        <v>-2.9543869316862544E-3</v>
      </c>
      <c r="Y45" s="38">
        <f t="shared" si="18"/>
        <v>-8.8631607950587633E-4</v>
      </c>
      <c r="Z45" s="38">
        <f t="shared" si="19"/>
        <v>-1.0177263215901176</v>
      </c>
      <c r="AA45" s="38">
        <f t="shared" si="20"/>
        <v>-1</v>
      </c>
      <c r="AB45" s="38">
        <f t="shared" si="21"/>
        <v>-0.98227367840988244</v>
      </c>
      <c r="AC45" s="38">
        <f t="shared" si="22"/>
        <v>2.2723580466386513E-2</v>
      </c>
      <c r="AD45" s="38">
        <f t="shared" si="23"/>
        <v>2.804147694342177E-2</v>
      </c>
      <c r="AE45" s="38">
        <f t="shared" si="24"/>
        <v>3.3359373420457028E-2</v>
      </c>
    </row>
    <row r="46" spans="7:31" x14ac:dyDescent="0.3">
      <c r="G46" s="2"/>
      <c r="H46" s="2"/>
      <c r="I46" s="10">
        <v>-1.7519719650572352E-9</v>
      </c>
      <c r="J46" s="2"/>
      <c r="K46" s="2"/>
      <c r="L46" s="2"/>
      <c r="M46" s="2"/>
      <c r="N46" s="2"/>
      <c r="O46" s="34">
        <v>45</v>
      </c>
      <c r="P46" s="38">
        <f t="shared" si="13"/>
        <v>4.9193495504995157</v>
      </c>
      <c r="Q46" s="38">
        <f>'Thin theory'!I$43*EXP(-PI()*(L-P46)/lambda_thin)*COS(PI()*(L-P46)/lambda_thin)+'Thin theory'!I$44*EXP(-PI()*(L-P46)/lambda_thin)*SIN(PI()*(L-P46)/lambda_thin)+'Thin theory'!I$45*EXP(PI()*(L-P46)/lambda_thin)*COS(PI()*(L-P46)/lambda_thin)+'Thin theory'!I$46*EXP(PI()*(L-P46)/lambda_thin)*SIN(PI()*(L-P46)/lambda_thin)+wm</f>
        <v>8.1953063741960176E-6</v>
      </c>
      <c r="R46" s="38">
        <f>'Thin theory'!I$43*2*(PI()/lambda_thin)^2*EXP(-PI()*(L-P46)/lambda_thin)*SIN(PI()*(L-P46)/lambda_thin)-'Thin theory'!I$44*2*(PI()/lambda_thin)^2*EXP(-PI()*(L-P46)/lambda_thin)*COS(PI()*(L-P46)/lambda_thin)-'Thin theory'!I$45*2*(PI()/lambda_thin)^2*EXP(PI()*(L-P46)/lambda_thin)*SIN(PI()*(L-P46)/lambda_thin)+'Thin theory'!I$46*2*(PI()/lambda_thin)^2*EXP(PI()*(L-P46)/lambda_thin)*COS(PI()*(L-P46)/lambda_thin)</f>
        <v>-1.5131753296191597E-7</v>
      </c>
      <c r="S46" s="38">
        <f>(L-P46)*Nz/Cs-nu/rad*(wm*(L-P46)+'Thin theory'!I$43*0.5*lambda_thin/PI()*(1-EXP(-PI()*(L-P46)/lambda_thin)*(COS(PI()*(L-P46)/lambda_thin)-SIN(PI()*(L-P46)/lambda_thin)))+'Thin theory'!I$44*0.5*lambda_thin/PI()*(1-EXP(-PI()*(L-P46)/lambda_thin)*(COS(PI()*(L-P46)/lambda_thin)+SIN(PI()*(L-P46)/lambda_thin)))+'Thin theory'!I$45*0.5*lambda_thin/PI()*(-1+EXP(PI()*(L-P46)/lambda_thin)*(COS(PI()*(L-P46)/lambda_thin)+SIN(PI()*(L-P46)/lambda_thin)))+'Thin theory'!I$46*0.5*lambda_thin/PI()*(1+EXP(PI()*(L-P46)/lambda_thin)*(SIN(PI()*(L-P46)/lambda_thin)-COS(PI()*(L-P46)/lambda_thin))))</f>
        <v>-3.0534578729396968E-5</v>
      </c>
      <c r="T46" s="38">
        <f t="shared" si="12"/>
        <v>3.0534578729396968E-5</v>
      </c>
      <c r="U46" s="38">
        <f t="shared" si="14"/>
        <v>-5.0417183824517611E-6</v>
      </c>
      <c r="V46" s="38">
        <f t="shared" si="15"/>
        <v>-1</v>
      </c>
      <c r="W46" s="38">
        <f t="shared" si="16"/>
        <v>2.7812254967840677E-2</v>
      </c>
      <c r="X46" s="38">
        <f t="shared" si="17"/>
        <v>-2.7713833875808785E-3</v>
      </c>
      <c r="Y46" s="38">
        <f t="shared" si="18"/>
        <v>-8.3141501627426357E-4</v>
      </c>
      <c r="Z46" s="38">
        <f t="shared" si="19"/>
        <v>-1.0166283003254852</v>
      </c>
      <c r="AA46" s="38">
        <f t="shared" si="20"/>
        <v>-1</v>
      </c>
      <c r="AB46" s="38">
        <f t="shared" si="21"/>
        <v>-0.98337169967451477</v>
      </c>
      <c r="AC46" s="38">
        <f t="shared" si="22"/>
        <v>2.2823764870195096E-2</v>
      </c>
      <c r="AD46" s="38">
        <f t="shared" si="23"/>
        <v>2.7812254967840677E-2</v>
      </c>
      <c r="AE46" s="38">
        <f t="shared" si="24"/>
        <v>3.2800745065486261E-2</v>
      </c>
    </row>
    <row r="47" spans="7:31" x14ac:dyDescent="0.3">
      <c r="G47" s="2"/>
      <c r="H47" s="2"/>
      <c r="I47" s="2"/>
      <c r="J47" s="2"/>
      <c r="K47" s="2"/>
      <c r="L47" s="2"/>
      <c r="M47" s="2"/>
      <c r="N47" s="2"/>
      <c r="O47" s="34">
        <v>46</v>
      </c>
      <c r="P47" s="38">
        <f t="shared" si="13"/>
        <v>5.0311529493745049</v>
      </c>
      <c r="Q47" s="38">
        <f>'Thin theory'!I$43*EXP(-PI()*(L-P47)/lambda_thin)*COS(PI()*(L-P47)/lambda_thin)+'Thin theory'!I$44*EXP(-PI()*(L-P47)/lambda_thin)*SIN(PI()*(L-P47)/lambda_thin)+'Thin theory'!I$45*EXP(PI()*(L-P47)/lambda_thin)*COS(PI()*(L-P47)/lambda_thin)+'Thin theory'!I$46*EXP(PI()*(L-P47)/lambda_thin)*SIN(PI()*(L-P47)/lambda_thin)+wm</f>
        <v>8.1876804014482159E-6</v>
      </c>
      <c r="R47" s="38">
        <f>'Thin theory'!I$43*2*(PI()/lambda_thin)^2*EXP(-PI()*(L-P47)/lambda_thin)*SIN(PI()*(L-P47)/lambda_thin)-'Thin theory'!I$44*2*(PI()/lambda_thin)^2*EXP(-PI()*(L-P47)/lambda_thin)*COS(PI()*(L-P47)/lambda_thin)-'Thin theory'!I$45*2*(PI()/lambda_thin)^2*EXP(PI()*(L-P47)/lambda_thin)*SIN(PI()*(L-P47)/lambda_thin)+'Thin theory'!I$46*2*(PI()/lambda_thin)^2*EXP(PI()*(L-P47)/lambda_thin)*COS(PI()*(L-P47)/lambda_thin)</f>
        <v>-1.4512105091870998E-7</v>
      </c>
      <c r="S47" s="38">
        <f>(L-P47)*Nz/Cs-nu/rad*(wm*(L-P47)+'Thin theory'!I$43*0.5*lambda_thin/PI()*(1-EXP(-PI()*(L-P47)/lambda_thin)*(COS(PI()*(L-P47)/lambda_thin)-SIN(PI()*(L-P47)/lambda_thin)))+'Thin theory'!I$44*0.5*lambda_thin/PI()*(1-EXP(-PI()*(L-P47)/lambda_thin)*(COS(PI()*(L-P47)/lambda_thin)+SIN(PI()*(L-P47)/lambda_thin)))+'Thin theory'!I$45*0.5*lambda_thin/PI()*(-1+EXP(PI()*(L-P47)/lambda_thin)*(COS(PI()*(L-P47)/lambda_thin)+SIN(PI()*(L-P47)/lambda_thin)))+'Thin theory'!I$46*0.5*lambda_thin/PI()*(1+EXP(PI()*(L-P47)/lambda_thin)*(SIN(PI()*(L-P47)/lambda_thin)-COS(PI()*(L-P47)/lambda_thin))))</f>
        <v>-2.9970922023283711E-5</v>
      </c>
      <c r="T47" s="38">
        <f t="shared" si="12"/>
        <v>2.9970922023283711E-5</v>
      </c>
      <c r="U47" s="38">
        <f t="shared" si="14"/>
        <v>-5.0412608240868934E-6</v>
      </c>
      <c r="V47" s="38">
        <f t="shared" si="15"/>
        <v>-1</v>
      </c>
      <c r="W47" s="38">
        <f t="shared" si="16"/>
        <v>2.7507216057928625E-2</v>
      </c>
      <c r="X47" s="38">
        <f t="shared" si="17"/>
        <v>-2.6578947054708788E-3</v>
      </c>
      <c r="Y47" s="38">
        <f t="shared" si="18"/>
        <v>-7.9736841164126362E-4</v>
      </c>
      <c r="Z47" s="38">
        <f t="shared" si="19"/>
        <v>-1.0159473682328253</v>
      </c>
      <c r="AA47" s="38">
        <f t="shared" si="20"/>
        <v>-1</v>
      </c>
      <c r="AB47" s="38">
        <f t="shared" si="21"/>
        <v>-0.98405263176717472</v>
      </c>
      <c r="AC47" s="38">
        <f t="shared" si="22"/>
        <v>2.2723005588081043E-2</v>
      </c>
      <c r="AD47" s="38">
        <f t="shared" si="23"/>
        <v>2.7507216057928625E-2</v>
      </c>
      <c r="AE47" s="38">
        <f t="shared" si="24"/>
        <v>3.229142652777621E-2</v>
      </c>
    </row>
    <row r="48" spans="7:31" x14ac:dyDescent="0.3">
      <c r="G48" s="2"/>
      <c r="H48" s="2"/>
      <c r="I48" s="2"/>
      <c r="J48" s="2"/>
      <c r="K48" s="2"/>
      <c r="L48" s="2"/>
      <c r="M48" s="2"/>
      <c r="N48" s="2"/>
      <c r="O48" s="34">
        <v>47</v>
      </c>
      <c r="P48" s="38">
        <f t="shared" si="13"/>
        <v>5.142956348249494</v>
      </c>
      <c r="Q48" s="38">
        <f>'Thin theory'!I$43*EXP(-PI()*(L-P48)/lambda_thin)*COS(PI()*(L-P48)/lambda_thin)+'Thin theory'!I$44*EXP(-PI()*(L-P48)/lambda_thin)*SIN(PI()*(L-P48)/lambda_thin)+'Thin theory'!I$45*EXP(PI()*(L-P48)/lambda_thin)*COS(PI()*(L-P48)/lambda_thin)+'Thin theory'!I$46*EXP(PI()*(L-P48)/lambda_thin)*SIN(PI()*(L-P48)/lambda_thin)+wm</f>
        <v>8.1782365047257126E-6</v>
      </c>
      <c r="R48" s="38">
        <f>'Thin theory'!I$43*2*(PI()/lambda_thin)^2*EXP(-PI()*(L-P48)/lambda_thin)*SIN(PI()*(L-P48)/lambda_thin)-'Thin theory'!I$44*2*(PI()/lambda_thin)^2*EXP(-PI()*(L-P48)/lambda_thin)*COS(PI()*(L-P48)/lambda_thin)-'Thin theory'!I$45*2*(PI()/lambda_thin)^2*EXP(PI()*(L-P48)/lambda_thin)*SIN(PI()*(L-P48)/lambda_thin)+'Thin theory'!I$46*2*(PI()/lambda_thin)^2*EXP(PI()*(L-P48)/lambda_thin)*COS(PI()*(L-P48)/lambda_thin)</f>
        <v>-1.4267847777963254E-7</v>
      </c>
      <c r="S48" s="38">
        <f>(L-P48)*Nz/Cs-nu/rad*(wm*(L-P48)+'Thin theory'!I$43*0.5*lambda_thin/PI()*(1-EXP(-PI()*(L-P48)/lambda_thin)*(COS(PI()*(L-P48)/lambda_thin)-SIN(PI()*(L-P48)/lambda_thin)))+'Thin theory'!I$44*0.5*lambda_thin/PI()*(1-EXP(-PI()*(L-P48)/lambda_thin)*(COS(PI()*(L-P48)/lambda_thin)+SIN(PI()*(L-P48)/lambda_thin)))+'Thin theory'!I$45*0.5*lambda_thin/PI()*(-1+EXP(PI()*(L-P48)/lambda_thin)*(COS(PI()*(L-P48)/lambda_thin)+SIN(PI()*(L-P48)/lambda_thin)))+'Thin theory'!I$46*0.5*lambda_thin/PI()*(1+EXP(PI()*(L-P48)/lambda_thin)*(SIN(PI()*(L-P48)/lambda_thin)-COS(PI()*(L-P48)/lambda_thin))))</f>
        <v>-2.9407322601404237E-5</v>
      </c>
      <c r="T48" s="38">
        <f t="shared" si="12"/>
        <v>2.9407322601404237E-5</v>
      </c>
      <c r="U48" s="38">
        <f t="shared" si="14"/>
        <v>-5.0406941902835436E-6</v>
      </c>
      <c r="V48" s="38">
        <f t="shared" si="15"/>
        <v>-1</v>
      </c>
      <c r="W48" s="38">
        <f t="shared" si="16"/>
        <v>2.7129460189028485E-2</v>
      </c>
      <c r="X48" s="38">
        <f t="shared" si="17"/>
        <v>-2.6131589336929033E-3</v>
      </c>
      <c r="Y48" s="38">
        <f t="shared" si="18"/>
        <v>-7.8394768010787096E-4</v>
      </c>
      <c r="Z48" s="38">
        <f t="shared" si="19"/>
        <v>-1.0156789536021573</v>
      </c>
      <c r="AA48" s="38">
        <f t="shared" si="20"/>
        <v>-1</v>
      </c>
      <c r="AB48" s="38">
        <f t="shared" si="21"/>
        <v>-0.98432104639784257</v>
      </c>
      <c r="AC48" s="38">
        <f t="shared" si="22"/>
        <v>2.2425774108381258E-2</v>
      </c>
      <c r="AD48" s="38">
        <f t="shared" si="23"/>
        <v>2.7129460189028485E-2</v>
      </c>
      <c r="AE48" s="38">
        <f t="shared" si="24"/>
        <v>3.1833146269675712E-2</v>
      </c>
    </row>
    <row r="49" spans="7:31" x14ac:dyDescent="0.3">
      <c r="G49" s="2"/>
      <c r="H49" s="2"/>
      <c r="I49" s="2"/>
      <c r="J49" s="2"/>
      <c r="K49" s="2"/>
      <c r="L49" s="2"/>
      <c r="M49" s="2"/>
      <c r="N49" s="2"/>
      <c r="O49" s="34">
        <v>48</v>
      </c>
      <c r="P49" s="38">
        <f t="shared" si="13"/>
        <v>5.2547597471244822</v>
      </c>
      <c r="Q49" s="38">
        <f>'Thin theory'!I$43*EXP(-PI()*(L-P49)/lambda_thin)*COS(PI()*(L-P49)/lambda_thin)+'Thin theory'!I$44*EXP(-PI()*(L-P49)/lambda_thin)*SIN(PI()*(L-P49)/lambda_thin)+'Thin theory'!I$45*EXP(PI()*(L-P49)/lambda_thin)*COS(PI()*(L-P49)/lambda_thin)+'Thin theory'!I$46*EXP(PI()*(L-P49)/lambda_thin)*SIN(PI()*(L-P49)/lambda_thin)+wm</f>
        <v>8.1670052698991173E-6</v>
      </c>
      <c r="R49" s="38">
        <f>'Thin theory'!I$43*2*(PI()/lambda_thin)^2*EXP(-PI()*(L-P49)/lambda_thin)*SIN(PI()*(L-P49)/lambda_thin)-'Thin theory'!I$44*2*(PI()/lambda_thin)^2*EXP(-PI()*(L-P49)/lambda_thin)*COS(PI()*(L-P49)/lambda_thin)-'Thin theory'!I$45*2*(PI()/lambda_thin)^2*EXP(PI()*(L-P49)/lambda_thin)*SIN(PI()*(L-P49)/lambda_thin)+'Thin theory'!I$46*2*(PI()/lambda_thin)^2*EXP(PI()*(L-P49)/lambda_thin)*COS(PI()*(L-P49)/lambda_thin)</f>
        <v>-1.4393826377048844E-7</v>
      </c>
      <c r="S49" s="38">
        <f>(L-P49)*Nz/Cs-nu/rad*(wm*(L-P49)+'Thin theory'!I$43*0.5*lambda_thin/PI()*(1-EXP(-PI()*(L-P49)/lambda_thin)*(COS(PI()*(L-P49)/lambda_thin)-SIN(PI()*(L-P49)/lambda_thin)))+'Thin theory'!I$44*0.5*lambda_thin/PI()*(1-EXP(-PI()*(L-P49)/lambda_thin)*(COS(PI()*(L-P49)/lambda_thin)+SIN(PI()*(L-P49)/lambda_thin)))+'Thin theory'!I$45*0.5*lambda_thin/PI()*(-1+EXP(PI()*(L-P49)/lambda_thin)*(COS(PI()*(L-P49)/lambda_thin)+SIN(PI()*(L-P49)/lambda_thin)))+'Thin theory'!I$46*0.5*lambda_thin/PI()*(1+EXP(PI()*(L-P49)/lambda_thin)*(SIN(PI()*(L-P49)/lambda_thin)-COS(PI()*(L-P49)/lambda_thin))))</f>
        <v>-2.8843792530117198E-5</v>
      </c>
      <c r="T49" s="38">
        <f t="shared" si="12"/>
        <v>2.8843792530117198E-5</v>
      </c>
      <c r="U49" s="38">
        <f t="shared" si="14"/>
        <v>-5.0400203161939473E-6</v>
      </c>
      <c r="V49" s="38">
        <f t="shared" si="15"/>
        <v>-1</v>
      </c>
      <c r="W49" s="38">
        <f t="shared" si="16"/>
        <v>2.6680210795964675E-2</v>
      </c>
      <c r="X49" s="38">
        <f t="shared" si="17"/>
        <v>-2.6362319371884329E-3</v>
      </c>
      <c r="Y49" s="38">
        <f t="shared" si="18"/>
        <v>-7.9086958115652983E-4</v>
      </c>
      <c r="Z49" s="38">
        <f t="shared" si="19"/>
        <v>-1.0158173916231306</v>
      </c>
      <c r="AA49" s="38">
        <f t="shared" si="20"/>
        <v>-1</v>
      </c>
      <c r="AB49" s="38">
        <f t="shared" si="21"/>
        <v>-0.98418260837686944</v>
      </c>
      <c r="AC49" s="38">
        <f t="shared" si="22"/>
        <v>2.1934993309025496E-2</v>
      </c>
      <c r="AD49" s="38">
        <f t="shared" si="23"/>
        <v>2.6680210795964675E-2</v>
      </c>
      <c r="AE49" s="38">
        <f t="shared" si="24"/>
        <v>3.1425428282903858E-2</v>
      </c>
    </row>
    <row r="50" spans="7:31" x14ac:dyDescent="0.3">
      <c r="G50" s="2"/>
      <c r="H50" s="2"/>
      <c r="I50" s="2"/>
      <c r="J50" s="2"/>
      <c r="K50" s="2"/>
      <c r="L50" s="2"/>
      <c r="M50" s="2"/>
      <c r="N50" s="2"/>
      <c r="O50" s="34">
        <v>49</v>
      </c>
      <c r="P50" s="38">
        <f t="shared" si="13"/>
        <v>5.3665631459994714</v>
      </c>
      <c r="Q50" s="38">
        <f>'Thin theory'!I$43*EXP(-PI()*(L-P50)/lambda_thin)*COS(PI()*(L-P50)/lambda_thin)+'Thin theory'!I$44*EXP(-PI()*(L-P50)/lambda_thin)*SIN(PI()*(L-P50)/lambda_thin)+'Thin theory'!I$45*EXP(PI()*(L-P50)/lambda_thin)*COS(PI()*(L-P50)/lambda_thin)+'Thin theory'!I$46*EXP(PI()*(L-P50)/lambda_thin)*SIN(PI()*(L-P50)/lambda_thin)+wm</f>
        <v>8.1539710135241778E-6</v>
      </c>
      <c r="R50" s="38">
        <f>'Thin theory'!I$43*2*(PI()/lambda_thin)^2*EXP(-PI()*(L-P50)/lambda_thin)*SIN(PI()*(L-P50)/lambda_thin)-'Thin theory'!I$44*2*(PI()/lambda_thin)^2*EXP(-PI()*(L-P50)/lambda_thin)*COS(PI()*(L-P50)/lambda_thin)-'Thin theory'!I$45*2*(PI()/lambda_thin)^2*EXP(PI()*(L-P50)/lambda_thin)*SIN(PI()*(L-P50)/lambda_thin)+'Thin theory'!I$46*2*(PI()/lambda_thin)^2*EXP(PI()*(L-P50)/lambda_thin)*COS(PI()*(L-P50)/lambda_thin)</f>
        <v>-1.488390791957177E-7</v>
      </c>
      <c r="S50" s="38">
        <f>(L-P50)*Nz/Cs-nu/rad*(wm*(L-P50)+'Thin theory'!I$43*0.5*lambda_thin/PI()*(1-EXP(-PI()*(L-P50)/lambda_thin)*(COS(PI()*(L-P50)/lambda_thin)-SIN(PI()*(L-P50)/lambda_thin)))+'Thin theory'!I$44*0.5*lambda_thin/PI()*(1-EXP(-PI()*(L-P50)/lambda_thin)*(COS(PI()*(L-P50)/lambda_thin)+SIN(PI()*(L-P50)/lambda_thin)))+'Thin theory'!I$45*0.5*lambda_thin/PI()*(-1+EXP(PI()*(L-P50)/lambda_thin)*(COS(PI()*(L-P50)/lambda_thin)+SIN(PI()*(L-P50)/lambda_thin)))+'Thin theory'!I$46*0.5*lambda_thin/PI()*(1+EXP(PI()*(L-P50)/lambda_thin)*(SIN(PI()*(L-P50)/lambda_thin)-COS(PI()*(L-P50)/lambda_thin))))</f>
        <v>-2.8280343826191375E-5</v>
      </c>
      <c r="T50" s="38">
        <f t="shared" si="12"/>
        <v>2.8280343826191375E-5</v>
      </c>
      <c r="U50" s="38">
        <f t="shared" si="14"/>
        <v>-5.0392382608114511E-6</v>
      </c>
      <c r="V50" s="38">
        <f t="shared" si="15"/>
        <v>-1</v>
      </c>
      <c r="W50" s="38">
        <f t="shared" si="16"/>
        <v>2.6158840540967107E-2</v>
      </c>
      <c r="X50" s="38">
        <f t="shared" si="17"/>
        <v>-2.7259904614600314E-3</v>
      </c>
      <c r="Y50" s="38">
        <f t="shared" si="18"/>
        <v>-8.1779713843800942E-4</v>
      </c>
      <c r="Z50" s="38">
        <f t="shared" si="19"/>
        <v>-1.0163559427687603</v>
      </c>
      <c r="AA50" s="38">
        <f t="shared" si="20"/>
        <v>-1</v>
      </c>
      <c r="AB50" s="38">
        <f t="shared" si="21"/>
        <v>-0.98364405723123982</v>
      </c>
      <c r="AC50" s="38">
        <f t="shared" si="22"/>
        <v>2.1252057710339049E-2</v>
      </c>
      <c r="AD50" s="38">
        <f t="shared" si="23"/>
        <v>2.6158840540967107E-2</v>
      </c>
      <c r="AE50" s="38">
        <f t="shared" si="24"/>
        <v>3.1065623371595165E-2</v>
      </c>
    </row>
    <row r="51" spans="7:31" x14ac:dyDescent="0.3">
      <c r="G51" s="2"/>
      <c r="H51" s="2"/>
      <c r="I51" s="2"/>
      <c r="J51" s="2"/>
      <c r="K51" s="2"/>
      <c r="L51" s="2"/>
      <c r="M51" s="2"/>
      <c r="N51" s="2"/>
      <c r="O51" s="34">
        <v>50</v>
      </c>
      <c r="P51" s="38">
        <f t="shared" si="13"/>
        <v>5.4783665448744605</v>
      </c>
      <c r="Q51" s="38">
        <f>'Thin theory'!I$43*EXP(-PI()*(L-P51)/lambda_thin)*COS(PI()*(L-P51)/lambda_thin)+'Thin theory'!I$44*EXP(-PI()*(L-P51)/lambda_thin)*SIN(PI()*(L-P51)/lambda_thin)+'Thin theory'!I$45*EXP(PI()*(L-P51)/lambda_thin)*COS(PI()*(L-P51)/lambda_thin)+'Thin theory'!I$46*EXP(PI()*(L-P51)/lambda_thin)*SIN(PI()*(L-P51)/lambda_thin)+wm</f>
        <v>8.1390725495520198E-6</v>
      </c>
      <c r="R51" s="38">
        <f>'Thin theory'!I$43*2*(PI()/lambda_thin)^2*EXP(-PI()*(L-P51)/lambda_thin)*SIN(PI()*(L-P51)/lambda_thin)-'Thin theory'!I$44*2*(PI()/lambda_thin)^2*EXP(-PI()*(L-P51)/lambda_thin)*COS(PI()*(L-P51)/lambda_thin)-'Thin theory'!I$45*2*(PI()/lambda_thin)^2*EXP(PI()*(L-P51)/lambda_thin)*SIN(PI()*(L-P51)/lambda_thin)+'Thin theory'!I$46*2*(PI()/lambda_thin)^2*EXP(PI()*(L-P51)/lambda_thin)*COS(PI()*(L-P51)/lambda_thin)</f>
        <v>-1.5730972915561877E-7</v>
      </c>
      <c r="S51" s="38">
        <f>(L-P51)*Nz/Cs-nu/rad*(wm*(L-P51)+'Thin theory'!I$43*0.5*lambda_thin/PI()*(1-EXP(-PI()*(L-P51)/lambda_thin)*(COS(PI()*(L-P51)/lambda_thin)-SIN(PI()*(L-P51)/lambda_thin)))+'Thin theory'!I$44*0.5*lambda_thin/PI()*(1-EXP(-PI()*(L-P51)/lambda_thin)*(COS(PI()*(L-P51)/lambda_thin)+SIN(PI()*(L-P51)/lambda_thin)))+'Thin theory'!I$45*0.5*lambda_thin/PI()*(-1+EXP(PI()*(L-P51)/lambda_thin)*(COS(PI()*(L-P51)/lambda_thin)+SIN(PI()*(L-P51)/lambda_thin)))+'Thin theory'!I$46*0.5*lambda_thin/PI()*(1+EXP(PI()*(L-P51)/lambda_thin)*(SIN(PI()*(L-P51)/lambda_thin)-COS(PI()*(L-P51)/lambda_thin))))</f>
        <v>-2.7716988764686559E-5</v>
      </c>
      <c r="T51" s="38">
        <f t="shared" si="12"/>
        <v>2.7716988764686559E-5</v>
      </c>
      <c r="U51" s="38">
        <f t="shared" si="14"/>
        <v>-5.0383443529731219E-6</v>
      </c>
      <c r="V51" s="38">
        <f t="shared" si="15"/>
        <v>-1</v>
      </c>
      <c r="W51" s="38">
        <f t="shared" si="16"/>
        <v>2.5562901982080763E-2</v>
      </c>
      <c r="X51" s="38">
        <f t="shared" si="17"/>
        <v>-2.8811305706157283E-3</v>
      </c>
      <c r="Y51" s="38">
        <f t="shared" si="18"/>
        <v>-8.6433917118471841E-4</v>
      </c>
      <c r="Z51" s="38">
        <f t="shared" si="19"/>
        <v>-1.0172867834236943</v>
      </c>
      <c r="AA51" s="38">
        <f t="shared" si="20"/>
        <v>-1</v>
      </c>
      <c r="AB51" s="38">
        <f t="shared" si="21"/>
        <v>-0.98271321657630561</v>
      </c>
      <c r="AC51" s="38">
        <f t="shared" si="22"/>
        <v>2.0376866954972452E-2</v>
      </c>
      <c r="AD51" s="38">
        <f t="shared" si="23"/>
        <v>2.5562901982080763E-2</v>
      </c>
      <c r="AE51" s="38">
        <f t="shared" si="24"/>
        <v>3.0748937009189074E-2</v>
      </c>
    </row>
    <row r="52" spans="7:31" x14ac:dyDescent="0.3">
      <c r="O52" s="34">
        <v>51</v>
      </c>
      <c r="P52" s="38">
        <f t="shared" si="13"/>
        <v>5.5901699437494496</v>
      </c>
      <c r="Q52" s="38">
        <f>'Thin theory'!I$43*EXP(-PI()*(L-P52)/lambda_thin)*COS(PI()*(L-P52)/lambda_thin)+'Thin theory'!I$44*EXP(-PI()*(L-P52)/lambda_thin)*SIN(PI()*(L-P52)/lambda_thin)+'Thin theory'!I$45*EXP(PI()*(L-P52)/lambda_thin)*COS(PI()*(L-P52)/lambda_thin)+'Thin theory'!I$46*EXP(PI()*(L-P52)/lambda_thin)*SIN(PI()*(L-P52)/lambda_thin)+wm</f>
        <v>8.1222040796132307E-6</v>
      </c>
      <c r="R52" s="38">
        <f>'Thin theory'!I$43*2*(PI()/lambda_thin)^2*EXP(-PI()*(L-P52)/lambda_thin)*SIN(PI()*(L-P52)/lambda_thin)-'Thin theory'!I$44*2*(PI()/lambda_thin)^2*EXP(-PI()*(L-P52)/lambda_thin)*COS(PI()*(L-P52)/lambda_thin)-'Thin theory'!I$45*2*(PI()/lambda_thin)^2*EXP(PI()*(L-P52)/lambda_thin)*SIN(PI()*(L-P52)/lambda_thin)+'Thin theory'!I$46*2*(PI()/lambda_thin)^2*EXP(PI()*(L-P52)/lambda_thin)*COS(PI()*(L-P52)/lambda_thin)</f>
        <v>-1.692688198755056E-7</v>
      </c>
      <c r="S52" s="38">
        <f>(L-P52)*Nz/Cs-nu/rad*(wm*(L-P52)+'Thin theory'!I$43*0.5*lambda_thin/PI()*(1-EXP(-PI()*(L-P52)/lambda_thin)*(COS(PI()*(L-P52)/lambda_thin)-SIN(PI()*(L-P52)/lambda_thin)))+'Thin theory'!I$44*0.5*lambda_thin/PI()*(1-EXP(-PI()*(L-P52)/lambda_thin)*(COS(PI()*(L-P52)/lambda_thin)+SIN(PI()*(L-P52)/lambda_thin)))+'Thin theory'!I$45*0.5*lambda_thin/PI()*(-1+EXP(PI()*(L-P52)/lambda_thin)*(COS(PI()*(L-P52)/lambda_thin)+SIN(PI()*(L-P52)/lambda_thin)))+'Thin theory'!I$46*0.5*lambda_thin/PI()*(1+EXP(PI()*(L-P52)/lambda_thin)*(SIN(PI()*(L-P52)/lambda_thin)-COS(PI()*(L-P52)/lambda_thin))))</f>
        <v>-2.7153740181278105E-5</v>
      </c>
      <c r="T52" s="38">
        <f t="shared" si="12"/>
        <v>2.7153740181278105E-5</v>
      </c>
      <c r="U52" s="38">
        <f t="shared" si="14"/>
        <v>-5.0373322447767941E-6</v>
      </c>
      <c r="V52" s="38">
        <f t="shared" si="15"/>
        <v>-1</v>
      </c>
      <c r="W52" s="38">
        <f t="shared" si="16"/>
        <v>2.4888163184529209E-2</v>
      </c>
      <c r="X52" s="38">
        <f t="shared" si="17"/>
        <v>-3.100161536181421E-3</v>
      </c>
      <c r="Y52" s="38">
        <f t="shared" si="18"/>
        <v>-9.3004846085442629E-4</v>
      </c>
      <c r="Z52" s="38">
        <f t="shared" si="19"/>
        <v>-1.0186009692170885</v>
      </c>
      <c r="AA52" s="38">
        <f t="shared" si="20"/>
        <v>-1</v>
      </c>
      <c r="AB52" s="38">
        <f t="shared" si="21"/>
        <v>-0.98139903078291146</v>
      </c>
      <c r="AC52" s="38">
        <f t="shared" si="22"/>
        <v>1.9307872419402652E-2</v>
      </c>
      <c r="AD52" s="38">
        <f t="shared" si="23"/>
        <v>2.4888163184529209E-2</v>
      </c>
      <c r="AE52" s="38">
        <f t="shared" si="24"/>
        <v>3.0468453949655767E-2</v>
      </c>
    </row>
    <row r="53" spans="7:31" x14ac:dyDescent="0.3">
      <c r="O53" s="34">
        <v>52</v>
      </c>
      <c r="P53" s="38">
        <f t="shared" si="13"/>
        <v>5.7019733426244388</v>
      </c>
      <c r="Q53" s="38">
        <f>'Thin theory'!I$43*EXP(-PI()*(L-P53)/lambda_thin)*COS(PI()*(L-P53)/lambda_thin)+'Thin theory'!I$44*EXP(-PI()*(L-P53)/lambda_thin)*SIN(PI()*(L-P53)/lambda_thin)+'Thin theory'!I$45*EXP(PI()*(L-P53)/lambda_thin)*COS(PI()*(L-P53)/lambda_thin)+'Thin theory'!I$46*EXP(PI()*(L-P53)/lambda_thin)*SIN(PI()*(L-P53)/lambda_thin)+wm</f>
        <v>8.1032162110415701E-6</v>
      </c>
      <c r="R53" s="38">
        <f>'Thin theory'!I$43*2*(PI()/lambda_thin)^2*EXP(-PI()*(L-P53)/lambda_thin)*SIN(PI()*(L-P53)/lambda_thin)-'Thin theory'!I$44*2*(PI()/lambda_thin)^2*EXP(-PI()*(L-P53)/lambda_thin)*COS(PI()*(L-P53)/lambda_thin)-'Thin theory'!I$45*2*(PI()/lambda_thin)^2*EXP(PI()*(L-P53)/lambda_thin)*SIN(PI()*(L-P53)/lambda_thin)+'Thin theory'!I$46*2*(PI()/lambda_thin)^2*EXP(PI()*(L-P53)/lambda_thin)*COS(PI()*(L-P53)/lambda_thin)</f>
        <v>-1.8462418150964775E-7</v>
      </c>
      <c r="S53" s="38">
        <f>(L-P53)*Nz/Cs-nu/rad*(wm*(L-P53)+'Thin theory'!I$43*0.5*lambda_thin/PI()*(1-EXP(-PI()*(L-P53)/lambda_thin)*(COS(PI()*(L-P53)/lambda_thin)-SIN(PI()*(L-P53)/lambda_thin)))+'Thin theory'!I$44*0.5*lambda_thin/PI()*(1-EXP(-PI()*(L-P53)/lambda_thin)*(COS(PI()*(L-P53)/lambda_thin)+SIN(PI()*(L-P53)/lambda_thin)))+'Thin theory'!I$45*0.5*lambda_thin/PI()*(-1+EXP(PI()*(L-P53)/lambda_thin)*(COS(PI()*(L-P53)/lambda_thin)+SIN(PI()*(L-P53)/lambda_thin)))+'Thin theory'!I$46*0.5*lambda_thin/PI()*(1+EXP(PI()*(L-P53)/lambda_thin)*(SIN(PI()*(L-P53)/lambda_thin)-COS(PI()*(L-P53)/lambda_thin))))</f>
        <v>-2.6590611768184052E-5</v>
      </c>
      <c r="T53" s="38">
        <f t="shared" si="12"/>
        <v>2.6590611768184052E-5</v>
      </c>
      <c r="U53" s="38">
        <f t="shared" si="14"/>
        <v>-5.0361929726624946E-6</v>
      </c>
      <c r="V53" s="38">
        <f t="shared" si="15"/>
        <v>-1</v>
      </c>
      <c r="W53" s="38">
        <f t="shared" si="16"/>
        <v>2.4128648441662775E-2</v>
      </c>
      <c r="X53" s="38">
        <f t="shared" si="17"/>
        <v>-3.3813952657444643E-3</v>
      </c>
      <c r="Y53" s="38">
        <f t="shared" si="18"/>
        <v>-1.0144185797233392E-3</v>
      </c>
      <c r="Z53" s="38">
        <f t="shared" si="19"/>
        <v>-1.0202883715944668</v>
      </c>
      <c r="AA53" s="38">
        <f t="shared" si="20"/>
        <v>-1</v>
      </c>
      <c r="AB53" s="38">
        <f t="shared" si="21"/>
        <v>-0.97971162840553316</v>
      </c>
      <c r="AC53" s="38">
        <f t="shared" si="22"/>
        <v>1.8042136963322741E-2</v>
      </c>
      <c r="AD53" s="38">
        <f t="shared" si="23"/>
        <v>2.4128648441662775E-2</v>
      </c>
      <c r="AE53" s="38">
        <f t="shared" si="24"/>
        <v>3.0215159920002808E-2</v>
      </c>
    </row>
    <row r="54" spans="7:31" x14ac:dyDescent="0.3">
      <c r="O54" s="34">
        <v>53</v>
      </c>
      <c r="P54" s="38">
        <f t="shared" si="13"/>
        <v>5.8137767414994279</v>
      </c>
      <c r="Q54" s="38">
        <f>'Thin theory'!I$43*EXP(-PI()*(L-P54)/lambda_thin)*COS(PI()*(L-P54)/lambda_thin)+'Thin theory'!I$44*EXP(-PI()*(L-P54)/lambda_thin)*SIN(PI()*(L-P54)/lambda_thin)+'Thin theory'!I$45*EXP(PI()*(L-P54)/lambda_thin)*COS(PI()*(L-P54)/lambda_thin)+'Thin theory'!I$46*EXP(PI()*(L-P54)/lambda_thin)*SIN(PI()*(L-P54)/lambda_thin)+wm</f>
        <v>8.0819171098464982E-6</v>
      </c>
      <c r="R54" s="38">
        <f>'Thin theory'!I$43*2*(PI()/lambda_thin)^2*EXP(-PI()*(L-P54)/lambda_thin)*SIN(PI()*(L-P54)/lambda_thin)-'Thin theory'!I$44*2*(PI()/lambda_thin)^2*EXP(-PI()*(L-P54)/lambda_thin)*COS(PI()*(L-P54)/lambda_thin)-'Thin theory'!I$45*2*(PI()/lambda_thin)^2*EXP(PI()*(L-P54)/lambda_thin)*SIN(PI()*(L-P54)/lambda_thin)+'Thin theory'!I$46*2*(PI()/lambda_thin)^2*EXP(PI()*(L-P54)/lambda_thin)*COS(PI()*(L-P54)/lambda_thin)</f>
        <v>-2.0327205298168294E-7</v>
      </c>
      <c r="S54" s="38">
        <f>(L-P54)*Nz/Cs-nu/rad*(wm*(L-P54)+'Thin theory'!I$43*0.5*lambda_thin/PI()*(1-EXP(-PI()*(L-P54)/lambda_thin)*(COS(PI()*(L-P54)/lambda_thin)-SIN(PI()*(L-P54)/lambda_thin)))+'Thin theory'!I$44*0.5*lambda_thin/PI()*(1-EXP(-PI()*(L-P54)/lambda_thin)*(COS(PI()*(L-P54)/lambda_thin)+SIN(PI()*(L-P54)/lambda_thin)))+'Thin theory'!I$45*0.5*lambda_thin/PI()*(-1+EXP(PI()*(L-P54)/lambda_thin)*(COS(PI()*(L-P54)/lambda_thin)+SIN(PI()*(L-P54)/lambda_thin)))+'Thin theory'!I$46*0.5*lambda_thin/PI()*(1+EXP(PI()*(L-P54)/lambda_thin)*(SIN(PI()*(L-P54)/lambda_thin)-COS(PI()*(L-P54)/lambda_thin))))</f>
        <v>-2.6027618362815322E-5</v>
      </c>
      <c r="T54" s="38">
        <f t="shared" si="12"/>
        <v>2.6027618362815322E-5</v>
      </c>
      <c r="U54" s="38">
        <f t="shared" si="14"/>
        <v>-5.0349150265907902E-6</v>
      </c>
      <c r="V54" s="38">
        <f t="shared" si="15"/>
        <v>-1</v>
      </c>
      <c r="W54" s="38">
        <f t="shared" si="16"/>
        <v>2.3276684393859891E-2</v>
      </c>
      <c r="X54" s="38">
        <f t="shared" si="17"/>
        <v>-3.7229313732908961E-3</v>
      </c>
      <c r="Y54" s="38">
        <f t="shared" si="18"/>
        <v>-1.1168794119872688E-3</v>
      </c>
      <c r="Z54" s="38">
        <f t="shared" si="19"/>
        <v>-1.0223375882397454</v>
      </c>
      <c r="AA54" s="38">
        <f t="shared" si="20"/>
        <v>-1</v>
      </c>
      <c r="AB54" s="38">
        <f t="shared" si="21"/>
        <v>-0.97766241176025459</v>
      </c>
      <c r="AC54" s="38">
        <f t="shared" si="22"/>
        <v>1.6575407921936278E-2</v>
      </c>
      <c r="AD54" s="38">
        <f t="shared" si="23"/>
        <v>2.3276684393859891E-2</v>
      </c>
      <c r="AE54" s="38">
        <f t="shared" si="24"/>
        <v>2.9977960865783505E-2</v>
      </c>
    </row>
    <row r="55" spans="7:31" x14ac:dyDescent="0.3">
      <c r="O55" s="34">
        <v>54</v>
      </c>
      <c r="P55" s="38">
        <f t="shared" si="13"/>
        <v>5.925580140374417</v>
      </c>
      <c r="Q55" s="38">
        <f>'Thin theory'!I$43*EXP(-PI()*(L-P55)/lambda_thin)*COS(PI()*(L-P55)/lambda_thin)+'Thin theory'!I$44*EXP(-PI()*(L-P55)/lambda_thin)*SIN(PI()*(L-P55)/lambda_thin)+'Thin theory'!I$45*EXP(PI()*(L-P55)/lambda_thin)*COS(PI()*(L-P55)/lambda_thin)+'Thin theory'!I$46*EXP(PI()*(L-P55)/lambda_thin)*SIN(PI()*(L-P55)/lambda_thin)+wm</f>
        <v>8.058073798817441E-6</v>
      </c>
      <c r="R55" s="38">
        <f>'Thin theory'!I$43*2*(PI()/lambda_thin)^2*EXP(-PI()*(L-P55)/lambda_thin)*SIN(PI()*(L-P55)/lambda_thin)-'Thin theory'!I$44*2*(PI()/lambda_thin)^2*EXP(-PI()*(L-P55)/lambda_thin)*COS(PI()*(L-P55)/lambda_thin)-'Thin theory'!I$45*2*(PI()/lambda_thin)^2*EXP(PI()*(L-P55)/lambda_thin)*SIN(PI()*(L-P55)/lambda_thin)+'Thin theory'!I$46*2*(PI()/lambda_thin)^2*EXP(PI()*(L-P55)/lambda_thin)*COS(PI()*(L-P55)/lambda_thin)</f>
        <v>-2.2509603516136874E-7</v>
      </c>
      <c r="S55" s="38">
        <f>(L-P55)*Nz/Cs-nu/rad*(wm*(L-P55)+'Thin theory'!I$43*0.5*lambda_thin/PI()*(1-EXP(-PI()*(L-P55)/lambda_thin)*(COS(PI()*(L-P55)/lambda_thin)-SIN(PI()*(L-P55)/lambda_thin)))+'Thin theory'!I$44*0.5*lambda_thin/PI()*(1-EXP(-PI()*(L-P55)/lambda_thin)*(COS(PI()*(L-P55)/lambda_thin)+SIN(PI()*(L-P55)/lambda_thin)))+'Thin theory'!I$45*0.5*lambda_thin/PI()*(-1+EXP(PI()*(L-P55)/lambda_thin)*(COS(PI()*(L-P55)/lambda_thin)+SIN(PI()*(L-P55)/lambda_thin)))+'Thin theory'!I$46*0.5*lambda_thin/PI()*(1+EXP(PI()*(L-P55)/lambda_thin)*(SIN(PI()*(L-P55)/lambda_thin)-COS(PI()*(L-P55)/lambda_thin))))</f>
        <v>-2.5464776228211345E-5</v>
      </c>
      <c r="T55" s="38">
        <f t="shared" si="12"/>
        <v>2.5464776228211345E-5</v>
      </c>
      <c r="U55" s="38">
        <f t="shared" si="14"/>
        <v>-5.0334844279290466E-6</v>
      </c>
      <c r="V55" s="38">
        <f t="shared" si="15"/>
        <v>-1</v>
      </c>
      <c r="W55" s="38">
        <f t="shared" si="16"/>
        <v>2.232295195269763E-2</v>
      </c>
      <c r="X55" s="38">
        <f t="shared" si="17"/>
        <v>-4.1226380066184754E-3</v>
      </c>
      <c r="Y55" s="38">
        <f t="shared" si="18"/>
        <v>-1.2367914019855426E-3</v>
      </c>
      <c r="Z55" s="38">
        <f t="shared" si="19"/>
        <v>-1.0247358280397107</v>
      </c>
      <c r="AA55" s="38">
        <f t="shared" si="20"/>
        <v>-1</v>
      </c>
      <c r="AB55" s="38">
        <f t="shared" si="21"/>
        <v>-0.97526417196028914</v>
      </c>
      <c r="AC55" s="38">
        <f t="shared" si="22"/>
        <v>1.4902203540784375E-2</v>
      </c>
      <c r="AD55" s="38">
        <f t="shared" si="23"/>
        <v>2.232295195269763E-2</v>
      </c>
      <c r="AE55" s="38">
        <f t="shared" si="24"/>
        <v>2.9743700364610885E-2</v>
      </c>
    </row>
    <row r="56" spans="7:31" x14ac:dyDescent="0.3">
      <c r="O56" s="34">
        <v>55</v>
      </c>
      <c r="P56" s="38">
        <f t="shared" si="13"/>
        <v>6.0373835392494062</v>
      </c>
      <c r="Q56" s="38">
        <f>'Thin theory'!I$43*EXP(-PI()*(L-P56)/lambda_thin)*COS(PI()*(L-P56)/lambda_thin)+'Thin theory'!I$44*EXP(-PI()*(L-P56)/lambda_thin)*SIN(PI()*(L-P56)/lambda_thin)+'Thin theory'!I$45*EXP(PI()*(L-P56)/lambda_thin)*COS(PI()*(L-P56)/lambda_thin)+'Thin theory'!I$46*EXP(PI()*(L-P56)/lambda_thin)*SIN(PI()*(L-P56)/lambda_thin)+wm</f>
        <v>8.0314136138376953E-6</v>
      </c>
      <c r="R56" s="38">
        <f>'Thin theory'!I$43*2*(PI()/lambda_thin)^2*EXP(-PI()*(L-P56)/lambda_thin)*SIN(PI()*(L-P56)/lambda_thin)-'Thin theory'!I$44*2*(PI()/lambda_thin)^2*EXP(-PI()*(L-P56)/lambda_thin)*COS(PI()*(L-P56)/lambda_thin)-'Thin theory'!I$45*2*(PI()/lambda_thin)^2*EXP(PI()*(L-P56)/lambda_thin)*SIN(PI()*(L-P56)/lambda_thin)+'Thin theory'!I$46*2*(PI()/lambda_thin)^2*EXP(PI()*(L-P56)/lambda_thin)*COS(PI()*(L-P56)/lambda_thin)</f>
        <v>-2.4996581947127371E-7</v>
      </c>
      <c r="S56" s="38">
        <f>(L-P56)*Nz/Cs-nu/rad*(wm*(L-P56)+'Thin theory'!I$43*0.5*lambda_thin/PI()*(1-EXP(-PI()*(L-P56)/lambda_thin)*(COS(PI()*(L-P56)/lambda_thin)-SIN(PI()*(L-P56)/lambda_thin)))+'Thin theory'!I$44*0.5*lambda_thin/PI()*(1-EXP(-PI()*(L-P56)/lambda_thin)*(COS(PI()*(L-P56)/lambda_thin)+SIN(PI()*(L-P56)/lambda_thin)))+'Thin theory'!I$45*0.5*lambda_thin/PI()*(-1+EXP(PI()*(L-P56)/lambda_thin)*(COS(PI()*(L-P56)/lambda_thin)+SIN(PI()*(L-P56)/lambda_thin)))+'Thin theory'!I$46*0.5*lambda_thin/PI()*(1+EXP(PI()*(L-P56)/lambda_thin)*(SIN(PI()*(L-P56)/lambda_thin)-COS(PI()*(L-P56)/lambda_thin))))</f>
        <v>-2.4902103324245095E-5</v>
      </c>
      <c r="T56" s="38">
        <f t="shared" si="12"/>
        <v>2.4902103324245095E-5</v>
      </c>
      <c r="U56" s="38">
        <f t="shared" si="14"/>
        <v>-5.0318848168302626E-6</v>
      </c>
      <c r="V56" s="38">
        <f t="shared" si="15"/>
        <v>-1</v>
      </c>
      <c r="W56" s="38">
        <f t="shared" si="16"/>
        <v>2.1256544553507756E-2</v>
      </c>
      <c r="X56" s="38">
        <f t="shared" si="17"/>
        <v>-4.5781285617449395E-3</v>
      </c>
      <c r="Y56" s="38">
        <f t="shared" si="18"/>
        <v>-1.3734385685234818E-3</v>
      </c>
      <c r="Z56" s="38">
        <f t="shared" si="19"/>
        <v>-1.0274687713704695</v>
      </c>
      <c r="AA56" s="38">
        <f t="shared" si="20"/>
        <v>-1</v>
      </c>
      <c r="AB56" s="38">
        <f t="shared" si="21"/>
        <v>-0.97253122862953034</v>
      </c>
      <c r="AC56" s="38">
        <f t="shared" si="22"/>
        <v>1.3015913142366865E-2</v>
      </c>
      <c r="AD56" s="38">
        <f t="shared" si="23"/>
        <v>2.1256544553507756E-2</v>
      </c>
      <c r="AE56" s="38">
        <f t="shared" si="24"/>
        <v>2.9497175964648646E-2</v>
      </c>
    </row>
    <row r="57" spans="7:31" x14ac:dyDescent="0.3">
      <c r="O57" s="34">
        <v>56</v>
      </c>
      <c r="P57" s="38">
        <f t="shared" si="13"/>
        <v>6.1491869381243953</v>
      </c>
      <c r="Q57" s="38">
        <f>'Thin theory'!I$43*EXP(-PI()*(L-P57)/lambda_thin)*COS(PI()*(L-P57)/lambda_thin)+'Thin theory'!I$44*EXP(-PI()*(L-P57)/lambda_thin)*SIN(PI()*(L-P57)/lambda_thin)+'Thin theory'!I$45*EXP(PI()*(L-P57)/lambda_thin)*COS(PI()*(L-P57)/lambda_thin)+'Thin theory'!I$46*EXP(PI()*(L-P57)/lambda_thin)*SIN(PI()*(L-P57)/lambda_thin)+wm</f>
        <v>8.0016258342921197E-6</v>
      </c>
      <c r="R57" s="38">
        <f>'Thin theory'!I$43*2*(PI()/lambda_thin)^2*EXP(-PI()*(L-P57)/lambda_thin)*SIN(PI()*(L-P57)/lambda_thin)-'Thin theory'!I$44*2*(PI()/lambda_thin)^2*EXP(-PI()*(L-P57)/lambda_thin)*COS(PI()*(L-P57)/lambda_thin)-'Thin theory'!I$45*2*(PI()/lambda_thin)^2*EXP(PI()*(L-P57)/lambda_thin)*SIN(PI()*(L-P57)/lambda_thin)+'Thin theory'!I$46*2*(PI()/lambda_thin)^2*EXP(PI()*(L-P57)/lambda_thin)*COS(PI()*(L-P57)/lambda_thin)</f>
        <v>-2.7773569988211225E-7</v>
      </c>
      <c r="S57" s="38">
        <f>(L-P57)*Nz/Cs-nu/rad*(wm*(L-P57)+'Thin theory'!I$43*0.5*lambda_thin/PI()*(1-EXP(-PI()*(L-P57)/lambda_thin)*(COS(PI()*(L-P57)/lambda_thin)-SIN(PI()*(L-P57)/lambda_thin)))+'Thin theory'!I$44*0.5*lambda_thin/PI()*(1-EXP(-PI()*(L-P57)/lambda_thin)*(COS(PI()*(L-P57)/lambda_thin)+SIN(PI()*(L-P57)/lambda_thin)))+'Thin theory'!I$45*0.5*lambda_thin/PI()*(-1+EXP(PI()*(L-P57)/lambda_thin)*(COS(PI()*(L-P57)/lambda_thin)+SIN(PI()*(L-P57)/lambda_thin)))+'Thin theory'!I$46*0.5*lambda_thin/PI()*(1+EXP(PI()*(L-P57)/lambda_thin)*(SIN(PI()*(L-P57)/lambda_thin)-COS(PI()*(L-P57)/lambda_thin))))</f>
        <v>-2.4339619568484677E-5</v>
      </c>
      <c r="T57" s="38">
        <f t="shared" si="12"/>
        <v>2.4339619568484677E-5</v>
      </c>
      <c r="U57" s="38">
        <f t="shared" si="14"/>
        <v>-5.0300975500575272E-6</v>
      </c>
      <c r="V57" s="38">
        <f t="shared" si="15"/>
        <v>-1</v>
      </c>
      <c r="W57" s="38">
        <f t="shared" si="16"/>
        <v>2.0065033371684814E-2</v>
      </c>
      <c r="X57" s="38">
        <f t="shared" si="17"/>
        <v>-5.0867344300753155E-3</v>
      </c>
      <c r="Y57" s="38">
        <f t="shared" si="18"/>
        <v>-1.5260203290225947E-3</v>
      </c>
      <c r="Z57" s="38">
        <f t="shared" si="19"/>
        <v>-1.0305204065804519</v>
      </c>
      <c r="AA57" s="38">
        <f t="shared" si="20"/>
        <v>-1</v>
      </c>
      <c r="AB57" s="38">
        <f t="shared" si="21"/>
        <v>-0.96947959341954815</v>
      </c>
      <c r="AC57" s="38">
        <f t="shared" si="22"/>
        <v>1.0908911397549247E-2</v>
      </c>
      <c r="AD57" s="38">
        <f t="shared" si="23"/>
        <v>2.0065033371684814E-2</v>
      </c>
      <c r="AE57" s="38">
        <f t="shared" si="24"/>
        <v>2.9221155345820381E-2</v>
      </c>
    </row>
    <row r="58" spans="7:31" x14ac:dyDescent="0.3">
      <c r="O58" s="34">
        <v>57</v>
      </c>
      <c r="P58" s="38">
        <f t="shared" si="13"/>
        <v>6.2609903369993845</v>
      </c>
      <c r="Q58" s="38">
        <f>'Thin theory'!I$43*EXP(-PI()*(L-P58)/lambda_thin)*COS(PI()*(L-P58)/lambda_thin)+'Thin theory'!I$44*EXP(-PI()*(L-P58)/lambda_thin)*SIN(PI()*(L-P58)/lambda_thin)+'Thin theory'!I$45*EXP(PI()*(L-P58)/lambda_thin)*COS(PI()*(L-P58)/lambda_thin)+'Thin theory'!I$46*EXP(PI()*(L-P58)/lambda_thin)*SIN(PI()*(L-P58)/lambda_thin)+wm</f>
        <v>7.9683635061593762E-6</v>
      </c>
      <c r="R58" s="38">
        <f>'Thin theory'!I$43*2*(PI()/lambda_thin)^2*EXP(-PI()*(L-P58)/lambda_thin)*SIN(PI()*(L-P58)/lambda_thin)-'Thin theory'!I$44*2*(PI()/lambda_thin)^2*EXP(-PI()*(L-P58)/lambda_thin)*COS(PI()*(L-P58)/lambda_thin)-'Thin theory'!I$45*2*(PI()/lambda_thin)^2*EXP(PI()*(L-P58)/lambda_thin)*SIN(PI()*(L-P58)/lambda_thin)+'Thin theory'!I$46*2*(PI()/lambda_thin)^2*EXP(PI()*(L-P58)/lambda_thin)*COS(PI()*(L-P58)/lambda_thin)</f>
        <v>-3.0824287720721165E-7</v>
      </c>
      <c r="S58" s="38">
        <f>(L-P58)*Nz/Cs-nu/rad*(wm*(L-P58)+'Thin theory'!I$43*0.5*lambda_thin/PI()*(1-EXP(-PI()*(L-P58)/lambda_thin)*(COS(PI()*(L-P58)/lambda_thin)-SIN(PI()*(L-P58)/lambda_thin)))+'Thin theory'!I$44*0.5*lambda_thin/PI()*(1-EXP(-PI()*(L-P58)/lambda_thin)*(COS(PI()*(L-P58)/lambda_thin)+SIN(PI()*(L-P58)/lambda_thin)))+'Thin theory'!I$45*0.5*lambda_thin/PI()*(-1+EXP(PI()*(L-P58)/lambda_thin)*(COS(PI()*(L-P58)/lambda_thin)+SIN(PI()*(L-P58)/lambda_thin)))+'Thin theory'!I$46*0.5*lambda_thin/PI()*(1+EXP(PI()*(L-P58)/lambda_thin)*(SIN(PI()*(L-P58)/lambda_thin)-COS(PI()*(L-P58)/lambda_thin))))</f>
        <v>-2.3777347085482598E-5</v>
      </c>
      <c r="T58" s="38">
        <f t="shared" si="12"/>
        <v>2.3777347085482598E-5</v>
      </c>
      <c r="U58" s="38">
        <f t="shared" si="14"/>
        <v>-5.0281018103695628E-6</v>
      </c>
      <c r="V58" s="38">
        <f t="shared" si="15"/>
        <v>-1</v>
      </c>
      <c r="W58" s="38">
        <f t="shared" si="16"/>
        <v>1.8734540246375071E-2</v>
      </c>
      <c r="X58" s="38">
        <f t="shared" si="17"/>
        <v>-5.6454739415240226E-3</v>
      </c>
      <c r="Y58" s="38">
        <f t="shared" si="18"/>
        <v>-1.6936421824572067E-3</v>
      </c>
      <c r="Z58" s="38">
        <f t="shared" si="19"/>
        <v>-1.0338728436491442</v>
      </c>
      <c r="AA58" s="38">
        <f t="shared" si="20"/>
        <v>-1</v>
      </c>
      <c r="AB58" s="38">
        <f t="shared" si="21"/>
        <v>-0.96612715635085589</v>
      </c>
      <c r="AC58" s="38">
        <f t="shared" si="22"/>
        <v>8.5726871516318311E-3</v>
      </c>
      <c r="AD58" s="38">
        <f t="shared" si="23"/>
        <v>1.8734540246375071E-2</v>
      </c>
      <c r="AE58" s="38">
        <f t="shared" si="24"/>
        <v>2.889639334111831E-2</v>
      </c>
    </row>
    <row r="59" spans="7:31" x14ac:dyDescent="0.3">
      <c r="O59" s="34">
        <v>58</v>
      </c>
      <c r="P59" s="38">
        <f t="shared" si="13"/>
        <v>6.3727937358743718</v>
      </c>
      <c r="Q59" s="38">
        <f>'Thin theory'!I$43*EXP(-PI()*(L-P59)/lambda_thin)*COS(PI()*(L-P59)/lambda_thin)+'Thin theory'!I$44*EXP(-PI()*(L-P59)/lambda_thin)*SIN(PI()*(L-P59)/lambda_thin)+'Thin theory'!I$45*EXP(PI()*(L-P59)/lambda_thin)*COS(PI()*(L-P59)/lambda_thin)+'Thin theory'!I$46*EXP(PI()*(L-P59)/lambda_thin)*SIN(PI()*(L-P59)/lambda_thin)+wm</f>
        <v>7.9312454789746829E-6</v>
      </c>
      <c r="R59" s="38">
        <f>'Thin theory'!I$43*2*(PI()/lambda_thin)^2*EXP(-PI()*(L-P59)/lambda_thin)*SIN(PI()*(L-P59)/lambda_thin)-'Thin theory'!I$44*2*(PI()/lambda_thin)^2*EXP(-PI()*(L-P59)/lambda_thin)*COS(PI()*(L-P59)/lambda_thin)-'Thin theory'!I$45*2*(PI()/lambda_thin)^2*EXP(PI()*(L-P59)/lambda_thin)*SIN(PI()*(L-P59)/lambda_thin)+'Thin theory'!I$46*2*(PI()/lambda_thin)^2*EXP(PI()*(L-P59)/lambda_thin)*COS(PI()*(L-P59)/lambda_thin)</f>
        <v>-3.4130556565983272E-7</v>
      </c>
      <c r="S59" s="38">
        <f>(L-P59)*Nz/Cs-nu/rad*(wm*(L-P59)+'Thin theory'!I$43*0.5*lambda_thin/PI()*(1-EXP(-PI()*(L-P59)/lambda_thin)*(COS(PI()*(L-P59)/lambda_thin)-SIN(PI()*(L-P59)/lambda_thin)))+'Thin theory'!I$44*0.5*lambda_thin/PI()*(1-EXP(-PI()*(L-P59)/lambda_thin)*(COS(PI()*(L-P59)/lambda_thin)+SIN(PI()*(L-P59)/lambda_thin)))+'Thin theory'!I$45*0.5*lambda_thin/PI()*(-1+EXP(PI()*(L-P59)/lambda_thin)*(COS(PI()*(L-P59)/lambda_thin)+SIN(PI()*(L-P59)/lambda_thin)))+'Thin theory'!I$46*0.5*lambda_thin/PI()*(1+EXP(PI()*(L-P59)/lambda_thin)*(SIN(PI()*(L-P59)/lambda_thin)-COS(PI()*(L-P59)/lambda_thin))))</f>
        <v>-2.3215310443130604E-5</v>
      </c>
      <c r="T59" s="38">
        <f t="shared" si="12"/>
        <v>2.3215310443130604E-5</v>
      </c>
      <c r="U59" s="38">
        <f t="shared" si="14"/>
        <v>-5.0258747287384817E-6</v>
      </c>
      <c r="V59" s="38">
        <f t="shared" si="15"/>
        <v>-1</v>
      </c>
      <c r="W59" s="38">
        <f t="shared" si="16"/>
        <v>1.7249819158987278E-2</v>
      </c>
      <c r="X59" s="38">
        <f t="shared" si="17"/>
        <v>-6.2510176860775223E-3</v>
      </c>
      <c r="Y59" s="38">
        <f t="shared" si="18"/>
        <v>-1.8753053058232565E-3</v>
      </c>
      <c r="Z59" s="38">
        <f t="shared" si="19"/>
        <v>-1.0375061061164652</v>
      </c>
      <c r="AA59" s="38">
        <f t="shared" si="20"/>
        <v>-1</v>
      </c>
      <c r="AB59" s="38">
        <f t="shared" si="21"/>
        <v>-0.9624938938835349</v>
      </c>
      <c r="AC59" s="38">
        <f t="shared" si="22"/>
        <v>5.9979873240477381E-3</v>
      </c>
      <c r="AD59" s="38">
        <f t="shared" si="23"/>
        <v>1.7249819158987278E-2</v>
      </c>
      <c r="AE59" s="38">
        <f t="shared" si="24"/>
        <v>2.8501650993926819E-2</v>
      </c>
    </row>
    <row r="60" spans="7:31" x14ac:dyDescent="0.3">
      <c r="O60" s="34">
        <v>59</v>
      </c>
      <c r="P60" s="38">
        <f t="shared" si="13"/>
        <v>6.4845971347493609</v>
      </c>
      <c r="Q60" s="38">
        <f>'Thin theory'!I$43*EXP(-PI()*(L-P60)/lambda_thin)*COS(PI()*(L-P60)/lambda_thin)+'Thin theory'!I$44*EXP(-PI()*(L-P60)/lambda_thin)*SIN(PI()*(L-P60)/lambda_thin)+'Thin theory'!I$45*EXP(PI()*(L-P60)/lambda_thin)*COS(PI()*(L-P60)/lambda_thin)+'Thin theory'!I$46*EXP(PI()*(L-P60)/lambda_thin)*SIN(PI()*(L-P60)/lambda_thin)+wm</f>
        <v>7.8898586803195013E-6</v>
      </c>
      <c r="R60" s="38">
        <f>'Thin theory'!I$43*2*(PI()/lambda_thin)^2*EXP(-PI()*(L-P60)/lambda_thin)*SIN(PI()*(L-P60)/lambda_thin)-'Thin theory'!I$44*2*(PI()/lambda_thin)^2*EXP(-PI()*(L-P60)/lambda_thin)*COS(PI()*(L-P60)/lambda_thin)-'Thin theory'!I$45*2*(PI()/lambda_thin)^2*EXP(PI()*(L-P60)/lambda_thin)*SIN(PI()*(L-P60)/lambda_thin)+'Thin theory'!I$46*2*(PI()/lambda_thin)^2*EXP(PI()*(L-P60)/lambda_thin)*COS(PI()*(L-P60)/lambda_thin)</f>
        <v>-3.7672091280593764E-7</v>
      </c>
      <c r="S60" s="38">
        <f>(L-P60)*Nz/Cs-nu/rad*(wm*(L-P60)+'Thin theory'!I$43*0.5*lambda_thin/PI()*(1-EXP(-PI()*(L-P60)/lambda_thin)*(COS(PI()*(L-P60)/lambda_thin)-SIN(PI()*(L-P60)/lambda_thin)))+'Thin theory'!I$44*0.5*lambda_thin/PI()*(1-EXP(-PI()*(L-P60)/lambda_thin)*(COS(PI()*(L-P60)/lambda_thin)+SIN(PI()*(L-P60)/lambda_thin)))+'Thin theory'!I$45*0.5*lambda_thin/PI()*(-1+EXP(PI()*(L-P60)/lambda_thin)*(COS(PI()*(L-P60)/lambda_thin)+SIN(PI()*(L-P60)/lambda_thin)))+'Thin theory'!I$46*0.5*lambda_thin/PI()*(1+EXP(PI()*(L-P60)/lambda_thin)*(SIN(PI()*(L-P60)/lambda_thin)-COS(PI()*(L-P60)/lambda_thin))))</f>
        <v>-2.2653536874567306E-5</v>
      </c>
      <c r="T60" s="38">
        <f t="shared" si="12"/>
        <v>2.2653536874567306E-5</v>
      </c>
      <c r="U60" s="38">
        <f t="shared" si="14"/>
        <v>-5.0233915208191704E-6</v>
      </c>
      <c r="V60" s="38">
        <f t="shared" si="15"/>
        <v>-1</v>
      </c>
      <c r="W60" s="38">
        <f t="shared" si="16"/>
        <v>1.5594347212780049E-2</v>
      </c>
      <c r="X60" s="38">
        <f t="shared" si="17"/>
        <v>-6.8996504176911657E-3</v>
      </c>
      <c r="Y60" s="38">
        <f t="shared" si="18"/>
        <v>-2.0698951253073495E-3</v>
      </c>
      <c r="Z60" s="38">
        <f t="shared" si="19"/>
        <v>-1.0413979025061471</v>
      </c>
      <c r="AA60" s="38">
        <f t="shared" si="20"/>
        <v>-1</v>
      </c>
      <c r="AB60" s="38">
        <f t="shared" si="21"/>
        <v>-0.95860209749385306</v>
      </c>
      <c r="AC60" s="38">
        <f t="shared" si="22"/>
        <v>3.1749764609359521E-3</v>
      </c>
      <c r="AD60" s="38">
        <f t="shared" si="23"/>
        <v>1.5594347212780049E-2</v>
      </c>
      <c r="AE60" s="38">
        <f t="shared" si="24"/>
        <v>2.8013717964624145E-2</v>
      </c>
    </row>
    <row r="61" spans="7:31" x14ac:dyDescent="0.3">
      <c r="O61" s="34">
        <v>60</v>
      </c>
      <c r="P61" s="38">
        <f t="shared" si="13"/>
        <v>6.5964005336243501</v>
      </c>
      <c r="Q61" s="38">
        <f>'Thin theory'!I$43*EXP(-PI()*(L-P61)/lambda_thin)*COS(PI()*(L-P61)/lambda_thin)+'Thin theory'!I$44*EXP(-PI()*(L-P61)/lambda_thin)*SIN(PI()*(L-P61)/lambda_thin)+'Thin theory'!I$45*EXP(PI()*(L-P61)/lambda_thin)*COS(PI()*(L-P61)/lambda_thin)+'Thin theory'!I$46*EXP(PI()*(L-P61)/lambda_thin)*SIN(PI()*(L-P61)/lambda_thin)+wm</f>
        <v>7.8437606538258415E-6</v>
      </c>
      <c r="R61" s="38">
        <f>'Thin theory'!I$43*2*(PI()/lambda_thin)^2*EXP(-PI()*(L-P61)/lambda_thin)*SIN(PI()*(L-P61)/lambda_thin)-'Thin theory'!I$44*2*(PI()/lambda_thin)^2*EXP(-PI()*(L-P61)/lambda_thin)*COS(PI()*(L-P61)/lambda_thin)-'Thin theory'!I$45*2*(PI()/lambda_thin)^2*EXP(PI()*(L-P61)/lambda_thin)*SIN(PI()*(L-P61)/lambda_thin)+'Thin theory'!I$46*2*(PI()/lambda_thin)^2*EXP(PI()*(L-P61)/lambda_thin)*COS(PI()*(L-P61)/lambda_thin)</f>
        <v>-4.142627453429295E-7</v>
      </c>
      <c r="S61" s="38">
        <f>(L-P61)*Nz/Cs-nu/rad*(wm*(L-P61)+'Thin theory'!I$43*0.5*lambda_thin/PI()*(1-EXP(-PI()*(L-P61)/lambda_thin)*(COS(PI()*(L-P61)/lambda_thin)-SIN(PI()*(L-P61)/lambda_thin)))+'Thin theory'!I$44*0.5*lambda_thin/PI()*(1-EXP(-PI()*(L-P61)/lambda_thin)*(COS(PI()*(L-P61)/lambda_thin)+SIN(PI()*(L-P61)/lambda_thin)))+'Thin theory'!I$45*0.5*lambda_thin/PI()*(-1+EXP(PI()*(L-P61)/lambda_thin)*(COS(PI()*(L-P61)/lambda_thin)+SIN(PI()*(L-P61)/lambda_thin)))+'Thin theory'!I$46*0.5*lambda_thin/PI()*(1+EXP(PI()*(L-P61)/lambda_thin)*(SIN(PI()*(L-P61)/lambda_thin)-COS(PI()*(L-P61)/lambda_thin))))</f>
        <v>-2.2092056483959445E-5</v>
      </c>
      <c r="T61" s="38">
        <f t="shared" si="12"/>
        <v>2.2092056483959445E-5</v>
      </c>
      <c r="U61" s="38">
        <f t="shared" si="14"/>
        <v>-5.0206256392295512E-6</v>
      </c>
      <c r="V61" s="38">
        <f t="shared" si="15"/>
        <v>-1</v>
      </c>
      <c r="W61" s="38">
        <f t="shared" si="16"/>
        <v>1.3750426153033632E-2</v>
      </c>
      <c r="X61" s="38">
        <f t="shared" si="17"/>
        <v>-7.5872297681855222E-3</v>
      </c>
      <c r="Y61" s="38">
        <f t="shared" si="18"/>
        <v>-2.2761689304556564E-3</v>
      </c>
      <c r="Z61" s="38">
        <f t="shared" si="19"/>
        <v>-1.0455233786091132</v>
      </c>
      <c r="AA61" s="38">
        <f t="shared" si="20"/>
        <v>-1</v>
      </c>
      <c r="AB61" s="38">
        <f t="shared" si="21"/>
        <v>-0.95447662139088685</v>
      </c>
      <c r="AC61" s="38">
        <f t="shared" si="22"/>
        <v>9.3412570299693937E-5</v>
      </c>
      <c r="AD61" s="38">
        <f t="shared" si="23"/>
        <v>1.3750426153033632E-2</v>
      </c>
      <c r="AE61" s="38">
        <f t="shared" si="24"/>
        <v>2.7407439735767571E-2</v>
      </c>
    </row>
    <row r="62" spans="7:31" x14ac:dyDescent="0.3">
      <c r="O62" s="34">
        <v>61</v>
      </c>
      <c r="P62" s="38">
        <f t="shared" si="13"/>
        <v>6.7082039324993392</v>
      </c>
      <c r="Q62" s="38">
        <f>'Thin theory'!I$43*EXP(-PI()*(L-P62)/lambda_thin)*COS(PI()*(L-P62)/lambda_thin)+'Thin theory'!I$44*EXP(-PI()*(L-P62)/lambda_thin)*SIN(PI()*(L-P62)/lambda_thin)+'Thin theory'!I$45*EXP(PI()*(L-P62)/lambda_thin)*COS(PI()*(L-P62)/lambda_thin)+'Thin theory'!I$46*EXP(PI()*(L-P62)/lambda_thin)*SIN(PI()*(L-P62)/lambda_thin)+wm</f>
        <v>7.7924823888584717E-6</v>
      </c>
      <c r="R62" s="38">
        <f>'Thin theory'!I$43*2*(PI()/lambda_thin)^2*EXP(-PI()*(L-P62)/lambda_thin)*SIN(PI()*(L-P62)/lambda_thin)-'Thin theory'!I$44*2*(PI()/lambda_thin)^2*EXP(-PI()*(L-P62)/lambda_thin)*COS(PI()*(L-P62)/lambda_thin)-'Thin theory'!I$45*2*(PI()/lambda_thin)^2*EXP(PI()*(L-P62)/lambda_thin)*SIN(PI()*(L-P62)/lambda_thin)+'Thin theory'!I$46*2*(PI()/lambda_thin)^2*EXP(PI()*(L-P62)/lambda_thin)*COS(PI()*(L-P62)/lambda_thin)</f>
        <v>-4.5367915457470717E-7</v>
      </c>
      <c r="S62" s="38">
        <f>(L-P62)*Nz/Cs-nu/rad*(wm*(L-P62)+'Thin theory'!I$43*0.5*lambda_thin/PI()*(1-EXP(-PI()*(L-P62)/lambda_thin)*(COS(PI()*(L-P62)/lambda_thin)-SIN(PI()*(L-P62)/lambda_thin)))+'Thin theory'!I$44*0.5*lambda_thin/PI()*(1-EXP(-PI()*(L-P62)/lambda_thin)*(COS(PI()*(L-P62)/lambda_thin)+SIN(PI()*(L-P62)/lambda_thin)))+'Thin theory'!I$45*0.5*lambda_thin/PI()*(-1+EXP(PI()*(L-P62)/lambda_thin)*(COS(PI()*(L-P62)/lambda_thin)+SIN(PI()*(L-P62)/lambda_thin)))+'Thin theory'!I$46*0.5*lambda_thin/PI()*(1+EXP(PI()*(L-P62)/lambda_thin)*(SIN(PI()*(L-P62)/lambda_thin)-COS(PI()*(L-P62)/lambda_thin))))</f>
        <v>-2.1530902434295638E-5</v>
      </c>
      <c r="T62" s="38">
        <f t="shared" si="12"/>
        <v>2.1530902434295638E-5</v>
      </c>
      <c r="U62" s="38">
        <f t="shared" si="14"/>
        <v>-5.0175489433315084E-6</v>
      </c>
      <c r="V62" s="38">
        <f t="shared" si="15"/>
        <v>-1</v>
      </c>
      <c r="W62" s="38">
        <f t="shared" si="16"/>
        <v>1.1699295554338844E-2</v>
      </c>
      <c r="X62" s="38">
        <f t="shared" si="17"/>
        <v>-8.3091420251777872E-3</v>
      </c>
      <c r="Y62" s="38">
        <f t="shared" si="18"/>
        <v>-2.4927426075533362E-3</v>
      </c>
      <c r="Z62" s="38">
        <f t="shared" si="19"/>
        <v>-1.0498548521510667</v>
      </c>
      <c r="AA62" s="38">
        <f t="shared" si="20"/>
        <v>-1</v>
      </c>
      <c r="AB62" s="38">
        <f t="shared" si="21"/>
        <v>-0.95014514784893334</v>
      </c>
      <c r="AC62" s="38">
        <f t="shared" si="22"/>
        <v>-3.2571600909811725E-3</v>
      </c>
      <c r="AD62" s="38">
        <f t="shared" si="23"/>
        <v>1.1699295554338844E-2</v>
      </c>
      <c r="AE62" s="38">
        <f t="shared" si="24"/>
        <v>2.6655751199658861E-2</v>
      </c>
    </row>
    <row r="63" spans="7:31" x14ac:dyDescent="0.3">
      <c r="O63" s="34">
        <v>62</v>
      </c>
      <c r="P63" s="38">
        <f t="shared" si="13"/>
        <v>6.8200073313743284</v>
      </c>
      <c r="Q63" s="38">
        <f>'Thin theory'!I$43*EXP(-PI()*(L-P63)/lambda_thin)*COS(PI()*(L-P63)/lambda_thin)+'Thin theory'!I$44*EXP(-PI()*(L-P63)/lambda_thin)*SIN(PI()*(L-P63)/lambda_thin)+'Thin theory'!I$45*EXP(PI()*(L-P63)/lambda_thin)*COS(PI()*(L-P63)/lambda_thin)+'Thin theory'!I$46*EXP(PI()*(L-P63)/lambda_thin)*SIN(PI()*(L-P63)/lambda_thin)+wm</f>
        <v>7.7355314720405251E-6</v>
      </c>
      <c r="R63" s="38">
        <f>'Thin theory'!I$43*2*(PI()/lambda_thin)^2*EXP(-PI()*(L-P63)/lambda_thin)*SIN(PI()*(L-P63)/lambda_thin)-'Thin theory'!I$44*2*(PI()/lambda_thin)^2*EXP(-PI()*(L-P63)/lambda_thin)*COS(PI()*(L-P63)/lambda_thin)-'Thin theory'!I$45*2*(PI()/lambda_thin)^2*EXP(PI()*(L-P63)/lambda_thin)*SIN(PI()*(L-P63)/lambda_thin)+'Thin theory'!I$46*2*(PI()/lambda_thin)^2*EXP(PI()*(L-P63)/lambda_thin)*COS(PI()*(L-P63)/lambda_thin)</f>
        <v>-4.946899370468095E-7</v>
      </c>
      <c r="S63" s="38">
        <f>(L-P63)*Nz/Cs-nu/rad*(wm*(L-P63)+'Thin theory'!I$43*0.5*lambda_thin/PI()*(1-EXP(-PI()*(L-P63)/lambda_thin)*(COS(PI()*(L-P63)/lambda_thin)-SIN(PI()*(L-P63)/lambda_thin)))+'Thin theory'!I$44*0.5*lambda_thin/PI()*(1-EXP(-PI()*(L-P63)/lambda_thin)*(COS(PI()*(L-P63)/lambda_thin)+SIN(PI()*(L-P63)/lambda_thin)))+'Thin theory'!I$45*0.5*lambda_thin/PI()*(-1+EXP(PI()*(L-P63)/lambda_thin)*(COS(PI()*(L-P63)/lambda_thin)+SIN(PI()*(L-P63)/lambda_thin)))+'Thin theory'!I$46*0.5*lambda_thin/PI()*(1+EXP(PI()*(L-P63)/lambda_thin)*(SIN(PI()*(L-P63)/lambda_thin)-COS(PI()*(L-P63)/lambda_thin))))</f>
        <v>-2.0970111115135953E-5</v>
      </c>
      <c r="T63" s="38">
        <f t="shared" si="12"/>
        <v>2.0970111115135953E-5</v>
      </c>
      <c r="U63" s="38">
        <f t="shared" si="14"/>
        <v>-5.014131888322432E-6</v>
      </c>
      <c r="V63" s="38">
        <f t="shared" si="15"/>
        <v>-1</v>
      </c>
      <c r="W63" s="38">
        <f t="shared" si="16"/>
        <v>9.4212588816209707E-3</v>
      </c>
      <c r="X63" s="38">
        <f t="shared" si="17"/>
        <v>-9.0602552572675733E-3</v>
      </c>
      <c r="Y63" s="38">
        <f t="shared" si="18"/>
        <v>-2.7180765771802717E-3</v>
      </c>
      <c r="Z63" s="38">
        <f t="shared" si="19"/>
        <v>-1.0543615315436055</v>
      </c>
      <c r="AA63" s="38">
        <f t="shared" si="20"/>
        <v>-1</v>
      </c>
      <c r="AB63" s="38">
        <f t="shared" si="21"/>
        <v>-0.94563846845639454</v>
      </c>
      <c r="AC63" s="38">
        <f t="shared" si="22"/>
        <v>-6.8872005814606587E-3</v>
      </c>
      <c r="AD63" s="38">
        <f t="shared" si="23"/>
        <v>9.4212588816209707E-3</v>
      </c>
      <c r="AE63" s="38">
        <f t="shared" si="24"/>
        <v>2.5729718344702598E-2</v>
      </c>
    </row>
    <row r="64" spans="7:31" x14ac:dyDescent="0.3">
      <c r="O64" s="34">
        <v>63</v>
      </c>
      <c r="P64" s="38">
        <f t="shared" si="13"/>
        <v>6.9318107302493175</v>
      </c>
      <c r="Q64" s="38">
        <f>'Thin theory'!I$43*EXP(-PI()*(L-P64)/lambda_thin)*COS(PI()*(L-P64)/lambda_thin)+'Thin theory'!I$44*EXP(-PI()*(L-P64)/lambda_thin)*SIN(PI()*(L-P64)/lambda_thin)+'Thin theory'!I$45*EXP(PI()*(L-P64)/lambda_thin)*COS(PI()*(L-P64)/lambda_thin)+'Thin theory'!I$46*EXP(PI()*(L-P64)/lambda_thin)*SIN(PI()*(L-P64)/lambda_thin)+wm</f>
        <v>7.6723955925966107E-6</v>
      </c>
      <c r="R64" s="38">
        <f>'Thin theory'!I$43*2*(PI()/lambda_thin)^2*EXP(-PI()*(L-P64)/lambda_thin)*SIN(PI()*(L-P64)/lambda_thin)-'Thin theory'!I$44*2*(PI()/lambda_thin)^2*EXP(-PI()*(L-P64)/lambda_thin)*COS(PI()*(L-P64)/lambda_thin)-'Thin theory'!I$45*2*(PI()/lambda_thin)^2*EXP(PI()*(L-P64)/lambda_thin)*SIN(PI()*(L-P64)/lambda_thin)+'Thin theory'!I$46*2*(PI()/lambda_thin)^2*EXP(PI()*(L-P64)/lambda_thin)*COS(PI()*(L-P64)/lambda_thin)</f>
        <v>-5.369839075635457E-7</v>
      </c>
      <c r="S64" s="38">
        <f>(L-P64)*Nz/Cs-nu/rad*(wm*(L-P64)+'Thin theory'!I$43*0.5*lambda_thin/PI()*(1-EXP(-PI()*(L-P64)/lambda_thin)*(COS(PI()*(L-P64)/lambda_thin)-SIN(PI()*(L-P64)/lambda_thin)))+'Thin theory'!I$44*0.5*lambda_thin/PI()*(1-EXP(-PI()*(L-P64)/lambda_thin)*(COS(PI()*(L-P64)/lambda_thin)+SIN(PI()*(L-P64)/lambda_thin)))+'Thin theory'!I$45*0.5*lambda_thin/PI()*(-1+EXP(PI()*(L-P64)/lambda_thin)*(COS(PI()*(L-P64)/lambda_thin)+SIN(PI()*(L-P64)/lambda_thin)))+'Thin theory'!I$46*0.5*lambda_thin/PI()*(1+EXP(PI()*(L-P64)/lambda_thin)*(SIN(PI()*(L-P64)/lambda_thin)-COS(PI()*(L-P64)/lambda_thin))))</f>
        <v>-2.0409722288052018E-5</v>
      </c>
      <c r="T64" s="38">
        <f t="shared" si="12"/>
        <v>2.0409722288052018E-5</v>
      </c>
      <c r="U64" s="38">
        <f t="shared" si="14"/>
        <v>-5.0103437355557968E-6</v>
      </c>
      <c r="V64" s="38">
        <f t="shared" si="15"/>
        <v>-1</v>
      </c>
      <c r="W64" s="38">
        <f t="shared" si="16"/>
        <v>6.8958237038644456E-3</v>
      </c>
      <c r="X64" s="38">
        <f t="shared" si="17"/>
        <v>-9.8348701018964417E-3</v>
      </c>
      <c r="Y64" s="38">
        <f t="shared" si="18"/>
        <v>-2.9504610305689325E-3</v>
      </c>
      <c r="Z64" s="38">
        <f t="shared" si="19"/>
        <v>-1.0590092206113786</v>
      </c>
      <c r="AA64" s="38">
        <f t="shared" si="20"/>
        <v>-1</v>
      </c>
      <c r="AB64" s="38">
        <f t="shared" si="21"/>
        <v>-0.9409907793886213</v>
      </c>
      <c r="AC64" s="38">
        <f t="shared" si="22"/>
        <v>-1.080694247954915E-2</v>
      </c>
      <c r="AD64" s="38">
        <f t="shared" si="23"/>
        <v>6.8958237038644456E-3</v>
      </c>
      <c r="AE64" s="38">
        <f t="shared" si="24"/>
        <v>2.459858988727804E-2</v>
      </c>
    </row>
    <row r="65" spans="15:31" x14ac:dyDescent="0.3">
      <c r="O65" s="34">
        <v>64</v>
      </c>
      <c r="P65" s="38">
        <f t="shared" si="13"/>
        <v>7.0436141291243066</v>
      </c>
      <c r="Q65" s="38">
        <f>'Thin theory'!I$43*EXP(-PI()*(L-P65)/lambda_thin)*COS(PI()*(L-P65)/lambda_thin)+'Thin theory'!I$44*EXP(-PI()*(L-P65)/lambda_thin)*SIN(PI()*(L-P65)/lambda_thin)+'Thin theory'!I$45*EXP(PI()*(L-P65)/lambda_thin)*COS(PI()*(L-P65)/lambda_thin)+'Thin theory'!I$46*EXP(PI()*(L-P65)/lambda_thin)*SIN(PI()*(L-P65)/lambda_thin)+wm</f>
        <v>7.6025464350808015E-6</v>
      </c>
      <c r="R65" s="38">
        <f>'Thin theory'!I$43*2*(PI()/lambda_thin)^2*EXP(-PI()*(L-P65)/lambda_thin)*SIN(PI()*(L-P65)/lambda_thin)-'Thin theory'!I$44*2*(PI()/lambda_thin)^2*EXP(-PI()*(L-P65)/lambda_thin)*COS(PI()*(L-P65)/lambda_thin)-'Thin theory'!I$45*2*(PI()/lambda_thin)^2*EXP(PI()*(L-P65)/lambda_thin)*SIN(PI()*(L-P65)/lambda_thin)+'Thin theory'!I$46*2*(PI()/lambda_thin)^2*EXP(PI()*(L-P65)/lambda_thin)*COS(PI()*(L-P65)/lambda_thin)</f>
        <v>-5.8021610374155822E-7</v>
      </c>
      <c r="S65" s="38">
        <f>(L-P65)*Nz/Cs-nu/rad*(wm*(L-P65)+'Thin theory'!I$43*0.5*lambda_thin/PI()*(1-EXP(-PI()*(L-P65)/lambda_thin)*(COS(PI()*(L-P65)/lambda_thin)-SIN(PI()*(L-P65)/lambda_thin)))+'Thin theory'!I$44*0.5*lambda_thin/PI()*(1-EXP(-PI()*(L-P65)/lambda_thin)*(COS(PI()*(L-P65)/lambda_thin)+SIN(PI()*(L-P65)/lambda_thin)))+'Thin theory'!I$45*0.5*lambda_thin/PI()*(-1+EXP(PI()*(L-P65)/lambda_thin)*(COS(PI()*(L-P65)/lambda_thin)+SIN(PI()*(L-P65)/lambda_thin)))+'Thin theory'!I$46*0.5*lambda_thin/PI()*(1+EXP(PI()*(L-P65)/lambda_thin)*(SIN(PI()*(L-P65)/lambda_thin)-COS(PI()*(L-P65)/lambda_thin))))</f>
        <v>-1.9849779207272418E-5</v>
      </c>
      <c r="T65" s="38">
        <f t="shared" si="12"/>
        <v>1.9849779207272418E-5</v>
      </c>
      <c r="U65" s="38">
        <f t="shared" si="14"/>
        <v>-5.0061527861048484E-6</v>
      </c>
      <c r="V65" s="38">
        <f t="shared" si="15"/>
        <v>-1</v>
      </c>
      <c r="W65" s="38">
        <f t="shared" si="16"/>
        <v>4.1018574032320697E-3</v>
      </c>
      <c r="X65" s="38">
        <f t="shared" si="17"/>
        <v>-1.0626668566695205E-2</v>
      </c>
      <c r="Y65" s="38">
        <f t="shared" si="18"/>
        <v>-3.1880005700085615E-3</v>
      </c>
      <c r="Z65" s="38">
        <f t="shared" si="19"/>
        <v>-1.0637600114001713</v>
      </c>
      <c r="AA65" s="38">
        <f t="shared" si="20"/>
        <v>-1</v>
      </c>
      <c r="AB65" s="38">
        <f t="shared" si="21"/>
        <v>-0.93623998859982871</v>
      </c>
      <c r="AC65" s="38">
        <f t="shared" si="22"/>
        <v>-1.50261460168193E-2</v>
      </c>
      <c r="AD65" s="38">
        <f t="shared" si="23"/>
        <v>4.1018574032320697E-3</v>
      </c>
      <c r="AE65" s="38">
        <f t="shared" si="24"/>
        <v>2.3229860823283439E-2</v>
      </c>
    </row>
    <row r="66" spans="15:31" x14ac:dyDescent="0.3">
      <c r="O66" s="34">
        <v>65</v>
      </c>
      <c r="P66" s="38">
        <f t="shared" ref="P66:P97" si="25">0+(O66-1)/100*L</f>
        <v>7.1554175279992958</v>
      </c>
      <c r="Q66" s="38">
        <f>'Thin theory'!I$43*EXP(-PI()*(L-P66)/lambda_thin)*COS(PI()*(L-P66)/lambda_thin)+'Thin theory'!I$44*EXP(-PI()*(L-P66)/lambda_thin)*SIN(PI()*(L-P66)/lambda_thin)+'Thin theory'!I$45*EXP(PI()*(L-P66)/lambda_thin)*COS(PI()*(L-P66)/lambda_thin)+'Thin theory'!I$46*EXP(PI()*(L-P66)/lambda_thin)*SIN(PI()*(L-P66)/lambda_thin)+wm</f>
        <v>7.5254439944103867E-6</v>
      </c>
      <c r="R66" s="38">
        <f>'Thin theory'!I$43*2*(PI()/lambda_thin)^2*EXP(-PI()*(L-P66)/lambda_thin)*SIN(PI()*(L-P66)/lambda_thin)-'Thin theory'!I$44*2*(PI()/lambda_thin)^2*EXP(-PI()*(L-P66)/lambda_thin)*COS(PI()*(L-P66)/lambda_thin)-'Thin theory'!I$45*2*(PI()/lambda_thin)^2*EXP(PI()*(L-P66)/lambda_thin)*SIN(PI()*(L-P66)/lambda_thin)+'Thin theory'!I$46*2*(PI()/lambda_thin)^2*EXP(PI()*(L-P66)/lambda_thin)*COS(PI()*(L-P66)/lambda_thin)</f>
        <v>-6.2400490337000779E-7</v>
      </c>
      <c r="S66" s="38">
        <f>(L-P66)*Nz/Cs-nu/rad*(wm*(L-P66)+'Thin theory'!I$43*0.5*lambda_thin/PI()*(1-EXP(-PI()*(L-P66)/lambda_thin)*(COS(PI()*(L-P66)/lambda_thin)-SIN(PI()*(L-P66)/lambda_thin)))+'Thin theory'!I$44*0.5*lambda_thin/PI()*(1-EXP(-PI()*(L-P66)/lambda_thin)*(COS(PI()*(L-P66)/lambda_thin)+SIN(PI()*(L-P66)/lambda_thin)))+'Thin theory'!I$45*0.5*lambda_thin/PI()*(-1+EXP(PI()*(L-P66)/lambda_thin)*(COS(PI()*(L-P66)/lambda_thin)+SIN(PI()*(L-P66)/lambda_thin)))+'Thin theory'!I$46*0.5*lambda_thin/PI()*(1+EXP(PI()*(L-P66)/lambda_thin)*(SIN(PI()*(L-P66)/lambda_thin)-COS(PI()*(L-P66)/lambda_thin))))</f>
        <v>-1.9290328712818273E-5</v>
      </c>
      <c r="T66" s="38">
        <f t="shared" si="12"/>
        <v>1.9290328712818273E-5</v>
      </c>
      <c r="U66" s="38">
        <f t="shared" ref="U66:U102" si="26">Nz/Cs-nu/rad*Q66</f>
        <v>-5.0015266396646236E-6</v>
      </c>
      <c r="V66" s="38">
        <f t="shared" ref="V66:V97" si="27">Cs*(U66 + nu/rad*Q66)</f>
        <v>-1</v>
      </c>
      <c r="W66" s="38">
        <f t="shared" ref="W66:W102" si="28">Cs*(Q66/rad+nu*U66)</f>
        <v>1.0177597764154326E-3</v>
      </c>
      <c r="X66" s="38">
        <f t="shared" ref="X66:X102" si="29">D*R66</f>
        <v>-1.1428661233882927E-2</v>
      </c>
      <c r="Y66" s="38">
        <f t="shared" ref="Y66:Y97" si="30">nu*X66</f>
        <v>-3.4285983701648781E-3</v>
      </c>
      <c r="Z66" s="38">
        <f t="shared" ref="Z66:Z102" si="31">V66/t+6*X66/t/t</f>
        <v>-1.0685719674032976</v>
      </c>
      <c r="AA66" s="38">
        <f t="shared" ref="AA66:AA102" si="32">V66/t</f>
        <v>-1</v>
      </c>
      <c r="AB66" s="38">
        <f t="shared" ref="AB66:AB102" si="33">V66/t-6*X66/t/t</f>
        <v>-0.93142803259670248</v>
      </c>
      <c r="AC66" s="38">
        <f t="shared" ref="AC66:AC102" si="34">W66/t+6*Y66/t/t</f>
        <v>-1.9553830444573837E-2</v>
      </c>
      <c r="AD66" s="38">
        <f t="shared" ref="AD66:AD102" si="35">W66/t</f>
        <v>1.0177597764154326E-3</v>
      </c>
      <c r="AE66" s="38">
        <f t="shared" ref="AE66:AE102" si="36">W66/t-6*Y66/t/t</f>
        <v>2.1589349997404701E-2</v>
      </c>
    </row>
    <row r="67" spans="15:31" x14ac:dyDescent="0.3">
      <c r="O67" s="34">
        <v>66</v>
      </c>
      <c r="P67" s="38">
        <f t="shared" si="25"/>
        <v>7.2672209268742849</v>
      </c>
      <c r="Q67" s="38">
        <f>'Thin theory'!I$43*EXP(-PI()*(L-P67)/lambda_thin)*COS(PI()*(L-P67)/lambda_thin)+'Thin theory'!I$44*EXP(-PI()*(L-P67)/lambda_thin)*SIN(PI()*(L-P67)/lambda_thin)+'Thin theory'!I$45*EXP(PI()*(L-P67)/lambda_thin)*COS(PI()*(L-P67)/lambda_thin)+'Thin theory'!I$46*EXP(PI()*(L-P67)/lambda_thin)*SIN(PI()*(L-P67)/lambda_thin)+wm</f>
        <v>7.4405413492138963E-6</v>
      </c>
      <c r="R67" s="38">
        <f>'Thin theory'!I$43*2*(PI()/lambda_thin)^2*EXP(-PI()*(L-P67)/lambda_thin)*SIN(PI()*(L-P67)/lambda_thin)-'Thin theory'!I$44*2*(PI()/lambda_thin)^2*EXP(-PI()*(L-P67)/lambda_thin)*COS(PI()*(L-P67)/lambda_thin)-'Thin theory'!I$45*2*(PI()/lambda_thin)^2*EXP(PI()*(L-P67)/lambda_thin)*SIN(PI()*(L-P67)/lambda_thin)+'Thin theory'!I$46*2*(PI()/lambda_thin)^2*EXP(PI()*(L-P67)/lambda_thin)*COS(PI()*(L-P67)/lambda_thin)</f>
        <v>-6.6792907815385646E-7</v>
      </c>
      <c r="S67" s="38">
        <f>(L-P67)*Nz/Cs-nu/rad*(wm*(L-P67)+'Thin theory'!I$43*0.5*lambda_thin/PI()*(1-EXP(-PI()*(L-P67)/lambda_thin)*(COS(PI()*(L-P67)/lambda_thin)-SIN(PI()*(L-P67)/lambda_thin)))+'Thin theory'!I$44*0.5*lambda_thin/PI()*(1-EXP(-PI()*(L-P67)/lambda_thin)*(COS(PI()*(L-P67)/lambda_thin)+SIN(PI()*(L-P67)/lambda_thin)))+'Thin theory'!I$45*0.5*lambda_thin/PI()*(-1+EXP(PI()*(L-P67)/lambda_thin)*(COS(PI()*(L-P67)/lambda_thin)+SIN(PI()*(L-P67)/lambda_thin)))+'Thin theory'!I$46*0.5*lambda_thin/PI()*(1+EXP(PI()*(L-P67)/lambda_thin)*(SIN(PI()*(L-P67)/lambda_thin)-COS(PI()*(L-P67)/lambda_thin))))</f>
        <v>-1.8731421293175815E-5</v>
      </c>
      <c r="T67" s="38">
        <f t="shared" ref="T67:T102" si="37">ABS(S67)</f>
        <v>1.8731421293175815E-5</v>
      </c>
      <c r="U67" s="38">
        <f t="shared" si="26"/>
        <v>-4.9964324809528344E-6</v>
      </c>
      <c r="V67" s="38">
        <f t="shared" si="27"/>
        <v>-1</v>
      </c>
      <c r="W67" s="38">
        <f t="shared" si="28"/>
        <v>-2.3783460314441779E-3</v>
      </c>
      <c r="X67" s="38">
        <f t="shared" si="29"/>
        <v>-1.2233133299521181E-2</v>
      </c>
      <c r="Y67" s="38">
        <f t="shared" si="30"/>
        <v>-3.6699399898563541E-3</v>
      </c>
      <c r="Z67" s="38">
        <f t="shared" si="31"/>
        <v>-1.073398799797127</v>
      </c>
      <c r="AA67" s="38">
        <f t="shared" si="32"/>
        <v>-1</v>
      </c>
      <c r="AB67" s="38">
        <f t="shared" si="33"/>
        <v>-0.92660120020287295</v>
      </c>
      <c r="AC67" s="38">
        <f t="shared" si="34"/>
        <v>-2.4397985970582303E-2</v>
      </c>
      <c r="AD67" s="38">
        <f t="shared" si="35"/>
        <v>-2.3783460314441779E-3</v>
      </c>
      <c r="AE67" s="38">
        <f t="shared" si="36"/>
        <v>1.9641293907693948E-2</v>
      </c>
    </row>
    <row r="68" spans="15:31" x14ac:dyDescent="0.3">
      <c r="O68" s="34">
        <v>67</v>
      </c>
      <c r="P68" s="38">
        <f t="shared" si="25"/>
        <v>7.379024325749274</v>
      </c>
      <c r="Q68" s="38">
        <f>'Thin theory'!I$43*EXP(-PI()*(L-P68)/lambda_thin)*COS(PI()*(L-P68)/lambda_thin)+'Thin theory'!I$44*EXP(-PI()*(L-P68)/lambda_thin)*SIN(PI()*(L-P68)/lambda_thin)+'Thin theory'!I$45*EXP(PI()*(L-P68)/lambda_thin)*COS(PI()*(L-P68)/lambda_thin)+'Thin theory'!I$46*EXP(PI()*(L-P68)/lambda_thin)*SIN(PI()*(L-P68)/lambda_thin)+wm</f>
        <v>7.3472899302943995E-6</v>
      </c>
      <c r="R68" s="38">
        <f>'Thin theory'!I$43*2*(PI()/lambda_thin)^2*EXP(-PI()*(L-P68)/lambda_thin)*SIN(PI()*(L-P68)/lambda_thin)-'Thin theory'!I$44*2*(PI()/lambda_thin)^2*EXP(-PI()*(L-P68)/lambda_thin)*COS(PI()*(L-P68)/lambda_thin)-'Thin theory'!I$45*2*(PI()/lambda_thin)^2*EXP(PI()*(L-P68)/lambda_thin)*SIN(PI()*(L-P68)/lambda_thin)+'Thin theory'!I$46*2*(PI()/lambda_thin)^2*EXP(PI()*(L-P68)/lambda_thin)*COS(PI()*(L-P68)/lambda_thin)</f>
        <v>-7.115248099194823E-7</v>
      </c>
      <c r="S68" s="38">
        <f>(L-P68)*Nz/Cs-nu/rad*(wm*(L-P68)+'Thin theory'!I$43*0.5*lambda_thin/PI()*(1-EXP(-PI()*(L-P68)/lambda_thin)*(COS(PI()*(L-P68)/lambda_thin)-SIN(PI()*(L-P68)/lambda_thin)))+'Thin theory'!I$44*0.5*lambda_thin/PI()*(1-EXP(-PI()*(L-P68)/lambda_thin)*(COS(PI()*(L-P68)/lambda_thin)+SIN(PI()*(L-P68)/lambda_thin)))+'Thin theory'!I$45*0.5*lambda_thin/PI()*(-1+EXP(PI()*(L-P68)/lambda_thin)*(COS(PI()*(L-P68)/lambda_thin)+SIN(PI()*(L-P68)/lambda_thin)))+'Thin theory'!I$46*0.5*lambda_thin/PI()*(1+EXP(PI()*(L-P68)/lambda_thin)*(SIN(PI()*(L-P68)/lambda_thin)-COS(PI()*(L-P68)/lambda_thin))))</f>
        <v>-1.8173111114308493E-5</v>
      </c>
      <c r="T68" s="38">
        <f t="shared" si="37"/>
        <v>1.8173111114308493E-5</v>
      </c>
      <c r="U68" s="38">
        <f t="shared" si="26"/>
        <v>-4.9908373958176646E-6</v>
      </c>
      <c r="V68" s="38">
        <f t="shared" si="27"/>
        <v>-1</v>
      </c>
      <c r="W68" s="38">
        <f t="shared" si="28"/>
        <v>-6.1084027882240422E-3</v>
      </c>
      <c r="X68" s="38">
        <f t="shared" si="29"/>
        <v>-1.3031589925265244E-2</v>
      </c>
      <c r="Y68" s="38">
        <f t="shared" si="30"/>
        <v>-3.9094769775795731E-3</v>
      </c>
      <c r="Z68" s="38">
        <f t="shared" si="31"/>
        <v>-1.0781895395515915</v>
      </c>
      <c r="AA68" s="38">
        <f t="shared" si="32"/>
        <v>-1</v>
      </c>
      <c r="AB68" s="38">
        <f t="shared" si="33"/>
        <v>-0.92181046044840853</v>
      </c>
      <c r="AC68" s="38">
        <f t="shared" si="34"/>
        <v>-2.9565264653701483E-2</v>
      </c>
      <c r="AD68" s="38">
        <f t="shared" si="35"/>
        <v>-6.1084027882240422E-3</v>
      </c>
      <c r="AE68" s="38">
        <f t="shared" si="36"/>
        <v>1.7348459077253395E-2</v>
      </c>
    </row>
    <row r="69" spans="15:31" x14ac:dyDescent="0.3">
      <c r="O69" s="34">
        <v>68</v>
      </c>
      <c r="P69" s="38">
        <f t="shared" si="25"/>
        <v>7.4908277246242632</v>
      </c>
      <c r="Q69" s="38">
        <f>'Thin theory'!I$43*EXP(-PI()*(L-P69)/lambda_thin)*COS(PI()*(L-P69)/lambda_thin)+'Thin theory'!I$44*EXP(-PI()*(L-P69)/lambda_thin)*SIN(PI()*(L-P69)/lambda_thin)+'Thin theory'!I$45*EXP(PI()*(L-P69)/lambda_thin)*COS(PI()*(L-P69)/lambda_thin)+'Thin theory'!I$46*EXP(PI()*(L-P69)/lambda_thin)*SIN(PI()*(L-P69)/lambda_thin)+wm</f>
        <v>7.2451453214755597E-6</v>
      </c>
      <c r="R69" s="38">
        <f>'Thin theory'!I$43*2*(PI()/lambda_thin)^2*EXP(-PI()*(L-P69)/lambda_thin)*SIN(PI()*(L-P69)/lambda_thin)-'Thin theory'!I$44*2*(PI()/lambda_thin)^2*EXP(-PI()*(L-P69)/lambda_thin)*COS(PI()*(L-P69)/lambda_thin)-'Thin theory'!I$45*2*(PI()/lambda_thin)^2*EXP(PI()*(L-P69)/lambda_thin)*SIN(PI()*(L-P69)/lambda_thin)+'Thin theory'!I$46*2*(PI()/lambda_thin)^2*EXP(PI()*(L-P69)/lambda_thin)*COS(PI()*(L-P69)/lambda_thin)</f>
        <v>-7.5428269806539777E-7</v>
      </c>
      <c r="S69" s="38">
        <f>(L-P69)*Nz/Cs-nu/rad*(wm*(L-P69)+'Thin theory'!I$43*0.5*lambda_thin/PI()*(1-EXP(-PI()*(L-P69)/lambda_thin)*(COS(PI()*(L-P69)/lambda_thin)-SIN(PI()*(L-P69)/lambda_thin)))+'Thin theory'!I$44*0.5*lambda_thin/PI()*(1-EXP(-PI()*(L-P69)/lambda_thin)*(COS(PI()*(L-P69)/lambda_thin)+SIN(PI()*(L-P69)/lambda_thin)))+'Thin theory'!I$45*0.5*lambda_thin/PI()*(-1+EXP(PI()*(L-P69)/lambda_thin)*(COS(PI()*(L-P69)/lambda_thin)+SIN(PI()*(L-P69)/lambda_thin)))+'Thin theory'!I$46*0.5*lambda_thin/PI()*(1+EXP(PI()*(L-P69)/lambda_thin)*(SIN(PI()*(L-P69)/lambda_thin)-COS(PI()*(L-P69)/lambda_thin))))</f>
        <v>-1.7615456011562339E-5</v>
      </c>
      <c r="T69" s="38">
        <f t="shared" si="37"/>
        <v>1.7615456011562339E-5</v>
      </c>
      <c r="U69" s="38">
        <f t="shared" si="26"/>
        <v>-4.984708719288534E-6</v>
      </c>
      <c r="V69" s="38">
        <f t="shared" si="27"/>
        <v>-1</v>
      </c>
      <c r="W69" s="38">
        <f t="shared" si="28"/>
        <v>-1.0194187140977612E-2</v>
      </c>
      <c r="X69" s="38">
        <f t="shared" si="29"/>
        <v>-1.3814701429769189E-2</v>
      </c>
      <c r="Y69" s="38">
        <f t="shared" si="30"/>
        <v>-4.1444104289307566E-3</v>
      </c>
      <c r="Z69" s="38">
        <f t="shared" si="31"/>
        <v>-1.0828882085786151</v>
      </c>
      <c r="AA69" s="38">
        <f t="shared" si="32"/>
        <v>-1</v>
      </c>
      <c r="AB69" s="38">
        <f t="shared" si="33"/>
        <v>-0.91711179142138488</v>
      </c>
      <c r="AC69" s="38">
        <f t="shared" si="34"/>
        <v>-3.5060649714562152E-2</v>
      </c>
      <c r="AD69" s="38">
        <f t="shared" si="35"/>
        <v>-1.0194187140977612E-2</v>
      </c>
      <c r="AE69" s="38">
        <f t="shared" si="36"/>
        <v>1.4672275432606928E-2</v>
      </c>
    </row>
    <row r="70" spans="15:31" x14ac:dyDescent="0.3">
      <c r="O70" s="34">
        <v>69</v>
      </c>
      <c r="P70" s="38">
        <f t="shared" si="25"/>
        <v>7.6026311234992523</v>
      </c>
      <c r="Q70" s="38">
        <f>'Thin theory'!I$43*EXP(-PI()*(L-P70)/lambda_thin)*COS(PI()*(L-P70)/lambda_thin)+'Thin theory'!I$44*EXP(-PI()*(L-P70)/lambda_thin)*SIN(PI()*(L-P70)/lambda_thin)+'Thin theory'!I$45*EXP(PI()*(L-P70)/lambda_thin)*COS(PI()*(L-P70)/lambda_thin)+'Thin theory'!I$46*EXP(PI()*(L-P70)/lambda_thin)*SIN(PI()*(L-P70)/lambda_thin)+wm</f>
        <v>7.1335736302043205E-6</v>
      </c>
      <c r="R70" s="38">
        <f>'Thin theory'!I$43*2*(PI()/lambda_thin)^2*EXP(-PI()*(L-P70)/lambda_thin)*SIN(PI()*(L-P70)/lambda_thin)-'Thin theory'!I$44*2*(PI()/lambda_thin)^2*EXP(-PI()*(L-P70)/lambda_thin)*COS(PI()*(L-P70)/lambda_thin)-'Thin theory'!I$45*2*(PI()/lambda_thin)^2*EXP(PI()*(L-P70)/lambda_thin)*SIN(PI()*(L-P70)/lambda_thin)+'Thin theory'!I$46*2*(PI()/lambda_thin)^2*EXP(PI()*(L-P70)/lambda_thin)*COS(PI()*(L-P70)/lambda_thin)</f>
        <v>-7.9564478994770525E-7</v>
      </c>
      <c r="S70" s="38">
        <f>(L-P70)*Nz/Cs-nu/rad*(wm*(L-P70)+'Thin theory'!I$43*0.5*lambda_thin/PI()*(1-EXP(-PI()*(L-P70)/lambda_thin)*(COS(PI()*(L-P70)/lambda_thin)-SIN(PI()*(L-P70)/lambda_thin)))+'Thin theory'!I$44*0.5*lambda_thin/PI()*(1-EXP(-PI()*(L-P70)/lambda_thin)*(COS(PI()*(L-P70)/lambda_thin)+SIN(PI()*(L-P70)/lambda_thin)))+'Thin theory'!I$45*0.5*lambda_thin/PI()*(-1+EXP(PI()*(L-P70)/lambda_thin)*(COS(PI()*(L-P70)/lambda_thin)+SIN(PI()*(L-P70)/lambda_thin)))+'Thin theory'!I$46*0.5*lambda_thin/PI()*(1+EXP(PI()*(L-P70)/lambda_thin)*(SIN(PI()*(L-P70)/lambda_thin)-COS(PI()*(L-P70)/lambda_thin))))</f>
        <v>-1.7058517440767929E-5</v>
      </c>
      <c r="T70" s="38">
        <f t="shared" si="37"/>
        <v>1.7058517440767929E-5</v>
      </c>
      <c r="U70" s="38">
        <f t="shared" si="26"/>
        <v>-4.9780144178122594E-6</v>
      </c>
      <c r="V70" s="38">
        <f t="shared" si="27"/>
        <v>-1</v>
      </c>
      <c r="W70" s="38">
        <f t="shared" si="28"/>
        <v>-1.4657054791827174E-2</v>
      </c>
      <c r="X70" s="38">
        <f t="shared" si="29"/>
        <v>-1.4572248900141121E-2</v>
      </c>
      <c r="Y70" s="38">
        <f t="shared" si="30"/>
        <v>-4.3716746700423357E-3</v>
      </c>
      <c r="Z70" s="38">
        <f t="shared" si="31"/>
        <v>-1.0874334934008467</v>
      </c>
      <c r="AA70" s="38">
        <f t="shared" si="32"/>
        <v>-1</v>
      </c>
      <c r="AB70" s="38">
        <f t="shared" si="33"/>
        <v>-0.91256650659915328</v>
      </c>
      <c r="AC70" s="38">
        <f t="shared" si="34"/>
        <v>-4.0887102812081189E-2</v>
      </c>
      <c r="AD70" s="38">
        <f t="shared" si="35"/>
        <v>-1.4657054791827174E-2</v>
      </c>
      <c r="AE70" s="38">
        <f t="shared" si="36"/>
        <v>1.1572993228426838E-2</v>
      </c>
    </row>
    <row r="71" spans="15:31" x14ac:dyDescent="0.3">
      <c r="O71" s="34">
        <v>70</v>
      </c>
      <c r="P71" s="38">
        <f t="shared" si="25"/>
        <v>7.7144345223742397</v>
      </c>
      <c r="Q71" s="38">
        <f>'Thin theory'!I$43*EXP(-PI()*(L-P71)/lambda_thin)*COS(PI()*(L-P71)/lambda_thin)+'Thin theory'!I$44*EXP(-PI()*(L-P71)/lambda_thin)*SIN(PI()*(L-P71)/lambda_thin)+'Thin theory'!I$45*EXP(PI()*(L-P71)/lambda_thin)*COS(PI()*(L-P71)/lambda_thin)+'Thin theory'!I$46*EXP(PI()*(L-P71)/lambda_thin)*SIN(PI()*(L-P71)/lambda_thin)+wm</f>
        <v>7.0120584649941425E-6</v>
      </c>
      <c r="R71" s="38">
        <f>'Thin theory'!I$43*2*(PI()/lambda_thin)^2*EXP(-PI()*(L-P71)/lambda_thin)*SIN(PI()*(L-P71)/lambda_thin)-'Thin theory'!I$44*2*(PI()/lambda_thin)^2*EXP(-PI()*(L-P71)/lambda_thin)*COS(PI()*(L-P71)/lambda_thin)-'Thin theory'!I$45*2*(PI()/lambda_thin)^2*EXP(PI()*(L-P71)/lambda_thin)*SIN(PI()*(L-P71)/lambda_thin)+'Thin theory'!I$46*2*(PI()/lambda_thin)^2*EXP(PI()*(L-P71)/lambda_thin)*COS(PI()*(L-P71)/lambda_thin)</f>
        <v>-8.3500166900066616E-7</v>
      </c>
      <c r="S71" s="38">
        <f>(L-P71)*Nz/Cs-nu/rad*(wm*(L-P71)+'Thin theory'!I$43*0.5*lambda_thin/PI()*(1-EXP(-PI()*(L-P71)/lambda_thin)*(COS(PI()*(L-P71)/lambda_thin)-SIN(PI()*(L-P71)/lambda_thin)))+'Thin theory'!I$44*0.5*lambda_thin/PI()*(1-EXP(-PI()*(L-P71)/lambda_thin)*(COS(PI()*(L-P71)/lambda_thin)+SIN(PI()*(L-P71)/lambda_thin)))+'Thin theory'!I$45*0.5*lambda_thin/PI()*(-1+EXP(PI()*(L-P71)/lambda_thin)*(COS(PI()*(L-P71)/lambda_thin)+SIN(PI()*(L-P71)/lambda_thin)))+'Thin theory'!I$46*0.5*lambda_thin/PI()*(1+EXP(PI()*(L-P71)/lambda_thin)*(SIN(PI()*(L-P71)/lambda_thin)-COS(PI()*(L-P71)/lambda_thin))))</f>
        <v>-1.6502360384592223E-5</v>
      </c>
      <c r="T71" s="38">
        <f t="shared" si="37"/>
        <v>1.6502360384592223E-5</v>
      </c>
      <c r="U71" s="38">
        <f t="shared" si="26"/>
        <v>-4.9707235078996493E-6</v>
      </c>
      <c r="V71" s="38">
        <f t="shared" si="27"/>
        <v>-1</v>
      </c>
      <c r="W71" s="38">
        <f t="shared" si="28"/>
        <v>-1.9517661400234341E-2</v>
      </c>
      <c r="X71" s="38">
        <f t="shared" si="29"/>
        <v>-1.5293070860818062E-2</v>
      </c>
      <c r="Y71" s="38">
        <f t="shared" si="30"/>
        <v>-4.5879212582454181E-3</v>
      </c>
      <c r="Z71" s="38">
        <f t="shared" si="31"/>
        <v>-1.0917584251649084</v>
      </c>
      <c r="AA71" s="38">
        <f t="shared" si="32"/>
        <v>-1</v>
      </c>
      <c r="AB71" s="38">
        <f t="shared" si="33"/>
        <v>-0.9082415748350916</v>
      </c>
      <c r="AC71" s="38">
        <f t="shared" si="34"/>
        <v>-4.704518894970685E-2</v>
      </c>
      <c r="AD71" s="38">
        <f t="shared" si="35"/>
        <v>-1.9517661400234341E-2</v>
      </c>
      <c r="AE71" s="38">
        <f t="shared" si="36"/>
        <v>8.0098661492381679E-3</v>
      </c>
    </row>
    <row r="72" spans="15:31" x14ac:dyDescent="0.3">
      <c r="O72" s="34">
        <v>71</v>
      </c>
      <c r="P72" s="38">
        <f t="shared" si="25"/>
        <v>7.8262379212492288</v>
      </c>
      <c r="Q72" s="38">
        <f>'Thin theory'!I$43*EXP(-PI()*(L-P72)/lambda_thin)*COS(PI()*(L-P72)/lambda_thin)+'Thin theory'!I$44*EXP(-PI()*(L-P72)/lambda_thin)*SIN(PI()*(L-P72)/lambda_thin)+'Thin theory'!I$45*EXP(PI()*(L-P72)/lambda_thin)*COS(PI()*(L-P72)/lambda_thin)+'Thin theory'!I$46*EXP(PI()*(L-P72)/lambda_thin)*SIN(PI()*(L-P72)/lambda_thin)+wm</f>
        <v>6.8801085560676031E-6</v>
      </c>
      <c r="R72" s="38">
        <f>'Thin theory'!I$43*2*(PI()/lambda_thin)^2*EXP(-PI()*(L-P72)/lambda_thin)*SIN(PI()*(L-P72)/lambda_thin)-'Thin theory'!I$44*2*(PI()/lambda_thin)^2*EXP(-PI()*(L-P72)/lambda_thin)*COS(PI()*(L-P72)/lambda_thin)-'Thin theory'!I$45*2*(PI()/lambda_thin)^2*EXP(PI()*(L-P72)/lambda_thin)*SIN(PI()*(L-P72)/lambda_thin)+'Thin theory'!I$46*2*(PI()/lambda_thin)^2*EXP(PI()*(L-P72)/lambda_thin)*COS(PI()*(L-P72)/lambda_thin)</f>
        <v>-8.7168963870577607E-7</v>
      </c>
      <c r="S72" s="38">
        <f>(L-P72)*Nz/Cs-nu/rad*(wm*(L-P72)+'Thin theory'!I$43*0.5*lambda_thin/PI()*(1-EXP(-PI()*(L-P72)/lambda_thin)*(COS(PI()*(L-P72)/lambda_thin)-SIN(PI()*(L-P72)/lambda_thin)))+'Thin theory'!I$44*0.5*lambda_thin/PI()*(1-EXP(-PI()*(L-P72)/lambda_thin)*(COS(PI()*(L-P72)/lambda_thin)+SIN(PI()*(L-P72)/lambda_thin)))+'Thin theory'!I$45*0.5*lambda_thin/PI()*(-1+EXP(PI()*(L-P72)/lambda_thin)*(COS(PI()*(L-P72)/lambda_thin)+SIN(PI()*(L-P72)/lambda_thin)))+'Thin theory'!I$46*0.5*lambda_thin/PI()*(1+EXP(PI()*(L-P72)/lambda_thin)*(SIN(PI()*(L-P72)/lambda_thin)-COS(PI()*(L-P72)/lambda_thin))))</f>
        <v>-1.5947053209946948E-5</v>
      </c>
      <c r="T72" s="38">
        <f t="shared" si="37"/>
        <v>1.5947053209946948E-5</v>
      </c>
      <c r="U72" s="38">
        <f t="shared" si="26"/>
        <v>-4.9628065133640568E-6</v>
      </c>
      <c r="V72" s="38">
        <f t="shared" si="27"/>
        <v>-1</v>
      </c>
      <c r="W72" s="38">
        <f t="shared" si="28"/>
        <v>-2.4795657757295902E-2</v>
      </c>
      <c r="X72" s="38">
        <f t="shared" si="29"/>
        <v>-1.5965011697907986E-2</v>
      </c>
      <c r="Y72" s="38">
        <f t="shared" si="30"/>
        <v>-4.7895035093723955E-3</v>
      </c>
      <c r="Z72" s="38">
        <f t="shared" si="31"/>
        <v>-1.0957900701874479</v>
      </c>
      <c r="AA72" s="38">
        <f t="shared" si="32"/>
        <v>-1</v>
      </c>
      <c r="AB72" s="38">
        <f t="shared" si="33"/>
        <v>-0.9042099298125521</v>
      </c>
      <c r="AC72" s="38">
        <f t="shared" si="34"/>
        <v>-5.3532678813530271E-2</v>
      </c>
      <c r="AD72" s="38">
        <f t="shared" si="35"/>
        <v>-2.4795657757295902E-2</v>
      </c>
      <c r="AE72" s="38">
        <f t="shared" si="36"/>
        <v>3.941363298938471E-3</v>
      </c>
    </row>
    <row r="73" spans="15:31" x14ac:dyDescent="0.3">
      <c r="O73" s="34">
        <v>72</v>
      </c>
      <c r="P73" s="38">
        <f t="shared" si="25"/>
        <v>7.9380413201242179</v>
      </c>
      <c r="Q73" s="38">
        <f>'Thin theory'!I$43*EXP(-PI()*(L-P73)/lambda_thin)*COS(PI()*(L-P73)/lambda_thin)+'Thin theory'!I$44*EXP(-PI()*(L-P73)/lambda_thin)*SIN(PI()*(L-P73)/lambda_thin)+'Thin theory'!I$45*EXP(PI()*(L-P73)/lambda_thin)*COS(PI()*(L-P73)/lambda_thin)+'Thin theory'!I$46*EXP(PI()*(L-P73)/lambda_thin)*SIN(PI()*(L-P73)/lambda_thin)+wm</f>
        <v>6.737266054355408E-6</v>
      </c>
      <c r="R73" s="38">
        <f>'Thin theory'!I$43*2*(PI()/lambda_thin)^2*EXP(-PI()*(L-P73)/lambda_thin)*SIN(PI()*(L-P73)/lambda_thin)-'Thin theory'!I$44*2*(PI()/lambda_thin)^2*EXP(-PI()*(L-P73)/lambda_thin)*COS(PI()*(L-P73)/lambda_thin)-'Thin theory'!I$45*2*(PI()/lambda_thin)^2*EXP(PI()*(L-P73)/lambda_thin)*SIN(PI()*(L-P73)/lambda_thin)+'Thin theory'!I$46*2*(PI()/lambda_thin)^2*EXP(PI()*(L-P73)/lambda_thin)*COS(PI()*(L-P73)/lambda_thin)</f>
        <v>-9.0498804403406169E-7</v>
      </c>
      <c r="S73" s="38">
        <f>(L-P73)*Nz/Cs-nu/rad*(wm*(L-P73)+'Thin theory'!I$43*0.5*lambda_thin/PI()*(1-EXP(-PI()*(L-P73)/lambda_thin)*(COS(PI()*(L-P73)/lambda_thin)-SIN(PI()*(L-P73)/lambda_thin)))+'Thin theory'!I$44*0.5*lambda_thin/PI()*(1-EXP(-PI()*(L-P73)/lambda_thin)*(COS(PI()*(L-P73)/lambda_thin)+SIN(PI()*(L-P73)/lambda_thin)))+'Thin theory'!I$45*0.5*lambda_thin/PI()*(-1+EXP(PI()*(L-P73)/lambda_thin)*(COS(PI()*(L-P73)/lambda_thin)+SIN(PI()*(L-P73)/lambda_thin)))+'Thin theory'!I$46*0.5*lambda_thin/PI()*(1+EXP(PI()*(L-P73)/lambda_thin)*(SIN(PI()*(L-P73)/lambda_thin)-COS(PI()*(L-P73)/lambda_thin))))</f>
        <v>-1.5392667472020134E-5</v>
      </c>
      <c r="T73" s="38">
        <f t="shared" si="37"/>
        <v>1.5392667472020134E-5</v>
      </c>
      <c r="U73" s="38">
        <f t="shared" si="26"/>
        <v>-4.954235963261325E-6</v>
      </c>
      <c r="V73" s="38">
        <f t="shared" si="27"/>
        <v>-1</v>
      </c>
      <c r="W73" s="38">
        <f t="shared" si="28"/>
        <v>-3.0509357825783685E-2</v>
      </c>
      <c r="X73" s="38">
        <f t="shared" si="29"/>
        <v>-1.6574872601356441E-2</v>
      </c>
      <c r="Y73" s="38">
        <f t="shared" si="30"/>
        <v>-4.9724617804069319E-3</v>
      </c>
      <c r="Z73" s="38">
        <f t="shared" si="31"/>
        <v>-1.0994492356081387</v>
      </c>
      <c r="AA73" s="38">
        <f t="shared" si="32"/>
        <v>-1</v>
      </c>
      <c r="AB73" s="38">
        <f t="shared" si="33"/>
        <v>-0.90055076439186132</v>
      </c>
      <c r="AC73" s="38">
        <f t="shared" si="34"/>
        <v>-6.0344128508225278E-2</v>
      </c>
      <c r="AD73" s="38">
        <f t="shared" si="35"/>
        <v>-3.0509357825783685E-2</v>
      </c>
      <c r="AE73" s="38">
        <f t="shared" si="36"/>
        <v>-6.7458714334209247E-4</v>
      </c>
    </row>
    <row r="74" spans="15:31" x14ac:dyDescent="0.3">
      <c r="O74" s="34">
        <v>73</v>
      </c>
      <c r="P74" s="38">
        <f t="shared" si="25"/>
        <v>8.0498447189992071</v>
      </c>
      <c r="Q74" s="38">
        <f>'Thin theory'!I$43*EXP(-PI()*(L-P74)/lambda_thin)*COS(PI()*(L-P74)/lambda_thin)+'Thin theory'!I$44*EXP(-PI()*(L-P74)/lambda_thin)*SIN(PI()*(L-P74)/lambda_thin)+'Thin theory'!I$45*EXP(PI()*(L-P74)/lambda_thin)*COS(PI()*(L-P74)/lambda_thin)+'Thin theory'!I$46*EXP(PI()*(L-P74)/lambda_thin)*SIN(PI()*(L-P74)/lambda_thin)+wm</f>
        <v>6.5831155422865601E-6</v>
      </c>
      <c r="R74" s="38">
        <f>'Thin theory'!I$43*2*(PI()/lambda_thin)^2*EXP(-PI()*(L-P74)/lambda_thin)*SIN(PI()*(L-P74)/lambda_thin)-'Thin theory'!I$44*2*(PI()/lambda_thin)^2*EXP(-PI()*(L-P74)/lambda_thin)*COS(PI()*(L-P74)/lambda_thin)-'Thin theory'!I$45*2*(PI()/lambda_thin)^2*EXP(PI()*(L-P74)/lambda_thin)*SIN(PI()*(L-P74)/lambda_thin)+'Thin theory'!I$46*2*(PI()/lambda_thin)^2*EXP(PI()*(L-P74)/lambda_thin)*COS(PI()*(L-P74)/lambda_thin)</f>
        <v>-9.3411677568936174E-7</v>
      </c>
      <c r="S74" s="38">
        <f>(L-P74)*Nz/Cs-nu/rad*(wm*(L-P74)+'Thin theory'!I$43*0.5*lambda_thin/PI()*(1-EXP(-PI()*(L-P74)/lambda_thin)*(COS(PI()*(L-P74)/lambda_thin)-SIN(PI()*(L-P74)/lambda_thin)))+'Thin theory'!I$44*0.5*lambda_thin/PI()*(1-EXP(-PI()*(L-P74)/lambda_thin)*(COS(PI()*(L-P74)/lambda_thin)+SIN(PI()*(L-P74)/lambda_thin)))+'Thin theory'!I$45*0.5*lambda_thin/PI()*(-1+EXP(PI()*(L-P74)/lambda_thin)*(COS(PI()*(L-P74)/lambda_thin)+SIN(PI()*(L-P74)/lambda_thin)))+'Thin theory'!I$46*0.5*lambda_thin/PI()*(1+EXP(PI()*(L-P74)/lambda_thin)*(SIN(PI()*(L-P74)/lambda_thin)-COS(PI()*(L-P74)/lambda_thin))))</f>
        <v>-1.483927766026696E-5</v>
      </c>
      <c r="T74" s="38">
        <f t="shared" si="37"/>
        <v>1.483927766026696E-5</v>
      </c>
      <c r="U74" s="38">
        <f t="shared" si="26"/>
        <v>-4.9449869325371939E-6</v>
      </c>
      <c r="V74" s="38">
        <f t="shared" si="27"/>
        <v>-1</v>
      </c>
      <c r="W74" s="38">
        <f t="shared" si="28"/>
        <v>-3.6675378308537607E-2</v>
      </c>
      <c r="X74" s="38">
        <f t="shared" si="29"/>
        <v>-1.7108365855116516E-2</v>
      </c>
      <c r="Y74" s="38">
        <f t="shared" si="30"/>
        <v>-5.1325097565349549E-3</v>
      </c>
      <c r="Z74" s="38">
        <f t="shared" si="31"/>
        <v>-1.1026501951306991</v>
      </c>
      <c r="AA74" s="38">
        <f t="shared" si="32"/>
        <v>-1</v>
      </c>
      <c r="AB74" s="38">
        <f t="shared" si="33"/>
        <v>-0.89734980486930094</v>
      </c>
      <c r="AC74" s="38">
        <f t="shared" si="34"/>
        <v>-6.7470436847747339E-2</v>
      </c>
      <c r="AD74" s="38">
        <f t="shared" si="35"/>
        <v>-3.6675378308537607E-2</v>
      </c>
      <c r="AE74" s="38">
        <f t="shared" si="36"/>
        <v>-5.8803197693278776E-3</v>
      </c>
    </row>
    <row r="75" spans="15:31" x14ac:dyDescent="0.3">
      <c r="O75" s="34">
        <v>74</v>
      </c>
      <c r="P75" s="38">
        <f t="shared" si="25"/>
        <v>8.1616481178741971</v>
      </c>
      <c r="Q75" s="38">
        <f>'Thin theory'!I$43*EXP(-PI()*(L-P75)/lambda_thin)*COS(PI()*(L-P75)/lambda_thin)+'Thin theory'!I$44*EXP(-PI()*(L-P75)/lambda_thin)*SIN(PI()*(L-P75)/lambda_thin)+'Thin theory'!I$45*EXP(PI()*(L-P75)/lambda_thin)*COS(PI()*(L-P75)/lambda_thin)+'Thin theory'!I$46*EXP(PI()*(L-P75)/lambda_thin)*SIN(PI()*(L-P75)/lambda_thin)+wm</f>
        <v>6.4172937875153975E-6</v>
      </c>
      <c r="R75" s="38">
        <f>'Thin theory'!I$43*2*(PI()/lambda_thin)^2*EXP(-PI()*(L-P75)/lambda_thin)*SIN(PI()*(L-P75)/lambda_thin)-'Thin theory'!I$44*2*(PI()/lambda_thin)^2*EXP(-PI()*(L-P75)/lambda_thin)*COS(PI()*(L-P75)/lambda_thin)-'Thin theory'!I$45*2*(PI()/lambda_thin)^2*EXP(PI()*(L-P75)/lambda_thin)*SIN(PI()*(L-P75)/lambda_thin)+'Thin theory'!I$46*2*(PI()/lambda_thin)^2*EXP(PI()*(L-P75)/lambda_thin)*COS(PI()*(L-P75)/lambda_thin)</f>
        <v>-9.582340063656907E-7</v>
      </c>
      <c r="S75" s="38">
        <f>(L-P75)*Nz/Cs-nu/rad*(wm*(L-P75)+'Thin theory'!I$43*0.5*lambda_thin/PI()*(1-EXP(-PI()*(L-P75)/lambda_thin)*(COS(PI()*(L-P75)/lambda_thin)-SIN(PI()*(L-P75)/lambda_thin)))+'Thin theory'!I$44*0.5*lambda_thin/PI()*(1-EXP(-PI()*(L-P75)/lambda_thin)*(COS(PI()*(L-P75)/lambda_thin)+SIN(PI()*(L-P75)/lambda_thin)))+'Thin theory'!I$45*0.5*lambda_thin/PI()*(-1+EXP(PI()*(L-P75)/lambda_thin)*(COS(PI()*(L-P75)/lambda_thin)+SIN(PI()*(L-P75)/lambda_thin)))+'Thin theory'!I$46*0.5*lambda_thin/PI()*(1+EXP(PI()*(L-P75)/lambda_thin)*(SIN(PI()*(L-P75)/lambda_thin)-COS(PI()*(L-P75)/lambda_thin))))</f>
        <v>-1.4286960881479134E-5</v>
      </c>
      <c r="T75" s="38">
        <f t="shared" si="37"/>
        <v>1.4286960881479134E-5</v>
      </c>
      <c r="U75" s="38">
        <f t="shared" si="26"/>
        <v>-4.9350376272509246E-6</v>
      </c>
      <c r="V75" s="38">
        <f t="shared" si="27"/>
        <v>-1</v>
      </c>
      <c r="W75" s="38">
        <f t="shared" si="28"/>
        <v>-4.3308248499384153E-2</v>
      </c>
      <c r="X75" s="38">
        <f t="shared" si="29"/>
        <v>-1.7550073376661E-2</v>
      </c>
      <c r="Y75" s="38">
        <f t="shared" si="30"/>
        <v>-5.2650220129982998E-3</v>
      </c>
      <c r="Z75" s="38">
        <f t="shared" si="31"/>
        <v>-1.105300440259966</v>
      </c>
      <c r="AA75" s="38">
        <f t="shared" si="32"/>
        <v>-1</v>
      </c>
      <c r="AB75" s="38">
        <f t="shared" si="33"/>
        <v>-0.89469955974003401</v>
      </c>
      <c r="AC75" s="38">
        <f t="shared" si="34"/>
        <v>-7.4898380577373955E-2</v>
      </c>
      <c r="AD75" s="38">
        <f t="shared" si="35"/>
        <v>-4.3308248499384153E-2</v>
      </c>
      <c r="AE75" s="38">
        <f t="shared" si="36"/>
        <v>-1.1718116421394351E-2</v>
      </c>
    </row>
    <row r="76" spans="15:31" x14ac:dyDescent="0.3">
      <c r="O76" s="34">
        <v>75</v>
      </c>
      <c r="P76" s="38">
        <f t="shared" si="25"/>
        <v>8.2734515167491853</v>
      </c>
      <c r="Q76" s="38">
        <f>'Thin theory'!I$43*EXP(-PI()*(L-P76)/lambda_thin)*COS(PI()*(L-P76)/lambda_thin)+'Thin theory'!I$44*EXP(-PI()*(L-P76)/lambda_thin)*SIN(PI()*(L-P76)/lambda_thin)+'Thin theory'!I$45*EXP(PI()*(L-P76)/lambda_thin)*COS(PI()*(L-P76)/lambda_thin)+'Thin theory'!I$46*EXP(PI()*(L-P76)/lambda_thin)*SIN(PI()*(L-P76)/lambda_thin)+wm</f>
        <v>6.2395002678268155E-6</v>
      </c>
      <c r="R76" s="38">
        <f>'Thin theory'!I$43*2*(PI()/lambda_thin)^2*EXP(-PI()*(L-P76)/lambda_thin)*SIN(PI()*(L-P76)/lambda_thin)-'Thin theory'!I$44*2*(PI()/lambda_thin)^2*EXP(-PI()*(L-P76)/lambda_thin)*COS(PI()*(L-P76)/lambda_thin)-'Thin theory'!I$45*2*(PI()/lambda_thin)^2*EXP(PI()*(L-P76)/lambda_thin)*SIN(PI()*(L-P76)/lambda_thin)+'Thin theory'!I$46*2*(PI()/lambda_thin)^2*EXP(PI()*(L-P76)/lambda_thin)*COS(PI()*(L-P76)/lambda_thin)</f>
        <v>-9.7643421228689948E-7</v>
      </c>
      <c r="S76" s="38">
        <f>(L-P76)*Nz/Cs-nu/rad*(wm*(L-P76)+'Thin theory'!I$43*0.5*lambda_thin/PI()*(1-EXP(-PI()*(L-P76)/lambda_thin)*(COS(PI()*(L-P76)/lambda_thin)-SIN(PI()*(L-P76)/lambda_thin)))+'Thin theory'!I$44*0.5*lambda_thin/PI()*(1-EXP(-PI()*(L-P76)/lambda_thin)*(COS(PI()*(L-P76)/lambda_thin)+SIN(PI()*(L-P76)/lambda_thin)))+'Thin theory'!I$45*0.5*lambda_thin/PI()*(-1+EXP(PI()*(L-P76)/lambda_thin)*(COS(PI()*(L-P76)/lambda_thin)+SIN(PI()*(L-P76)/lambda_thin)))+'Thin theory'!I$46*0.5*lambda_thin/PI()*(1+EXP(PI()*(L-P76)/lambda_thin)*(SIN(PI()*(L-P76)/lambda_thin)-COS(PI()*(L-P76)/lambda_thin))))</f>
        <v>-1.3735796474852583E-5</v>
      </c>
      <c r="T76" s="38">
        <f t="shared" si="37"/>
        <v>1.3735796474852583E-5</v>
      </c>
      <c r="U76" s="38">
        <f t="shared" si="26"/>
        <v>-4.9243700160696095E-6</v>
      </c>
      <c r="V76" s="38">
        <f t="shared" si="27"/>
        <v>-1</v>
      </c>
      <c r="W76" s="38">
        <f t="shared" si="28"/>
        <v>-5.0419989286927397E-2</v>
      </c>
      <c r="X76" s="38">
        <f t="shared" si="29"/>
        <v>-1.7883410481445046E-2</v>
      </c>
      <c r="Y76" s="38">
        <f t="shared" si="30"/>
        <v>-5.3650231444335138E-3</v>
      </c>
      <c r="Z76" s="38">
        <f t="shared" si="31"/>
        <v>-1.1073004628886702</v>
      </c>
      <c r="AA76" s="38">
        <f t="shared" si="32"/>
        <v>-1</v>
      </c>
      <c r="AB76" s="38">
        <f t="shared" si="33"/>
        <v>-0.89269953711132977</v>
      </c>
      <c r="AC76" s="38">
        <f t="shared" si="34"/>
        <v>-8.2610128153528473E-2</v>
      </c>
      <c r="AD76" s="38">
        <f t="shared" si="35"/>
        <v>-5.0419989286927397E-2</v>
      </c>
      <c r="AE76" s="38">
        <f t="shared" si="36"/>
        <v>-1.8229850420326314E-2</v>
      </c>
    </row>
    <row r="77" spans="15:31" x14ac:dyDescent="0.3">
      <c r="O77" s="34">
        <v>76</v>
      </c>
      <c r="P77" s="38">
        <f t="shared" si="25"/>
        <v>8.3852549156241736</v>
      </c>
      <c r="Q77" s="38">
        <f>'Thin theory'!I$43*EXP(-PI()*(L-P77)/lambda_thin)*COS(PI()*(L-P77)/lambda_thin)+'Thin theory'!I$44*EXP(-PI()*(L-P77)/lambda_thin)*SIN(PI()*(L-P77)/lambda_thin)+'Thin theory'!I$45*EXP(PI()*(L-P77)/lambda_thin)*COS(PI()*(L-P77)/lambda_thin)+'Thin theory'!I$46*EXP(PI()*(L-P77)/lambda_thin)*SIN(PI()*(L-P77)/lambda_thin)+wm</f>
        <v>6.0495084918905271E-6</v>
      </c>
      <c r="R77" s="38">
        <f>'Thin theory'!I$43*2*(PI()/lambda_thin)^2*EXP(-PI()*(L-P77)/lambda_thin)*SIN(PI()*(L-P77)/lambda_thin)-'Thin theory'!I$44*2*(PI()/lambda_thin)^2*EXP(-PI()*(L-P77)/lambda_thin)*COS(PI()*(L-P77)/lambda_thin)-'Thin theory'!I$45*2*(PI()/lambda_thin)^2*EXP(PI()*(L-P77)/lambda_thin)*SIN(PI()*(L-P77)/lambda_thin)+'Thin theory'!I$46*2*(PI()/lambda_thin)^2*EXP(PI()*(L-P77)/lambda_thin)*COS(PI()*(L-P77)/lambda_thin)</f>
        <v>-9.8774653750586102E-7</v>
      </c>
      <c r="S77" s="38">
        <f>(L-P77)*Nz/Cs-nu/rad*(wm*(L-P77)+'Thin theory'!I$43*0.5*lambda_thin/PI()*(1-EXP(-PI()*(L-P77)/lambda_thin)*(COS(PI()*(L-P77)/lambda_thin)-SIN(PI()*(L-P77)/lambda_thin)))+'Thin theory'!I$44*0.5*lambda_thin/PI()*(1-EXP(-PI()*(L-P77)/lambda_thin)*(COS(PI()*(L-P77)/lambda_thin)+SIN(PI()*(L-P77)/lambda_thin)))+'Thin theory'!I$45*0.5*lambda_thin/PI()*(-1+EXP(PI()*(L-P77)/lambda_thin)*(COS(PI()*(L-P77)/lambda_thin)+SIN(PI()*(L-P77)/lambda_thin)))+'Thin theory'!I$46*0.5*lambda_thin/PI()*(1+EXP(PI()*(L-P77)/lambda_thin)*(SIN(PI()*(L-P77)/lambda_thin)-COS(PI()*(L-P77)/lambda_thin))))</f>
        <v>-1.3185865553795172E-5</v>
      </c>
      <c r="T77" s="38">
        <f t="shared" si="37"/>
        <v>1.3185865553795172E-5</v>
      </c>
      <c r="U77" s="38">
        <f t="shared" si="26"/>
        <v>-4.9129705095134323E-6</v>
      </c>
      <c r="V77" s="38">
        <f t="shared" si="27"/>
        <v>-1</v>
      </c>
      <c r="W77" s="38">
        <f t="shared" si="28"/>
        <v>-5.8019660324378969E-2</v>
      </c>
      <c r="X77" s="38">
        <f t="shared" si="29"/>
        <v>-1.809059592501577E-2</v>
      </c>
      <c r="Y77" s="38">
        <f t="shared" si="30"/>
        <v>-5.4271787775047311E-3</v>
      </c>
      <c r="Z77" s="38">
        <f t="shared" si="31"/>
        <v>-1.1085435755500945</v>
      </c>
      <c r="AA77" s="38">
        <f t="shared" si="32"/>
        <v>-1</v>
      </c>
      <c r="AB77" s="38">
        <f t="shared" si="33"/>
        <v>-0.89145642444990536</v>
      </c>
      <c r="AC77" s="38">
        <f t="shared" si="34"/>
        <v>-9.0582732989407361E-2</v>
      </c>
      <c r="AD77" s="38">
        <f t="shared" si="35"/>
        <v>-5.8019660324378969E-2</v>
      </c>
      <c r="AE77" s="38">
        <f t="shared" si="36"/>
        <v>-2.5456587659350584E-2</v>
      </c>
    </row>
    <row r="78" spans="15:31" x14ac:dyDescent="0.3">
      <c r="O78" s="34">
        <v>77</v>
      </c>
      <c r="P78" s="38">
        <f t="shared" si="25"/>
        <v>8.4970583144991636</v>
      </c>
      <c r="Q78" s="38">
        <f>'Thin theory'!I$43*EXP(-PI()*(L-P78)/lambda_thin)*COS(PI()*(L-P78)/lambda_thin)+'Thin theory'!I$44*EXP(-PI()*(L-P78)/lambda_thin)*SIN(PI()*(L-P78)/lambda_thin)+'Thin theory'!I$45*EXP(PI()*(L-P78)/lambda_thin)*COS(PI()*(L-P78)/lambda_thin)+'Thin theory'!I$46*EXP(PI()*(L-P78)/lambda_thin)*SIN(PI()*(L-P78)/lambda_thin)+wm</f>
        <v>5.8471781362462833E-6</v>
      </c>
      <c r="R78" s="38">
        <f>'Thin theory'!I$43*2*(PI()/lambda_thin)^2*EXP(-PI()*(L-P78)/lambda_thin)*SIN(PI()*(L-P78)/lambda_thin)-'Thin theory'!I$44*2*(PI()/lambda_thin)^2*EXP(-PI()*(L-P78)/lambda_thin)*COS(PI()*(L-P78)/lambda_thin)-'Thin theory'!I$45*2*(PI()/lambda_thin)^2*EXP(PI()*(L-P78)/lambda_thin)*SIN(PI()*(L-P78)/lambda_thin)+'Thin theory'!I$46*2*(PI()/lambda_thin)^2*EXP(PI()*(L-P78)/lambda_thin)*COS(PI()*(L-P78)/lambda_thin)</f>
        <v>-9.9113356278378152E-7</v>
      </c>
      <c r="S78" s="38">
        <f>(L-P78)*Nz/Cs-nu/rad*(wm*(L-P78)+'Thin theory'!I$43*0.5*lambda_thin/PI()*(1-EXP(-PI()*(L-P78)/lambda_thin)*(COS(PI()*(L-P78)/lambda_thin)-SIN(PI()*(L-P78)/lambda_thin)))+'Thin theory'!I$44*0.5*lambda_thin/PI()*(1-EXP(-PI()*(L-P78)/lambda_thin)*(COS(PI()*(L-P78)/lambda_thin)+SIN(PI()*(L-P78)/lambda_thin)))+'Thin theory'!I$45*0.5*lambda_thin/PI()*(-1+EXP(PI()*(L-P78)/lambda_thin)*(COS(PI()*(L-P78)/lambda_thin)+SIN(PI()*(L-P78)/lambda_thin)))+'Thin theory'!I$46*0.5*lambda_thin/PI()*(1+EXP(PI()*(L-P78)/lambda_thin)*(SIN(PI()*(L-P78)/lambda_thin)-COS(PI()*(L-P78)/lambda_thin))))</f>
        <v>-1.2637250469064898E-5</v>
      </c>
      <c r="T78" s="38">
        <f t="shared" si="37"/>
        <v>1.2637250469064898E-5</v>
      </c>
      <c r="U78" s="38">
        <f t="shared" si="26"/>
        <v>-4.9008306881747777E-6</v>
      </c>
      <c r="V78" s="38">
        <f t="shared" si="27"/>
        <v>-1</v>
      </c>
      <c r="W78" s="38">
        <f t="shared" si="28"/>
        <v>-6.6112874550148679E-2</v>
      </c>
      <c r="X78" s="38">
        <f t="shared" si="29"/>
        <v>-1.8152629355014313E-2</v>
      </c>
      <c r="Y78" s="38">
        <f t="shared" si="30"/>
        <v>-5.4457888065042939E-3</v>
      </c>
      <c r="Z78" s="38">
        <f t="shared" si="31"/>
        <v>-1.1089157761300859</v>
      </c>
      <c r="AA78" s="38">
        <f t="shared" si="32"/>
        <v>-1</v>
      </c>
      <c r="AB78" s="38">
        <f t="shared" si="33"/>
        <v>-0.89108422386991415</v>
      </c>
      <c r="AC78" s="38">
        <f t="shared" si="34"/>
        <v>-9.8787607389174442E-2</v>
      </c>
      <c r="AD78" s="38">
        <f t="shared" si="35"/>
        <v>-6.6112874550148679E-2</v>
      </c>
      <c r="AE78" s="38">
        <f t="shared" si="36"/>
        <v>-3.3438141711122915E-2</v>
      </c>
    </row>
    <row r="79" spans="15:31" x14ac:dyDescent="0.3">
      <c r="O79" s="34">
        <v>78</v>
      </c>
      <c r="P79" s="38">
        <f t="shared" si="25"/>
        <v>8.6088617133741518</v>
      </c>
      <c r="Q79" s="38">
        <f>'Thin theory'!I$43*EXP(-PI()*(L-P79)/lambda_thin)*COS(PI()*(L-P79)/lambda_thin)+'Thin theory'!I$44*EXP(-PI()*(L-P79)/lambda_thin)*SIN(PI()*(L-P79)/lambda_thin)+'Thin theory'!I$45*EXP(PI()*(L-P79)/lambda_thin)*COS(PI()*(L-P79)/lambda_thin)+'Thin theory'!I$46*EXP(PI()*(L-P79)/lambda_thin)*SIN(PI()*(L-P79)/lambda_thin)+wm</f>
        <v>5.6324680138399947E-6</v>
      </c>
      <c r="R79" s="38">
        <f>'Thin theory'!I$43*2*(PI()/lambda_thin)^2*EXP(-PI()*(L-P79)/lambda_thin)*SIN(PI()*(L-P79)/lambda_thin)-'Thin theory'!I$44*2*(PI()/lambda_thin)^2*EXP(-PI()*(L-P79)/lambda_thin)*COS(PI()*(L-P79)/lambda_thin)-'Thin theory'!I$45*2*(PI()/lambda_thin)^2*EXP(PI()*(L-P79)/lambda_thin)*SIN(PI()*(L-P79)/lambda_thin)+'Thin theory'!I$46*2*(PI()/lambda_thin)^2*EXP(PI()*(L-P79)/lambda_thin)*COS(PI()*(L-P79)/lambda_thin)</f>
        <v>-9.8549054532457438E-7</v>
      </c>
      <c r="S79" s="38">
        <f>(L-P79)*Nz/Cs-nu/rad*(wm*(L-P79)+'Thin theory'!I$43*0.5*lambda_thin/PI()*(1-EXP(-PI()*(L-P79)/lambda_thin)*(COS(PI()*(L-P79)/lambda_thin)-SIN(PI()*(L-P79)/lambda_thin)))+'Thin theory'!I$44*0.5*lambda_thin/PI()*(1-EXP(-PI()*(L-P79)/lambda_thin)*(COS(PI()*(L-P79)/lambda_thin)+SIN(PI()*(L-P79)/lambda_thin)))+'Thin theory'!I$45*0.5*lambda_thin/PI()*(-1+EXP(PI()*(L-P79)/lambda_thin)*(COS(PI()*(L-P79)/lambda_thin)+SIN(PI()*(L-P79)/lambda_thin)))+'Thin theory'!I$46*0.5*lambda_thin/PI()*(1+EXP(PI()*(L-P79)/lambda_thin)*(SIN(PI()*(L-P79)/lambda_thin)-COS(PI()*(L-P79)/lambda_thin))))</f>
        <v>-1.2090034187708609E-5</v>
      </c>
      <c r="T79" s="38">
        <f t="shared" si="37"/>
        <v>1.2090034187708609E-5</v>
      </c>
      <c r="U79" s="38">
        <f t="shared" si="26"/>
        <v>-4.8879480808303999E-6</v>
      </c>
      <c r="V79" s="38">
        <f t="shared" si="27"/>
        <v>-1</v>
      </c>
      <c r="W79" s="38">
        <f t="shared" si="28"/>
        <v>-7.4701279446400232E-2</v>
      </c>
      <c r="X79" s="38">
        <f t="shared" si="29"/>
        <v>-1.8049277386896965E-2</v>
      </c>
      <c r="Y79" s="38">
        <f t="shared" si="30"/>
        <v>-5.4147832160690891E-3</v>
      </c>
      <c r="Z79" s="38">
        <f t="shared" si="31"/>
        <v>-1.1082956643213817</v>
      </c>
      <c r="AA79" s="38">
        <f t="shared" si="32"/>
        <v>-1</v>
      </c>
      <c r="AB79" s="38">
        <f t="shared" si="33"/>
        <v>-0.89170433567861818</v>
      </c>
      <c r="AC79" s="38">
        <f t="shared" si="34"/>
        <v>-0.10718997874281477</v>
      </c>
      <c r="AD79" s="38">
        <f t="shared" si="35"/>
        <v>-7.4701279446400232E-2</v>
      </c>
      <c r="AE79" s="38">
        <f t="shared" si="36"/>
        <v>-4.2212580149985697E-2</v>
      </c>
    </row>
    <row r="80" spans="15:31" x14ac:dyDescent="0.3">
      <c r="O80" s="34">
        <v>79</v>
      </c>
      <c r="P80" s="38">
        <f t="shared" si="25"/>
        <v>8.7206651122491419</v>
      </c>
      <c r="Q80" s="38">
        <f>'Thin theory'!I$43*EXP(-PI()*(L-P80)/lambda_thin)*COS(PI()*(L-P80)/lambda_thin)+'Thin theory'!I$44*EXP(-PI()*(L-P80)/lambda_thin)*SIN(PI()*(L-P80)/lambda_thin)+'Thin theory'!I$45*EXP(PI()*(L-P80)/lambda_thin)*COS(PI()*(L-P80)/lambda_thin)+'Thin theory'!I$46*EXP(PI()*(L-P80)/lambda_thin)*SIN(PI()*(L-P80)/lambda_thin)+wm</f>
        <v>5.4054498835402924E-6</v>
      </c>
      <c r="R80" s="38">
        <f>'Thin theory'!I$43*2*(PI()/lambda_thin)^2*EXP(-PI()*(L-P80)/lambda_thin)*SIN(PI()*(L-P80)/lambda_thin)-'Thin theory'!I$44*2*(PI()/lambda_thin)^2*EXP(-PI()*(L-P80)/lambda_thin)*COS(PI()*(L-P80)/lambda_thin)-'Thin theory'!I$45*2*(PI()/lambda_thin)^2*EXP(PI()*(L-P80)/lambda_thin)*SIN(PI()*(L-P80)/lambda_thin)+'Thin theory'!I$46*2*(PI()/lambda_thin)^2*EXP(PI()*(L-P80)/lambda_thin)*COS(PI()*(L-P80)/lambda_thin)</f>
        <v>-9.6964520017681353E-7</v>
      </c>
      <c r="S80" s="38">
        <f>(L-P80)*Nz/Cs-nu/rad*(wm*(L-P80)+'Thin theory'!I$43*0.5*lambda_thin/PI()*(1-EXP(-PI()*(L-P80)/lambda_thin)*(COS(PI()*(L-P80)/lambda_thin)-SIN(PI()*(L-P80)/lambda_thin)))+'Thin theory'!I$44*0.5*lambda_thin/PI()*(1-EXP(-PI()*(L-P80)/lambda_thin)*(COS(PI()*(L-P80)/lambda_thin)+SIN(PI()*(L-P80)/lambda_thin)))+'Thin theory'!I$45*0.5*lambda_thin/PI()*(-1+EXP(PI()*(L-P80)/lambda_thin)*(COS(PI()*(L-P80)/lambda_thin)+SIN(PI()*(L-P80)/lambda_thin)))+'Thin theory'!I$46*0.5*lambda_thin/PI()*(1+EXP(PI()*(L-P80)/lambda_thin)*(SIN(PI()*(L-P80)/lambda_thin)-COS(PI()*(L-P80)/lambda_thin))))</f>
        <v>-1.1544299582187799E-5</v>
      </c>
      <c r="T80" s="38">
        <f t="shared" si="37"/>
        <v>1.1544299582187799E-5</v>
      </c>
      <c r="U80" s="38">
        <f t="shared" si="26"/>
        <v>-4.8743269930124184E-6</v>
      </c>
      <c r="V80" s="38">
        <f t="shared" si="27"/>
        <v>-1</v>
      </c>
      <c r="W80" s="38">
        <f t="shared" si="28"/>
        <v>-8.3782004658388337E-2</v>
      </c>
      <c r="X80" s="38">
        <f t="shared" si="29"/>
        <v>-1.7759069600307941E-2</v>
      </c>
      <c r="Y80" s="38">
        <f t="shared" si="30"/>
        <v>-5.327720880092382E-3</v>
      </c>
      <c r="Z80" s="38">
        <f t="shared" si="31"/>
        <v>-1.1065544176018476</v>
      </c>
      <c r="AA80" s="38">
        <f t="shared" si="32"/>
        <v>-1</v>
      </c>
      <c r="AB80" s="38">
        <f t="shared" si="33"/>
        <v>-0.89344558239815242</v>
      </c>
      <c r="AC80" s="38">
        <f t="shared" si="34"/>
        <v>-0.11574832993894263</v>
      </c>
      <c r="AD80" s="38">
        <f t="shared" si="35"/>
        <v>-8.3782004658388337E-2</v>
      </c>
      <c r="AE80" s="38">
        <f t="shared" si="36"/>
        <v>-5.1815679377834045E-2</v>
      </c>
    </row>
    <row r="81" spans="15:31" x14ac:dyDescent="0.3">
      <c r="O81" s="34">
        <v>80</v>
      </c>
      <c r="P81" s="38">
        <f t="shared" si="25"/>
        <v>8.8324685111241301</v>
      </c>
      <c r="Q81" s="38">
        <f>'Thin theory'!I$43*EXP(-PI()*(L-P81)/lambda_thin)*COS(PI()*(L-P81)/lambda_thin)+'Thin theory'!I$44*EXP(-PI()*(L-P81)/lambda_thin)*SIN(PI()*(L-P81)/lambda_thin)+'Thin theory'!I$45*EXP(PI()*(L-P81)/lambda_thin)*COS(PI()*(L-P81)/lambda_thin)+'Thin theory'!I$46*EXP(PI()*(L-P81)/lambda_thin)*SIN(PI()*(L-P81)/lambda_thin)+wm</f>
        <v>5.1663231032895434E-6</v>
      </c>
      <c r="R81" s="38">
        <f>'Thin theory'!I$43*2*(PI()/lambda_thin)^2*EXP(-PI()*(L-P81)/lambda_thin)*SIN(PI()*(L-P81)/lambda_thin)-'Thin theory'!I$44*2*(PI()/lambda_thin)^2*EXP(-PI()*(L-P81)/lambda_thin)*COS(PI()*(L-P81)/lambda_thin)-'Thin theory'!I$45*2*(PI()/lambda_thin)^2*EXP(PI()*(L-P81)/lambda_thin)*SIN(PI()*(L-P81)/lambda_thin)+'Thin theory'!I$46*2*(PI()/lambda_thin)^2*EXP(PI()*(L-P81)/lambda_thin)*COS(PI()*(L-P81)/lambda_thin)</f>
        <v>-9.4235809870445254E-7</v>
      </c>
      <c r="S81" s="38">
        <f>(L-P81)*Nz/Cs-nu/rad*(wm*(L-P81)+'Thin theory'!I$43*0.5*lambda_thin/PI()*(1-EXP(-PI()*(L-P81)/lambda_thin)*(COS(PI()*(L-P81)/lambda_thin)-SIN(PI()*(L-P81)/lambda_thin)))+'Thin theory'!I$44*0.5*lambda_thin/PI()*(1-EXP(-PI()*(L-P81)/lambda_thin)*(COS(PI()*(L-P81)/lambda_thin)+SIN(PI()*(L-P81)/lambda_thin)))+'Thin theory'!I$45*0.5*lambda_thin/PI()*(-1+EXP(PI()*(L-P81)/lambda_thin)*(COS(PI()*(L-P81)/lambda_thin)+SIN(PI()*(L-P81)/lambda_thin)))+'Thin theory'!I$46*0.5*lambda_thin/PI()*(1+EXP(PI()*(L-P81)/lambda_thin)*(SIN(PI()*(L-P81)/lambda_thin)-COS(PI()*(L-P81)/lambda_thin))))</f>
        <v>-1.1000128624037255E-5</v>
      </c>
      <c r="T81" s="38">
        <f t="shared" si="37"/>
        <v>1.1000128624037255E-5</v>
      </c>
      <c r="U81" s="38">
        <f t="shared" si="26"/>
        <v>-4.8599793861973727E-6</v>
      </c>
      <c r="V81" s="38">
        <f t="shared" si="27"/>
        <v>-1</v>
      </c>
      <c r="W81" s="38">
        <f t="shared" si="28"/>
        <v>-9.3347075868418269E-2</v>
      </c>
      <c r="X81" s="38">
        <f t="shared" si="29"/>
        <v>-1.7259305837077885E-2</v>
      </c>
      <c r="Y81" s="38">
        <f t="shared" si="30"/>
        <v>-5.1777917511233651E-3</v>
      </c>
      <c r="Z81" s="38">
        <f t="shared" si="31"/>
        <v>-1.1035558350224672</v>
      </c>
      <c r="AA81" s="38">
        <f t="shared" si="32"/>
        <v>-1</v>
      </c>
      <c r="AB81" s="38">
        <f t="shared" si="33"/>
        <v>-0.89644416497753265</v>
      </c>
      <c r="AC81" s="38">
        <f t="shared" si="34"/>
        <v>-0.12441382637515846</v>
      </c>
      <c r="AD81" s="38">
        <f t="shared" si="35"/>
        <v>-9.3347075868418269E-2</v>
      </c>
      <c r="AE81" s="38">
        <f t="shared" si="36"/>
        <v>-6.2280325361678081E-2</v>
      </c>
    </row>
    <row r="82" spans="15:31" x14ac:dyDescent="0.3">
      <c r="O82" s="34">
        <v>81</v>
      </c>
      <c r="P82" s="38">
        <f t="shared" si="25"/>
        <v>8.9442719099991201</v>
      </c>
      <c r="Q82" s="38">
        <f>'Thin theory'!I$43*EXP(-PI()*(L-P82)/lambda_thin)*COS(PI()*(L-P82)/lambda_thin)+'Thin theory'!I$44*EXP(-PI()*(L-P82)/lambda_thin)*SIN(PI()*(L-P82)/lambda_thin)+'Thin theory'!I$45*EXP(PI()*(L-P82)/lambda_thin)*COS(PI()*(L-P82)/lambda_thin)+'Thin theory'!I$46*EXP(PI()*(L-P82)/lambda_thin)*SIN(PI()*(L-P82)/lambda_thin)+wm</f>
        <v>4.9154301218249888E-6</v>
      </c>
      <c r="R82" s="38">
        <f>'Thin theory'!I$43*2*(PI()/lambda_thin)^2*EXP(-PI()*(L-P82)/lambda_thin)*SIN(PI()*(L-P82)/lambda_thin)-'Thin theory'!I$44*2*(PI()/lambda_thin)^2*EXP(-PI()*(L-P82)/lambda_thin)*COS(PI()*(L-P82)/lambda_thin)-'Thin theory'!I$45*2*(PI()/lambda_thin)^2*EXP(PI()*(L-P82)/lambda_thin)*SIN(PI()*(L-P82)/lambda_thin)+'Thin theory'!I$46*2*(PI()/lambda_thin)^2*EXP(PI()*(L-P82)/lambda_thin)*COS(PI()*(L-P82)/lambda_thin)</f>
        <v>-9.0232376413023072E-7</v>
      </c>
      <c r="S82" s="38">
        <f>(L-P82)*Nz/Cs-nu/rad*(wm*(L-P82)+'Thin theory'!I$43*0.5*lambda_thin/PI()*(1-EXP(-PI()*(L-P82)/lambda_thin)*(COS(PI()*(L-P82)/lambda_thin)-SIN(PI()*(L-P82)/lambda_thin)))+'Thin theory'!I$44*0.5*lambda_thin/PI()*(1-EXP(-PI()*(L-P82)/lambda_thin)*(COS(PI()*(L-P82)/lambda_thin)+SIN(PI()*(L-P82)/lambda_thin)))+'Thin theory'!I$45*0.5*lambda_thin/PI()*(-1+EXP(PI()*(L-P82)/lambda_thin)*(COS(PI()*(L-P82)/lambda_thin)+SIN(PI()*(L-P82)/lambda_thin)))+'Thin theory'!I$46*0.5*lambda_thin/PI()*(1+EXP(PI()*(L-P82)/lambda_thin)*(SIN(PI()*(L-P82)/lambda_thin)-COS(PI()*(L-P82)/lambda_thin))))</f>
        <v>-1.0457601476409445E-5</v>
      </c>
      <c r="T82" s="38">
        <f t="shared" si="37"/>
        <v>1.0457601476409445E-5</v>
      </c>
      <c r="U82" s="38">
        <f t="shared" si="26"/>
        <v>-4.8449258073095E-6</v>
      </c>
      <c r="V82" s="38">
        <f t="shared" si="27"/>
        <v>-1</v>
      </c>
      <c r="W82" s="38">
        <f t="shared" si="28"/>
        <v>-0.10338279512700048</v>
      </c>
      <c r="X82" s="38">
        <f t="shared" si="29"/>
        <v>-1.6526076266121442E-2</v>
      </c>
      <c r="Y82" s="38">
        <f t="shared" si="30"/>
        <v>-4.9578228798364326E-3</v>
      </c>
      <c r="Z82" s="38">
        <f t="shared" si="31"/>
        <v>-1.0991564575967288</v>
      </c>
      <c r="AA82" s="38">
        <f t="shared" si="32"/>
        <v>-1</v>
      </c>
      <c r="AB82" s="38">
        <f t="shared" si="33"/>
        <v>-0.90084354240327136</v>
      </c>
      <c r="AC82" s="38">
        <f t="shared" si="34"/>
        <v>-0.13312973240601908</v>
      </c>
      <c r="AD82" s="38">
        <f t="shared" si="35"/>
        <v>-0.10338279512700048</v>
      </c>
      <c r="AE82" s="38">
        <f t="shared" si="36"/>
        <v>-7.3635857847981878E-2</v>
      </c>
    </row>
    <row r="83" spans="15:31" x14ac:dyDescent="0.3">
      <c r="O83" s="34">
        <v>82</v>
      </c>
      <c r="P83" s="38">
        <f t="shared" si="25"/>
        <v>9.0560753088741084</v>
      </c>
      <c r="Q83" s="38">
        <f>'Thin theory'!I$43*EXP(-PI()*(L-P83)/lambda_thin)*COS(PI()*(L-P83)/lambda_thin)+'Thin theory'!I$44*EXP(-PI()*(L-P83)/lambda_thin)*SIN(PI()*(L-P83)/lambda_thin)+'Thin theory'!I$45*EXP(PI()*(L-P83)/lambda_thin)*COS(PI()*(L-P83)/lambda_thin)+'Thin theory'!I$46*EXP(PI()*(L-P83)/lambda_thin)*SIN(PI()*(L-P83)/lambda_thin)+wm</f>
        <v>4.653272795187714E-6</v>
      </c>
      <c r="R83" s="38">
        <f>'Thin theory'!I$43*2*(PI()/lambda_thin)^2*EXP(-PI()*(L-P83)/lambda_thin)*SIN(PI()*(L-P83)/lambda_thin)-'Thin theory'!I$44*2*(PI()/lambda_thin)^2*EXP(-PI()*(L-P83)/lambda_thin)*COS(PI()*(L-P83)/lambda_thin)-'Thin theory'!I$45*2*(PI()/lambda_thin)^2*EXP(PI()*(L-P83)/lambda_thin)*SIN(PI()*(L-P83)/lambda_thin)+'Thin theory'!I$46*2*(PI()/lambda_thin)^2*EXP(PI()*(L-P83)/lambda_thin)*COS(PI()*(L-P83)/lambda_thin)</f>
        <v>-8.4817254873032677E-7</v>
      </c>
      <c r="S83" s="38">
        <f>(L-P83)*Nz/Cs-nu/rad*(wm*(L-P83)+'Thin theory'!I$43*0.5*lambda_thin/PI()*(1-EXP(-PI()*(L-P83)/lambda_thin)*(COS(PI()*(L-P83)/lambda_thin)-SIN(PI()*(L-P83)/lambda_thin)))+'Thin theory'!I$44*0.5*lambda_thin/PI()*(1-EXP(-PI()*(L-P83)/lambda_thin)*(COS(PI()*(L-P83)/lambda_thin)+SIN(PI()*(L-P83)/lambda_thin)))+'Thin theory'!I$45*0.5*lambda_thin/PI()*(-1+EXP(PI()*(L-P83)/lambda_thin)*(COS(PI()*(L-P83)/lambda_thin)+SIN(PI()*(L-P83)/lambda_thin)))+'Thin theory'!I$46*0.5*lambda_thin/PI()*(1+EXP(PI()*(L-P83)/lambda_thin)*(SIN(PI()*(L-P83)/lambda_thin)-COS(PI()*(L-P83)/lambda_thin))))</f>
        <v>-9.9167954799206578E-6</v>
      </c>
      <c r="T83" s="38">
        <f t="shared" si="37"/>
        <v>9.9167954799206578E-6</v>
      </c>
      <c r="U83" s="38">
        <f t="shared" si="26"/>
        <v>-4.8291963677112632E-6</v>
      </c>
      <c r="V83" s="38">
        <f t="shared" si="27"/>
        <v>-1</v>
      </c>
      <c r="W83" s="38">
        <f t="shared" si="28"/>
        <v>-0.11386908819249146</v>
      </c>
      <c r="X83" s="38">
        <f t="shared" si="29"/>
        <v>-1.5534295764291699E-2</v>
      </c>
      <c r="Y83" s="38">
        <f t="shared" si="30"/>
        <v>-4.66028872928751E-3</v>
      </c>
      <c r="Z83" s="38">
        <f t="shared" si="31"/>
        <v>-1.0932057745857502</v>
      </c>
      <c r="AA83" s="38">
        <f t="shared" si="32"/>
        <v>-1</v>
      </c>
      <c r="AB83" s="38">
        <f t="shared" si="33"/>
        <v>-0.90679422541424981</v>
      </c>
      <c r="AC83" s="38">
        <f t="shared" si="34"/>
        <v>-0.14183082056821653</v>
      </c>
      <c r="AD83" s="38">
        <f t="shared" si="35"/>
        <v>-0.11386908819249146</v>
      </c>
      <c r="AE83" s="38">
        <f t="shared" si="36"/>
        <v>-8.5907355816766395E-2</v>
      </c>
    </row>
    <row r="84" spans="15:31" x14ac:dyDescent="0.3">
      <c r="O84" s="34">
        <v>83</v>
      </c>
      <c r="P84" s="38">
        <f t="shared" si="25"/>
        <v>9.1678787077490966</v>
      </c>
      <c r="Q84" s="38">
        <f>'Thin theory'!I$43*EXP(-PI()*(L-P84)/lambda_thin)*COS(PI()*(L-P84)/lambda_thin)+'Thin theory'!I$44*EXP(-PI()*(L-P84)/lambda_thin)*SIN(PI()*(L-P84)/lambda_thin)+'Thin theory'!I$45*EXP(PI()*(L-P84)/lambda_thin)*COS(PI()*(L-P84)/lambda_thin)+'Thin theory'!I$46*EXP(PI()*(L-P84)/lambda_thin)*SIN(PI()*(L-P84)/lambda_thin)+wm</f>
        <v>4.3805295044616229E-6</v>
      </c>
      <c r="R84" s="38">
        <f>'Thin theory'!I$43*2*(PI()/lambda_thin)^2*EXP(-PI()*(L-P84)/lambda_thin)*SIN(PI()*(L-P84)/lambda_thin)-'Thin theory'!I$44*2*(PI()/lambda_thin)^2*EXP(-PI()*(L-P84)/lambda_thin)*COS(PI()*(L-P84)/lambda_thin)-'Thin theory'!I$45*2*(PI()/lambda_thin)^2*EXP(PI()*(L-P84)/lambda_thin)*SIN(PI()*(L-P84)/lambda_thin)+'Thin theory'!I$46*2*(PI()/lambda_thin)^2*EXP(PI()*(L-P84)/lambda_thin)*COS(PI()*(L-P84)/lambda_thin)</f>
        <v>-7.7847338175769187E-7</v>
      </c>
      <c r="S84" s="38">
        <f>(L-P84)*Nz/Cs-nu/rad*(wm*(L-P84)+'Thin theory'!I$43*0.5*lambda_thin/PI()*(1-EXP(-PI()*(L-P84)/lambda_thin)*(COS(PI()*(L-P84)/lambda_thin)-SIN(PI()*(L-P84)/lambda_thin)))+'Thin theory'!I$44*0.5*lambda_thin/PI()*(1-EXP(-PI()*(L-P84)/lambda_thin)*(COS(PI()*(L-P84)/lambda_thin)+SIN(PI()*(L-P84)/lambda_thin)))+'Thin theory'!I$45*0.5*lambda_thin/PI()*(-1+EXP(PI()*(L-P84)/lambda_thin)*(COS(PI()*(L-P84)/lambda_thin)+SIN(PI()*(L-P84)/lambda_thin)))+'Thin theory'!I$46*0.5*lambda_thin/PI()*(1+EXP(PI()*(L-P84)/lambda_thin)*(SIN(PI()*(L-P84)/lambda_thin)-COS(PI()*(L-P84)/lambda_thin))))</f>
        <v>-9.3777840263390449E-6</v>
      </c>
      <c r="T84" s="38">
        <f t="shared" si="37"/>
        <v>9.3777840263390449E-6</v>
      </c>
      <c r="U84" s="38">
        <f t="shared" si="26"/>
        <v>-4.8128317702676977E-6</v>
      </c>
      <c r="V84" s="38">
        <f t="shared" si="27"/>
        <v>-1</v>
      </c>
      <c r="W84" s="38">
        <f t="shared" si="28"/>
        <v>-0.1247788198215351</v>
      </c>
      <c r="X84" s="38">
        <f t="shared" si="29"/>
        <v>-1.4257754244646372E-2</v>
      </c>
      <c r="Y84" s="38">
        <f t="shared" si="30"/>
        <v>-4.2773262733939114E-3</v>
      </c>
      <c r="Z84" s="38">
        <f t="shared" si="31"/>
        <v>-1.0855465254678782</v>
      </c>
      <c r="AA84" s="38">
        <f t="shared" si="32"/>
        <v>-1</v>
      </c>
      <c r="AB84" s="38">
        <f t="shared" si="33"/>
        <v>-0.91445347453212178</v>
      </c>
      <c r="AC84" s="38">
        <f t="shared" si="34"/>
        <v>-0.15044277746189857</v>
      </c>
      <c r="AD84" s="38">
        <f t="shared" si="35"/>
        <v>-0.1247788198215351</v>
      </c>
      <c r="AE84" s="38">
        <f t="shared" si="36"/>
        <v>-9.9114862181171631E-2</v>
      </c>
    </row>
    <row r="85" spans="15:31" x14ac:dyDescent="0.3">
      <c r="O85" s="34">
        <v>84</v>
      </c>
      <c r="P85" s="38">
        <f t="shared" si="25"/>
        <v>9.2796821066240867</v>
      </c>
      <c r="Q85" s="38">
        <f>'Thin theory'!I$43*EXP(-PI()*(L-P85)/lambda_thin)*COS(PI()*(L-P85)/lambda_thin)+'Thin theory'!I$44*EXP(-PI()*(L-P85)/lambda_thin)*SIN(PI()*(L-P85)/lambda_thin)+'Thin theory'!I$45*EXP(PI()*(L-P85)/lambda_thin)*COS(PI()*(L-P85)/lambda_thin)+'Thin theory'!I$46*EXP(PI()*(L-P85)/lambda_thin)*SIN(PI()*(L-P85)/lambda_thin)+wm</f>
        <v>4.0980730402960984E-6</v>
      </c>
      <c r="R85" s="38">
        <f>'Thin theory'!I$43*2*(PI()/lambda_thin)^2*EXP(-PI()*(L-P85)/lambda_thin)*SIN(PI()*(L-P85)/lambda_thin)-'Thin theory'!I$44*2*(PI()/lambda_thin)^2*EXP(-PI()*(L-P85)/lambda_thin)*COS(PI()*(L-P85)/lambda_thin)-'Thin theory'!I$45*2*(PI()/lambda_thin)^2*EXP(PI()*(L-P85)/lambda_thin)*SIN(PI()*(L-P85)/lambda_thin)+'Thin theory'!I$46*2*(PI()/lambda_thin)^2*EXP(PI()*(L-P85)/lambda_thin)*COS(PI()*(L-P85)/lambda_thin)</f>
        <v>-6.9173748154127914E-7</v>
      </c>
      <c r="S85" s="38">
        <f>(L-P85)*Nz/Cs-nu/rad*(wm*(L-P85)+'Thin theory'!I$43*0.5*lambda_thin/PI()*(1-EXP(-PI()*(L-P85)/lambda_thin)*(COS(PI()*(L-P85)/lambda_thin)-SIN(PI()*(L-P85)/lambda_thin)))+'Thin theory'!I$44*0.5*lambda_thin/PI()*(1-EXP(-PI()*(L-P85)/lambda_thin)*(COS(PI()*(L-P85)/lambda_thin)+SIN(PI()*(L-P85)/lambda_thin)))+'Thin theory'!I$45*0.5*lambda_thin/PI()*(-1+EXP(PI()*(L-P85)/lambda_thin)*(COS(PI()*(L-P85)/lambda_thin)+SIN(PI()*(L-P85)/lambda_thin)))+'Thin theory'!I$46*0.5*lambda_thin/PI()*(1+EXP(PI()*(L-P85)/lambda_thin)*(SIN(PI()*(L-P85)/lambda_thin)-COS(PI()*(L-P85)/lambda_thin))))</f>
        <v>-8.8406353148490994E-6</v>
      </c>
      <c r="T85" s="38">
        <f t="shared" si="37"/>
        <v>8.8406353148490994E-6</v>
      </c>
      <c r="U85" s="38">
        <f t="shared" si="26"/>
        <v>-4.7958843824177664E-6</v>
      </c>
      <c r="V85" s="38">
        <f t="shared" si="27"/>
        <v>-1</v>
      </c>
      <c r="W85" s="38">
        <f t="shared" si="28"/>
        <v>-0.13607707838815608</v>
      </c>
      <c r="X85" s="38">
        <f t="shared" si="29"/>
        <v>-1.2669184643613171E-2</v>
      </c>
      <c r="Y85" s="38">
        <f t="shared" si="30"/>
        <v>-3.8007553930839511E-3</v>
      </c>
      <c r="Z85" s="38">
        <f t="shared" si="31"/>
        <v>-1.0760151078616791</v>
      </c>
      <c r="AA85" s="38">
        <f t="shared" si="32"/>
        <v>-1</v>
      </c>
      <c r="AB85" s="38">
        <f t="shared" si="33"/>
        <v>-0.92398489213832091</v>
      </c>
      <c r="AC85" s="38">
        <f t="shared" si="34"/>
        <v>-0.1588816107466598</v>
      </c>
      <c r="AD85" s="38">
        <f t="shared" si="35"/>
        <v>-0.13607707838815608</v>
      </c>
      <c r="AE85" s="38">
        <f t="shared" si="36"/>
        <v>-0.11327254602965237</v>
      </c>
    </row>
    <row r="86" spans="15:31" x14ac:dyDescent="0.3">
      <c r="O86" s="34">
        <v>85</v>
      </c>
      <c r="P86" s="38">
        <f t="shared" si="25"/>
        <v>9.3914855054990749</v>
      </c>
      <c r="Q86" s="38">
        <f>'Thin theory'!I$43*EXP(-PI()*(L-P86)/lambda_thin)*COS(PI()*(L-P86)/lambda_thin)+'Thin theory'!I$44*EXP(-PI()*(L-P86)/lambda_thin)*SIN(PI()*(L-P86)/lambda_thin)+'Thin theory'!I$45*EXP(PI()*(L-P86)/lambda_thin)*COS(PI()*(L-P86)/lambda_thin)+'Thin theory'!I$46*EXP(PI()*(L-P86)/lambda_thin)*SIN(PI()*(L-P86)/lambda_thin)+wm</f>
        <v>3.8069892077093842E-6</v>
      </c>
      <c r="R86" s="38">
        <f>'Thin theory'!I$43*2*(PI()/lambda_thin)^2*EXP(-PI()*(L-P86)/lambda_thin)*SIN(PI()*(L-P86)/lambda_thin)-'Thin theory'!I$44*2*(PI()/lambda_thin)^2*EXP(-PI()*(L-P86)/lambda_thin)*COS(PI()*(L-P86)/lambda_thin)-'Thin theory'!I$45*2*(PI()/lambda_thin)^2*EXP(PI()*(L-P86)/lambda_thin)*SIN(PI()*(L-P86)/lambda_thin)+'Thin theory'!I$46*2*(PI()/lambda_thin)^2*EXP(PI()*(L-P86)/lambda_thin)*COS(PI()*(L-P86)/lambda_thin)</f>
        <v>-5.8642312938953812E-7</v>
      </c>
      <c r="S86" s="38">
        <f>(L-P86)*Nz/Cs-nu/rad*(wm*(L-P86)+'Thin theory'!I$43*0.5*lambda_thin/PI()*(1-EXP(-PI()*(L-P86)/lambda_thin)*(COS(PI()*(L-P86)/lambda_thin)-SIN(PI()*(L-P86)/lambda_thin)))+'Thin theory'!I$44*0.5*lambda_thin/PI()*(1-EXP(-PI()*(L-P86)/lambda_thin)*(COS(PI()*(L-P86)/lambda_thin)+SIN(PI()*(L-P86)/lambda_thin)))+'Thin theory'!I$45*0.5*lambda_thin/PI()*(-1+EXP(PI()*(L-P86)/lambda_thin)*(COS(PI()*(L-P86)/lambda_thin)+SIN(PI()*(L-P86)/lambda_thin)))+'Thin theory'!I$46*0.5*lambda_thin/PI()*(1+EXP(PI()*(L-P86)/lambda_thin)*(SIN(PI()*(L-P86)/lambda_thin)-COS(PI()*(L-P86)/lambda_thin))))</f>
        <v>-8.3054109858976149E-6</v>
      </c>
      <c r="T86" s="38">
        <f t="shared" si="37"/>
        <v>8.3054109858976149E-6</v>
      </c>
      <c r="U86" s="38">
        <f t="shared" si="26"/>
        <v>-4.7784193524625636E-6</v>
      </c>
      <c r="V86" s="38">
        <f t="shared" si="27"/>
        <v>-1</v>
      </c>
      <c r="W86" s="38">
        <f t="shared" si="28"/>
        <v>-0.14772043169162466</v>
      </c>
      <c r="X86" s="38">
        <f t="shared" si="29"/>
        <v>-1.0740350355119745E-2</v>
      </c>
      <c r="Y86" s="38">
        <f t="shared" si="30"/>
        <v>-3.2221051065359236E-3</v>
      </c>
      <c r="Z86" s="38">
        <f t="shared" si="31"/>
        <v>-1.0644421021307184</v>
      </c>
      <c r="AA86" s="38">
        <f t="shared" si="32"/>
        <v>-1</v>
      </c>
      <c r="AB86" s="38">
        <f t="shared" si="33"/>
        <v>-0.93555789786928156</v>
      </c>
      <c r="AC86" s="38">
        <f t="shared" si="34"/>
        <v>-0.16705306233084019</v>
      </c>
      <c r="AD86" s="38">
        <f t="shared" si="35"/>
        <v>-0.14772043169162466</v>
      </c>
      <c r="AE86" s="38">
        <f t="shared" si="36"/>
        <v>-0.12838780105240913</v>
      </c>
    </row>
    <row r="87" spans="15:31" x14ac:dyDescent="0.3">
      <c r="O87" s="34">
        <v>86</v>
      </c>
      <c r="P87" s="38">
        <f t="shared" si="25"/>
        <v>9.5032889043740649</v>
      </c>
      <c r="Q87" s="38">
        <f>'Thin theory'!I$43*EXP(-PI()*(L-P87)/lambda_thin)*COS(PI()*(L-P87)/lambda_thin)+'Thin theory'!I$44*EXP(-PI()*(L-P87)/lambda_thin)*SIN(PI()*(L-P87)/lambda_thin)+'Thin theory'!I$45*EXP(PI()*(L-P87)/lambda_thin)*COS(PI()*(L-P87)/lambda_thin)+'Thin theory'!I$46*EXP(PI()*(L-P87)/lambda_thin)*SIN(PI()*(L-P87)/lambda_thin)+wm</f>
        <v>3.5085960913930234E-6</v>
      </c>
      <c r="R87" s="38">
        <f>'Thin theory'!I$43*2*(PI()/lambda_thin)^2*EXP(-PI()*(L-P87)/lambda_thin)*SIN(PI()*(L-P87)/lambda_thin)-'Thin theory'!I$44*2*(PI()/lambda_thin)^2*EXP(-PI()*(L-P87)/lambda_thin)*COS(PI()*(L-P87)/lambda_thin)-'Thin theory'!I$45*2*(PI()/lambda_thin)^2*EXP(PI()*(L-P87)/lambda_thin)*SIN(PI()*(L-P87)/lambda_thin)+'Thin theory'!I$46*2*(PI()/lambda_thin)^2*EXP(PI()*(L-P87)/lambda_thin)*COS(PI()*(L-P87)/lambda_thin)</f>
        <v>-4.6094160685320289E-7</v>
      </c>
      <c r="S87" s="38">
        <f>(L-P87)*Nz/Cs-nu/rad*(wm*(L-P87)+'Thin theory'!I$43*0.5*lambda_thin/PI()*(1-EXP(-PI()*(L-P87)/lambda_thin)*(COS(PI()*(L-P87)/lambda_thin)-SIN(PI()*(L-P87)/lambda_thin)))+'Thin theory'!I$44*0.5*lambda_thin/PI()*(1-EXP(-PI()*(L-P87)/lambda_thin)*(COS(PI()*(L-P87)/lambda_thin)+SIN(PI()*(L-P87)/lambda_thin)))+'Thin theory'!I$45*0.5*lambda_thin/PI()*(-1+EXP(PI()*(L-P87)/lambda_thin)*(COS(PI()*(L-P87)/lambda_thin)+SIN(PI()*(L-P87)/lambda_thin)))+'Thin theory'!I$46*0.5*lambda_thin/PI()*(1+EXP(PI()*(L-P87)/lambda_thin)*(SIN(PI()*(L-P87)/lambda_thin)-COS(PI()*(L-P87)/lambda_thin))))</f>
        <v>-7.7721646279820276E-6</v>
      </c>
      <c r="T87" s="38">
        <f t="shared" si="37"/>
        <v>7.7721646279820276E-6</v>
      </c>
      <c r="U87" s="38">
        <f t="shared" si="26"/>
        <v>-4.760515765483582E-6</v>
      </c>
      <c r="V87" s="38">
        <f t="shared" si="27"/>
        <v>-1</v>
      </c>
      <c r="W87" s="38">
        <f t="shared" si="28"/>
        <v>-0.15965615634427913</v>
      </c>
      <c r="X87" s="38">
        <f t="shared" si="29"/>
        <v>-8.4421539716703822E-3</v>
      </c>
      <c r="Y87" s="38">
        <f t="shared" si="30"/>
        <v>-2.5326461915011144E-3</v>
      </c>
      <c r="Z87" s="38">
        <f t="shared" si="31"/>
        <v>-1.0506529238300222</v>
      </c>
      <c r="AA87" s="38">
        <f t="shared" si="32"/>
        <v>-1</v>
      </c>
      <c r="AB87" s="38">
        <f t="shared" si="33"/>
        <v>-0.94934707616997771</v>
      </c>
      <c r="AC87" s="38">
        <f t="shared" si="34"/>
        <v>-0.17485203349328582</v>
      </c>
      <c r="AD87" s="38">
        <f t="shared" si="35"/>
        <v>-0.15965615634427913</v>
      </c>
      <c r="AE87" s="38">
        <f t="shared" si="36"/>
        <v>-0.14446027919527243</v>
      </c>
    </row>
    <row r="88" spans="15:31" x14ac:dyDescent="0.3">
      <c r="O88" s="34">
        <v>87</v>
      </c>
      <c r="P88" s="38">
        <f t="shared" si="25"/>
        <v>9.6150923032490532</v>
      </c>
      <c r="Q88" s="38">
        <f>'Thin theory'!I$43*EXP(-PI()*(L-P88)/lambda_thin)*COS(PI()*(L-P88)/lambda_thin)+'Thin theory'!I$44*EXP(-PI()*(L-P88)/lambda_thin)*SIN(PI()*(L-P88)/lambda_thin)+'Thin theory'!I$45*EXP(PI()*(L-P88)/lambda_thin)*COS(PI()*(L-P88)/lambda_thin)+'Thin theory'!I$46*EXP(PI()*(L-P88)/lambda_thin)*SIN(PI()*(L-P88)/lambda_thin)+wm</f>
        <v>3.2044639071921469E-6</v>
      </c>
      <c r="R88" s="38">
        <f>'Thin theory'!I$43*2*(PI()/lambda_thin)^2*EXP(-PI()*(L-P88)/lambda_thin)*SIN(PI()*(L-P88)/lambda_thin)-'Thin theory'!I$44*2*(PI()/lambda_thin)^2*EXP(-PI()*(L-P88)/lambda_thin)*COS(PI()*(L-P88)/lambda_thin)-'Thin theory'!I$45*2*(PI()/lambda_thin)^2*EXP(PI()*(L-P88)/lambda_thin)*SIN(PI()*(L-P88)/lambda_thin)+'Thin theory'!I$46*2*(PI()/lambda_thin)^2*EXP(PI()*(L-P88)/lambda_thin)*COS(PI()*(L-P88)/lambda_thin)</f>
        <v>-3.1366440150219625E-7</v>
      </c>
      <c r="S88" s="38">
        <f>(L-P88)*Nz/Cs-nu/rad*(wm*(L-P88)+'Thin theory'!I$43*0.5*lambda_thin/PI()*(1-EXP(-PI()*(L-P88)/lambda_thin)*(COS(PI()*(L-P88)/lambda_thin)-SIN(PI()*(L-P88)/lambda_thin)))+'Thin theory'!I$44*0.5*lambda_thin/PI()*(1-EXP(-PI()*(L-P88)/lambda_thin)*(COS(PI()*(L-P88)/lambda_thin)+SIN(PI()*(L-P88)/lambda_thin)))+'Thin theory'!I$45*0.5*lambda_thin/PI()*(-1+EXP(PI()*(L-P88)/lambda_thin)*(COS(PI()*(L-P88)/lambda_thin)+SIN(PI()*(L-P88)/lambda_thin)))+'Thin theory'!I$46*0.5*lambda_thin/PI()*(1+EXP(PI()*(L-P88)/lambda_thin)*(SIN(PI()*(L-P88)/lambda_thin)-COS(PI()*(L-P88)/lambda_thin))))</f>
        <v>-7.2409401531913463E-6</v>
      </c>
      <c r="T88" s="38">
        <f t="shared" si="37"/>
        <v>7.2409401531913463E-6</v>
      </c>
      <c r="U88" s="38">
        <f t="shared" si="26"/>
        <v>-4.7422678344315297E-6</v>
      </c>
      <c r="V88" s="38">
        <f t="shared" si="27"/>
        <v>-1</v>
      </c>
      <c r="W88" s="38">
        <f t="shared" si="28"/>
        <v>-0.17182144371231414</v>
      </c>
      <c r="X88" s="38">
        <f t="shared" si="29"/>
        <v>-5.7447692582819829E-3</v>
      </c>
      <c r="Y88" s="38">
        <f t="shared" si="30"/>
        <v>-1.7234307774845949E-3</v>
      </c>
      <c r="Z88" s="38">
        <f t="shared" si="31"/>
        <v>-1.0344686155496918</v>
      </c>
      <c r="AA88" s="38">
        <f t="shared" si="32"/>
        <v>-1</v>
      </c>
      <c r="AB88" s="38">
        <f t="shared" si="33"/>
        <v>-0.96553138445030806</v>
      </c>
      <c r="AC88" s="38">
        <f t="shared" si="34"/>
        <v>-0.1821620283772217</v>
      </c>
      <c r="AD88" s="38">
        <f t="shared" si="35"/>
        <v>-0.17182144371231414</v>
      </c>
      <c r="AE88" s="38">
        <f t="shared" si="36"/>
        <v>-0.16148085904740658</v>
      </c>
    </row>
    <row r="89" spans="15:31" x14ac:dyDescent="0.3">
      <c r="O89" s="34">
        <v>88</v>
      </c>
      <c r="P89" s="38">
        <f t="shared" si="25"/>
        <v>9.7268957021240432</v>
      </c>
      <c r="Q89" s="38">
        <f>'Thin theory'!I$43*EXP(-PI()*(L-P89)/lambda_thin)*COS(PI()*(L-P89)/lambda_thin)+'Thin theory'!I$44*EXP(-PI()*(L-P89)/lambda_thin)*SIN(PI()*(L-P89)/lambda_thin)+'Thin theory'!I$45*EXP(PI()*(L-P89)/lambda_thin)*COS(PI()*(L-P89)/lambda_thin)+'Thin theory'!I$46*EXP(PI()*(L-P89)/lambda_thin)*SIN(PI()*(L-P89)/lambda_thin)+wm</f>
        <v>2.8964353495763417E-6</v>
      </c>
      <c r="R89" s="38">
        <f>'Thin theory'!I$43*2*(PI()/lambda_thin)^2*EXP(-PI()*(L-P89)/lambda_thin)*SIN(PI()*(L-P89)/lambda_thin)-'Thin theory'!I$44*2*(PI()/lambda_thin)^2*EXP(-PI()*(L-P89)/lambda_thin)*COS(PI()*(L-P89)/lambda_thin)-'Thin theory'!I$45*2*(PI()/lambda_thin)^2*EXP(PI()*(L-P89)/lambda_thin)*SIN(PI()*(L-P89)/lambda_thin)+'Thin theory'!I$46*2*(PI()/lambda_thin)^2*EXP(PI()*(L-P89)/lambda_thin)*COS(PI()*(L-P89)/lambda_thin)</f>
        <v>-1.4293178956466123E-7</v>
      </c>
      <c r="S89" s="38">
        <f>(L-P89)*Nz/Cs-nu/rad*(wm*(L-P89)+'Thin theory'!I$43*0.5*lambda_thin/PI()*(1-EXP(-PI()*(L-P89)/lambda_thin)*(COS(PI()*(L-P89)/lambda_thin)-SIN(PI()*(L-P89)/lambda_thin)))+'Thin theory'!I$44*0.5*lambda_thin/PI()*(1-EXP(-PI()*(L-P89)/lambda_thin)*(COS(PI()*(L-P89)/lambda_thin)+SIN(PI()*(L-P89)/lambda_thin)))+'Thin theory'!I$45*0.5*lambda_thin/PI()*(-1+EXP(PI()*(L-P89)/lambda_thin)*(COS(PI()*(L-P89)/lambda_thin)+SIN(PI()*(L-P89)/lambda_thin)))+'Thin theory'!I$46*0.5*lambda_thin/PI()*(1+EXP(PI()*(L-P89)/lambda_thin)*(SIN(PI()*(L-P89)/lambda_thin)-COS(PI()*(L-P89)/lambda_thin))))</f>
        <v>-6.7117700378604672E-6</v>
      </c>
      <c r="T89" s="38">
        <f t="shared" si="37"/>
        <v>6.7117700378604672E-6</v>
      </c>
      <c r="U89" s="38">
        <f t="shared" si="26"/>
        <v>-4.7237861209745809E-6</v>
      </c>
      <c r="V89" s="38">
        <f t="shared" si="27"/>
        <v>-1</v>
      </c>
      <c r="W89" s="38">
        <f t="shared" si="28"/>
        <v>-0.18414258601694636</v>
      </c>
      <c r="X89" s="38">
        <f t="shared" si="29"/>
        <v>-2.6177983436751141E-3</v>
      </c>
      <c r="Y89" s="38">
        <f t="shared" si="30"/>
        <v>-7.8533950310253427E-4</v>
      </c>
      <c r="Z89" s="38">
        <f t="shared" si="31"/>
        <v>-1.0157067900620507</v>
      </c>
      <c r="AA89" s="38">
        <f t="shared" si="32"/>
        <v>-1</v>
      </c>
      <c r="AB89" s="38">
        <f t="shared" si="33"/>
        <v>-0.98429320993794933</v>
      </c>
      <c r="AC89" s="38">
        <f t="shared" si="34"/>
        <v>-0.18885462303556155</v>
      </c>
      <c r="AD89" s="38">
        <f t="shared" si="35"/>
        <v>-0.18414258601694636</v>
      </c>
      <c r="AE89" s="38">
        <f t="shared" si="36"/>
        <v>-0.17943054899833116</v>
      </c>
    </row>
    <row r="90" spans="15:31" x14ac:dyDescent="0.3">
      <c r="O90" s="34">
        <v>89</v>
      </c>
      <c r="P90" s="38">
        <f t="shared" si="25"/>
        <v>9.8386991009990314</v>
      </c>
      <c r="Q90" s="38">
        <f>'Thin theory'!I$43*EXP(-PI()*(L-P90)/lambda_thin)*COS(PI()*(L-P90)/lambda_thin)+'Thin theory'!I$44*EXP(-PI()*(L-P90)/lambda_thin)*SIN(PI()*(L-P90)/lambda_thin)+'Thin theory'!I$45*EXP(PI()*(L-P90)/lambda_thin)*COS(PI()*(L-P90)/lambda_thin)+'Thin theory'!I$46*EXP(PI()*(L-P90)/lambda_thin)*SIN(PI()*(L-P90)/lambda_thin)+wm</f>
        <v>2.5866463277025892E-6</v>
      </c>
      <c r="R90" s="38">
        <f>'Thin theory'!I$43*2*(PI()/lambda_thin)^2*EXP(-PI()*(L-P90)/lambda_thin)*SIN(PI()*(L-P90)/lambda_thin)-'Thin theory'!I$44*2*(PI()/lambda_thin)^2*EXP(-PI()*(L-P90)/lambda_thin)*COS(PI()*(L-P90)/lambda_thin)-'Thin theory'!I$45*2*(PI()/lambda_thin)^2*EXP(PI()*(L-P90)/lambda_thin)*SIN(PI()*(L-P90)/lambda_thin)+'Thin theory'!I$46*2*(PI()/lambda_thin)^2*EXP(PI()*(L-P90)/lambda_thin)*COS(PI()*(L-P90)/lambda_thin)</f>
        <v>5.2937093523438548E-8</v>
      </c>
      <c r="S90" s="38">
        <f>(L-P90)*Nz/Cs-nu/rad*(wm*(L-P90)+'Thin theory'!I$43*0.5*lambda_thin/PI()*(1-EXP(-PI()*(L-P90)/lambda_thin)*(COS(PI()*(L-P90)/lambda_thin)-SIN(PI()*(L-P90)/lambda_thin)))+'Thin theory'!I$44*0.5*lambda_thin/PI()*(1-EXP(-PI()*(L-P90)/lambda_thin)*(COS(PI()*(L-P90)/lambda_thin)+SIN(PI()*(L-P90)/lambda_thin)))+'Thin theory'!I$45*0.5*lambda_thin/PI()*(-1+EXP(PI()*(L-P90)/lambda_thin)*(COS(PI()*(L-P90)/lambda_thin)+SIN(PI()*(L-P90)/lambda_thin)))+'Thin theory'!I$46*0.5*lambda_thin/PI()*(1+EXP(PI()*(L-P90)/lambda_thin)*(SIN(PI()*(L-P90)/lambda_thin)-COS(PI()*(L-P90)/lambda_thin))))</f>
        <v>-6.1846734253611968E-6</v>
      </c>
      <c r="T90" s="38">
        <f t="shared" si="37"/>
        <v>6.1846734253611968E-6</v>
      </c>
      <c r="U90" s="38">
        <f t="shared" si="26"/>
        <v>-4.7051987796621555E-6</v>
      </c>
      <c r="V90" s="38">
        <f t="shared" si="27"/>
        <v>-1</v>
      </c>
      <c r="W90" s="38">
        <f t="shared" si="28"/>
        <v>-0.19653414689189644</v>
      </c>
      <c r="X90" s="38">
        <f t="shared" si="29"/>
        <v>9.6954383742561443E-4</v>
      </c>
      <c r="Y90" s="38">
        <f t="shared" si="30"/>
        <v>2.9086315122768433E-4</v>
      </c>
      <c r="Z90" s="38">
        <f t="shared" si="31"/>
        <v>-0.99418273697544635</v>
      </c>
      <c r="AA90" s="38">
        <f t="shared" si="32"/>
        <v>-1</v>
      </c>
      <c r="AB90" s="38">
        <f t="shared" si="33"/>
        <v>-1.0058172630245537</v>
      </c>
      <c r="AC90" s="38">
        <f t="shared" si="34"/>
        <v>-0.19478896798453033</v>
      </c>
      <c r="AD90" s="38">
        <f t="shared" si="35"/>
        <v>-0.19653414689189644</v>
      </c>
      <c r="AE90" s="38">
        <f t="shared" si="36"/>
        <v>-0.19827932579926255</v>
      </c>
    </row>
    <row r="91" spans="15:31" x14ac:dyDescent="0.3">
      <c r="O91" s="34">
        <v>90</v>
      </c>
      <c r="P91" s="38">
        <f t="shared" si="25"/>
        <v>9.9505024998740197</v>
      </c>
      <c r="Q91" s="38">
        <f>'Thin theory'!I$43*EXP(-PI()*(L-P91)/lambda_thin)*COS(PI()*(L-P91)/lambda_thin)+'Thin theory'!I$44*EXP(-PI()*(L-P91)/lambda_thin)*SIN(PI()*(L-P91)/lambda_thin)+'Thin theory'!I$45*EXP(PI()*(L-P91)/lambda_thin)*COS(PI()*(L-P91)/lambda_thin)+'Thin theory'!I$46*EXP(PI()*(L-P91)/lambda_thin)*SIN(PI()*(L-P91)/lambda_thin)+wm</f>
        <v>2.2775469640703041E-6</v>
      </c>
      <c r="R91" s="38">
        <f>'Thin theory'!I$43*2*(PI()/lambda_thin)^2*EXP(-PI()*(L-P91)/lambda_thin)*SIN(PI()*(L-P91)/lambda_thin)-'Thin theory'!I$44*2*(PI()/lambda_thin)^2*EXP(-PI()*(L-P91)/lambda_thin)*COS(PI()*(L-P91)/lambda_thin)-'Thin theory'!I$45*2*(PI()/lambda_thin)^2*EXP(PI()*(L-P91)/lambda_thin)*SIN(PI()*(L-P91)/lambda_thin)+'Thin theory'!I$46*2*(PI()/lambda_thin)^2*EXP(PI()*(L-P91)/lambda_thin)*COS(PI()*(L-P91)/lambda_thin)</f>
        <v>2.7563258149664017E-7</v>
      </c>
      <c r="S91" s="38">
        <f>(L-P91)*Nz/Cs-nu/rad*(wm*(L-P91)+'Thin theory'!I$43*0.5*lambda_thin/PI()*(1-EXP(-PI()*(L-P91)/lambda_thin)*(COS(PI()*(L-P91)/lambda_thin)-SIN(PI()*(L-P91)/lambda_thin)))+'Thin theory'!I$44*0.5*lambda_thin/PI()*(1-EXP(-PI()*(L-P91)/lambda_thin)*(COS(PI()*(L-P91)/lambda_thin)+SIN(PI()*(L-P91)/lambda_thin)))+'Thin theory'!I$45*0.5*lambda_thin/PI()*(-1+EXP(PI()*(L-P91)/lambda_thin)*(COS(PI()*(L-P91)/lambda_thin)+SIN(PI()*(L-P91)/lambda_thin)))+'Thin theory'!I$46*0.5*lambda_thin/PI()*(1+EXP(PI()*(L-P91)/lambda_thin)*(SIN(PI()*(L-P91)/lambda_thin)-COS(PI()*(L-P91)/lambda_thin))))</f>
        <v>-5.6596540888347422E-6</v>
      </c>
      <c r="T91" s="38">
        <f t="shared" si="37"/>
        <v>5.6596540888347422E-6</v>
      </c>
      <c r="U91" s="38">
        <f t="shared" si="26"/>
        <v>-4.6866528178442189E-6</v>
      </c>
      <c r="V91" s="38">
        <f t="shared" si="27"/>
        <v>-1</v>
      </c>
      <c r="W91" s="38">
        <f t="shared" si="28"/>
        <v>-0.20889812143718789</v>
      </c>
      <c r="X91" s="38">
        <f t="shared" si="29"/>
        <v>5.0482157783267433E-3</v>
      </c>
      <c r="Y91" s="38">
        <f t="shared" si="30"/>
        <v>1.514464733498023E-3</v>
      </c>
      <c r="Z91" s="38">
        <f t="shared" si="31"/>
        <v>-0.96971070533003956</v>
      </c>
      <c r="AA91" s="38">
        <f t="shared" si="32"/>
        <v>-1</v>
      </c>
      <c r="AB91" s="38">
        <f t="shared" si="33"/>
        <v>-1.0302892946699604</v>
      </c>
      <c r="AC91" s="38">
        <f t="shared" si="34"/>
        <v>-0.19981133303619975</v>
      </c>
      <c r="AD91" s="38">
        <f t="shared" si="35"/>
        <v>-0.20889812143718789</v>
      </c>
      <c r="AE91" s="38">
        <f t="shared" si="36"/>
        <v>-0.21798490983817603</v>
      </c>
    </row>
    <row r="92" spans="15:31" x14ac:dyDescent="0.3">
      <c r="O92" s="34">
        <v>91</v>
      </c>
      <c r="P92" s="38">
        <f t="shared" si="25"/>
        <v>10.06230589874901</v>
      </c>
      <c r="Q92" s="38">
        <f>'Thin theory'!I$43*EXP(-PI()*(L-P92)/lambda_thin)*COS(PI()*(L-P92)/lambda_thin)+'Thin theory'!I$44*EXP(-PI()*(L-P92)/lambda_thin)*SIN(PI()*(L-P92)/lambda_thin)+'Thin theory'!I$45*EXP(PI()*(L-P92)/lambda_thin)*COS(PI()*(L-P92)/lambda_thin)+'Thin theory'!I$46*EXP(PI()*(L-P92)/lambda_thin)*SIN(PI()*(L-P92)/lambda_thin)+wm</f>
        <v>1.9719227097539667E-6</v>
      </c>
      <c r="R92" s="38">
        <f>'Thin theory'!I$43*2*(PI()/lambda_thin)^2*EXP(-PI()*(L-P92)/lambda_thin)*SIN(PI()*(L-P92)/lambda_thin)-'Thin theory'!I$44*2*(PI()/lambda_thin)^2*EXP(-PI()*(L-P92)/lambda_thin)*COS(PI()*(L-P92)/lambda_thin)-'Thin theory'!I$45*2*(PI()/lambda_thin)^2*EXP(PI()*(L-P92)/lambda_thin)*SIN(PI()*(L-P92)/lambda_thin)+'Thin theory'!I$46*2*(PI()/lambda_thin)^2*EXP(PI()*(L-P92)/lambda_thin)*COS(PI()*(L-P92)/lambda_thin)</f>
        <v>5.268410899798861E-7</v>
      </c>
      <c r="S92" s="38">
        <f>(L-P92)*Nz/Cs-nu/rad*(wm*(L-P92)+'Thin theory'!I$43*0.5*lambda_thin/PI()*(1-EXP(-PI()*(L-P92)/lambda_thin)*(COS(PI()*(L-P92)/lambda_thin)-SIN(PI()*(L-P92)/lambda_thin)))+'Thin theory'!I$44*0.5*lambda_thin/PI()*(1-EXP(-PI()*(L-P92)/lambda_thin)*(COS(PI()*(L-P92)/lambda_thin)+SIN(PI()*(L-P92)/lambda_thin)))+'Thin theory'!I$45*0.5*lambda_thin/PI()*(-1+EXP(PI()*(L-P92)/lambda_thin)*(COS(PI()*(L-P92)/lambda_thin)+SIN(PI()*(L-P92)/lambda_thin)))+'Thin theory'!I$46*0.5*lambda_thin/PI()*(1+EXP(PI()*(L-P92)/lambda_thin)*(SIN(PI()*(L-P92)/lambda_thin)-COS(PI()*(L-P92)/lambda_thin))))</f>
        <v>-5.1366982525825472E-6</v>
      </c>
      <c r="T92" s="38">
        <f t="shared" si="37"/>
        <v>5.1366982525825472E-6</v>
      </c>
      <c r="U92" s="38">
        <f t="shared" si="26"/>
        <v>-4.6683153625852382E-6</v>
      </c>
      <c r="V92" s="38">
        <f t="shared" si="27"/>
        <v>-1</v>
      </c>
      <c r="W92" s="38">
        <f t="shared" si="28"/>
        <v>-0.22112309160984134</v>
      </c>
      <c r="X92" s="38">
        <f t="shared" si="29"/>
        <v>9.6491042120858267E-3</v>
      </c>
      <c r="Y92" s="38">
        <f t="shared" si="30"/>
        <v>2.8947312636257477E-3</v>
      </c>
      <c r="Z92" s="38">
        <f t="shared" si="31"/>
        <v>-0.94210537472748501</v>
      </c>
      <c r="AA92" s="38">
        <f t="shared" si="32"/>
        <v>-1</v>
      </c>
      <c r="AB92" s="38">
        <f t="shared" si="33"/>
        <v>-1.057894625272515</v>
      </c>
      <c r="AC92" s="38">
        <f t="shared" si="34"/>
        <v>-0.20375470402808685</v>
      </c>
      <c r="AD92" s="38">
        <f t="shared" si="35"/>
        <v>-0.22112309160984134</v>
      </c>
      <c r="AE92" s="38">
        <f t="shared" si="36"/>
        <v>-0.23849147919159583</v>
      </c>
    </row>
    <row r="93" spans="15:31" x14ac:dyDescent="0.3">
      <c r="O93" s="34">
        <v>92</v>
      </c>
      <c r="P93" s="38">
        <f t="shared" si="25"/>
        <v>10.174109297623998</v>
      </c>
      <c r="Q93" s="38">
        <f>'Thin theory'!I$43*EXP(-PI()*(L-P93)/lambda_thin)*COS(PI()*(L-P93)/lambda_thin)+'Thin theory'!I$44*EXP(-PI()*(L-P93)/lambda_thin)*SIN(PI()*(L-P93)/lambda_thin)+'Thin theory'!I$45*EXP(PI()*(L-P93)/lambda_thin)*COS(PI()*(L-P93)/lambda_thin)+'Thin theory'!I$46*EXP(PI()*(L-P93)/lambda_thin)*SIN(PI()*(L-P93)/lambda_thin)+wm</f>
        <v>1.6729154087521886E-6</v>
      </c>
      <c r="R93" s="38">
        <f>'Thin theory'!I$43*2*(PI()/lambda_thin)^2*EXP(-PI()*(L-P93)/lambda_thin)*SIN(PI()*(L-P93)/lambda_thin)-'Thin theory'!I$44*2*(PI()/lambda_thin)^2*EXP(-PI()*(L-P93)/lambda_thin)*COS(PI()*(L-P93)/lambda_thin)-'Thin theory'!I$45*2*(PI()/lambda_thin)^2*EXP(PI()*(L-P93)/lambda_thin)*SIN(PI()*(L-P93)/lambda_thin)+'Thin theory'!I$46*2*(PI()/lambda_thin)^2*EXP(PI()*(L-P93)/lambda_thin)*COS(PI()*(L-P93)/lambda_thin)</f>
        <v>8.0822989833704201E-7</v>
      </c>
      <c r="S93" s="38">
        <f>(L-P93)*Nz/Cs-nu/rad*(wm*(L-P93)+'Thin theory'!I$43*0.5*lambda_thin/PI()*(1-EXP(-PI()*(L-P93)/lambda_thin)*(COS(PI()*(L-P93)/lambda_thin)-SIN(PI()*(L-P93)/lambda_thin)))+'Thin theory'!I$44*0.5*lambda_thin/PI()*(1-EXP(-PI()*(L-P93)/lambda_thin)*(COS(PI()*(L-P93)/lambda_thin)+SIN(PI()*(L-P93)/lambda_thin)))+'Thin theory'!I$45*0.5*lambda_thin/PI()*(-1+EXP(PI()*(L-P93)/lambda_thin)*(COS(PI()*(L-P93)/lambda_thin)+SIN(PI()*(L-P93)/lambda_thin)))+'Thin theory'!I$46*0.5*lambda_thin/PI()*(1+EXP(PI()*(L-P93)/lambda_thin)*(SIN(PI()*(L-P93)/lambda_thin)-COS(PI()*(L-P93)/lambda_thin))))</f>
        <v>-4.615772271882648E-6</v>
      </c>
      <c r="T93" s="38">
        <f t="shared" si="37"/>
        <v>4.615772271882648E-6</v>
      </c>
      <c r="U93" s="38">
        <f t="shared" si="26"/>
        <v>-4.6503749245251321E-6</v>
      </c>
      <c r="V93" s="38">
        <f t="shared" si="27"/>
        <v>-1</v>
      </c>
      <c r="W93" s="38">
        <f t="shared" si="28"/>
        <v>-0.23308338364991249</v>
      </c>
      <c r="X93" s="38">
        <f t="shared" si="29"/>
        <v>1.4802745390788316E-2</v>
      </c>
      <c r="Y93" s="38">
        <f t="shared" si="30"/>
        <v>4.4408236172364945E-3</v>
      </c>
      <c r="Z93" s="38">
        <f t="shared" si="31"/>
        <v>-0.91118352765527011</v>
      </c>
      <c r="AA93" s="38">
        <f t="shared" si="32"/>
        <v>-1</v>
      </c>
      <c r="AB93" s="38">
        <f t="shared" si="33"/>
        <v>-1.08881647234473</v>
      </c>
      <c r="AC93" s="38">
        <f t="shared" si="34"/>
        <v>-0.20643844194649352</v>
      </c>
      <c r="AD93" s="38">
        <f t="shared" si="35"/>
        <v>-0.23308338364991249</v>
      </c>
      <c r="AE93" s="38">
        <f t="shared" si="36"/>
        <v>-0.25972832535333146</v>
      </c>
    </row>
    <row r="94" spans="15:31" x14ac:dyDescent="0.3">
      <c r="O94" s="34">
        <v>93</v>
      </c>
      <c r="P94" s="38">
        <f t="shared" si="25"/>
        <v>10.285912696498988</v>
      </c>
      <c r="Q94" s="38">
        <f>'Thin theory'!I$43*EXP(-PI()*(L-P94)/lambda_thin)*COS(PI()*(L-P94)/lambda_thin)+'Thin theory'!I$44*EXP(-PI()*(L-P94)/lambda_thin)*SIN(PI()*(L-P94)/lambda_thin)+'Thin theory'!I$45*EXP(PI()*(L-P94)/lambda_thin)*COS(PI()*(L-P94)/lambda_thin)+'Thin theory'!I$46*EXP(PI()*(L-P94)/lambda_thin)*SIN(PI()*(L-P94)/lambda_thin)+wm</f>
        <v>1.38404412110655E-6</v>
      </c>
      <c r="R94" s="38">
        <f>'Thin theory'!I$43*2*(PI()/lambda_thin)^2*EXP(-PI()*(L-P94)/lambda_thin)*SIN(PI()*(L-P94)/lambda_thin)-'Thin theory'!I$44*2*(PI()/lambda_thin)^2*EXP(-PI()*(L-P94)/lambda_thin)*COS(PI()*(L-P94)/lambda_thin)-'Thin theory'!I$45*2*(PI()/lambda_thin)^2*EXP(PI()*(L-P94)/lambda_thin)*SIN(PI()*(L-P94)/lambda_thin)+'Thin theory'!I$46*2*(PI()/lambda_thin)^2*EXP(PI()*(L-P94)/lambda_thin)*COS(PI()*(L-P94)/lambda_thin)</f>
        <v>1.1214299857232946E-6</v>
      </c>
      <c r="S94" s="38">
        <f>(L-P94)*Nz/Cs-nu/rad*(wm*(L-P94)+'Thin theory'!I$43*0.5*lambda_thin/PI()*(1-EXP(-PI()*(L-P94)/lambda_thin)*(COS(PI()*(L-P94)/lambda_thin)-SIN(PI()*(L-P94)/lambda_thin)))+'Thin theory'!I$44*0.5*lambda_thin/PI()*(1-EXP(-PI()*(L-P94)/lambda_thin)*(COS(PI()*(L-P94)/lambda_thin)+SIN(PI()*(L-P94)/lambda_thin)))+'Thin theory'!I$45*0.5*lambda_thin/PI()*(-1+EXP(PI()*(L-P94)/lambda_thin)*(COS(PI()*(L-P94)/lambda_thin)+SIN(PI()*(L-P94)/lambda_thin)))+'Thin theory'!I$46*0.5*lambda_thin/PI()*(1+EXP(PI()*(L-P94)/lambda_thin)*(SIN(PI()*(L-P94)/lambda_thin)-COS(PI()*(L-P94)/lambda_thin))))</f>
        <v>-4.0968201721980484E-6</v>
      </c>
      <c r="T94" s="38">
        <f t="shared" si="37"/>
        <v>4.0968201721980484E-6</v>
      </c>
      <c r="U94" s="38">
        <f t="shared" si="26"/>
        <v>-4.6330426472663933E-6</v>
      </c>
      <c r="V94" s="38">
        <f t="shared" si="27"/>
        <v>-1</v>
      </c>
      <c r="W94" s="38">
        <f t="shared" si="28"/>
        <v>-0.24463823515573799</v>
      </c>
      <c r="X94" s="38">
        <f t="shared" si="29"/>
        <v>2.0539010727532867E-2</v>
      </c>
      <c r="Y94" s="38">
        <f t="shared" si="30"/>
        <v>6.16170321825986E-3</v>
      </c>
      <c r="Z94" s="38">
        <f t="shared" si="31"/>
        <v>-0.87676593563480276</v>
      </c>
      <c r="AA94" s="38">
        <f t="shared" si="32"/>
        <v>-1</v>
      </c>
      <c r="AB94" s="38">
        <f t="shared" si="33"/>
        <v>-1.1232340643651972</v>
      </c>
      <c r="AC94" s="38">
        <f t="shared" si="34"/>
        <v>-0.20766801584617883</v>
      </c>
      <c r="AD94" s="38">
        <f t="shared" si="35"/>
        <v>-0.24463823515573799</v>
      </c>
      <c r="AE94" s="38">
        <f t="shared" si="36"/>
        <v>-0.28160845446529714</v>
      </c>
    </row>
    <row r="95" spans="15:31" x14ac:dyDescent="0.3">
      <c r="O95" s="34">
        <v>94</v>
      </c>
      <c r="P95" s="38">
        <f t="shared" si="25"/>
        <v>10.397716095373976</v>
      </c>
      <c r="Q95" s="38">
        <f>'Thin theory'!I$43*EXP(-PI()*(L-P95)/lambda_thin)*COS(PI()*(L-P95)/lambda_thin)+'Thin theory'!I$44*EXP(-PI()*(L-P95)/lambda_thin)*SIN(PI()*(L-P95)/lambda_thin)+'Thin theory'!I$45*EXP(PI()*(L-P95)/lambda_thin)*COS(PI()*(L-P95)/lambda_thin)+'Thin theory'!I$46*EXP(PI()*(L-P95)/lambda_thin)*SIN(PI()*(L-P95)/lambda_thin)+wm</f>
        <v>1.1092254901225481E-6</v>
      </c>
      <c r="R95" s="38">
        <f>'Thin theory'!I$43*2*(PI()/lambda_thin)^2*EXP(-PI()*(L-P95)/lambda_thin)*SIN(PI()*(L-P95)/lambda_thin)-'Thin theory'!I$44*2*(PI()/lambda_thin)^2*EXP(-PI()*(L-P95)/lambda_thin)*COS(PI()*(L-P95)/lambda_thin)-'Thin theory'!I$45*2*(PI()/lambda_thin)^2*EXP(PI()*(L-P95)/lambda_thin)*SIN(PI()*(L-P95)/lambda_thin)+'Thin theory'!I$46*2*(PI()/lambda_thin)^2*EXP(PI()*(L-P95)/lambda_thin)*COS(PI()*(L-P95)/lambda_thin)</f>
        <v>1.4680168077447366E-6</v>
      </c>
      <c r="S95" s="38">
        <f>(L-P95)*Nz/Cs-nu/rad*(wm*(L-P95)+'Thin theory'!I$43*0.5*lambda_thin/PI()*(1-EXP(-PI()*(L-P95)/lambda_thin)*(COS(PI()*(L-P95)/lambda_thin)-SIN(PI()*(L-P95)/lambda_thin)))+'Thin theory'!I$44*0.5*lambda_thin/PI()*(1-EXP(-PI()*(L-P95)/lambda_thin)*(COS(PI()*(L-P95)/lambda_thin)+SIN(PI()*(L-P95)/lambda_thin)))+'Thin theory'!I$45*0.5*lambda_thin/PI()*(-1+EXP(PI()*(L-P95)/lambda_thin)*(COS(PI()*(L-P95)/lambda_thin)+SIN(PI()*(L-P95)/lambda_thin)))+'Thin theory'!I$46*0.5*lambda_thin/PI()*(1+EXP(PI()*(L-P95)/lambda_thin)*(SIN(PI()*(L-P95)/lambda_thin)-COS(PI()*(L-P95)/lambda_thin))))</f>
        <v>-3.5797610501015715E-6</v>
      </c>
      <c r="T95" s="38">
        <f t="shared" si="37"/>
        <v>3.5797610501015715E-6</v>
      </c>
      <c r="U95" s="38">
        <f t="shared" si="26"/>
        <v>-4.6165535294073537E-6</v>
      </c>
      <c r="V95" s="38">
        <f t="shared" si="27"/>
        <v>-1</v>
      </c>
      <c r="W95" s="38">
        <f t="shared" si="28"/>
        <v>-0.25563098039509813</v>
      </c>
      <c r="X95" s="38">
        <f t="shared" si="29"/>
        <v>2.6886754720599572E-2</v>
      </c>
      <c r="Y95" s="38">
        <f t="shared" si="30"/>
        <v>8.0660264161798705E-3</v>
      </c>
      <c r="Z95" s="38">
        <f t="shared" si="31"/>
        <v>-0.83867947167640255</v>
      </c>
      <c r="AA95" s="38">
        <f t="shared" si="32"/>
        <v>-1</v>
      </c>
      <c r="AB95" s="38">
        <f t="shared" si="33"/>
        <v>-1.1613205283235974</v>
      </c>
      <c r="AC95" s="38">
        <f t="shared" si="34"/>
        <v>-0.20723482189801889</v>
      </c>
      <c r="AD95" s="38">
        <f t="shared" si="35"/>
        <v>-0.25563098039509813</v>
      </c>
      <c r="AE95" s="38">
        <f t="shared" si="36"/>
        <v>-0.30402713889217736</v>
      </c>
    </row>
    <row r="96" spans="15:31" x14ac:dyDescent="0.3">
      <c r="O96" s="34">
        <v>95</v>
      </c>
      <c r="P96" s="38">
        <f t="shared" si="25"/>
        <v>10.509519494248964</v>
      </c>
      <c r="Q96" s="38">
        <f>'Thin theory'!I$43*EXP(-PI()*(L-P96)/lambda_thin)*COS(PI()*(L-P96)/lambda_thin)+'Thin theory'!I$44*EXP(-PI()*(L-P96)/lambda_thin)*SIN(PI()*(L-P96)/lambda_thin)+'Thin theory'!I$45*EXP(PI()*(L-P96)/lambda_thin)*COS(PI()*(L-P96)/lambda_thin)+'Thin theory'!I$46*EXP(PI()*(L-P96)/lambda_thin)*SIN(PI()*(L-P96)/lambda_thin)+wm</f>
        <v>8.527934132850116E-7</v>
      </c>
      <c r="R96" s="38">
        <f>'Thin theory'!I$43*2*(PI()/lambda_thin)^2*EXP(-PI()*(L-P96)/lambda_thin)*SIN(PI()*(L-P96)/lambda_thin)-'Thin theory'!I$44*2*(PI()/lambda_thin)^2*EXP(-PI()*(L-P96)/lambda_thin)*COS(PI()*(L-P96)/lambda_thin)-'Thin theory'!I$45*2*(PI()/lambda_thin)^2*EXP(PI()*(L-P96)/lambda_thin)*SIN(PI()*(L-P96)/lambda_thin)+'Thin theory'!I$46*2*(PI()/lambda_thin)^2*EXP(PI()*(L-P96)/lambda_thin)*COS(PI()*(L-P96)/lambda_thin)</f>
        <v>1.8494889026296041E-6</v>
      </c>
      <c r="S96" s="38">
        <f>(L-P96)*Nz/Cs-nu/rad*(wm*(L-P96)+'Thin theory'!I$43*0.5*lambda_thin/PI()*(1-EXP(-PI()*(L-P96)/lambda_thin)*(COS(PI()*(L-P96)/lambda_thin)-SIN(PI()*(L-P96)/lambda_thin)))+'Thin theory'!I$44*0.5*lambda_thin/PI()*(1-EXP(-PI()*(L-P96)/lambda_thin)*(COS(PI()*(L-P96)/lambda_thin)+SIN(PI()*(L-P96)/lambda_thin)))+'Thin theory'!I$45*0.5*lambda_thin/PI()*(-1+EXP(PI()*(L-P96)/lambda_thin)*(COS(PI()*(L-P96)/lambda_thin)+SIN(PI()*(L-P96)/lambda_thin)))+'Thin theory'!I$46*0.5*lambda_thin/PI()*(1+EXP(PI()*(L-P96)/lambda_thin)*(SIN(PI()*(L-P96)/lambda_thin)-COS(PI()*(L-P96)/lambda_thin))))</f>
        <v>-3.0644863397667475E-6</v>
      </c>
      <c r="T96" s="38">
        <f t="shared" si="37"/>
        <v>3.0644863397667475E-6</v>
      </c>
      <c r="U96" s="38">
        <f t="shared" si="26"/>
        <v>-4.6011676047971011E-6</v>
      </c>
      <c r="V96" s="38">
        <f t="shared" si="27"/>
        <v>-1</v>
      </c>
      <c r="W96" s="38">
        <f t="shared" si="28"/>
        <v>-0.26588826346859956</v>
      </c>
      <c r="X96" s="38">
        <f t="shared" si="29"/>
        <v>3.3873423125084325E-2</v>
      </c>
      <c r="Y96" s="38">
        <f t="shared" si="30"/>
        <v>1.0162026937525296E-2</v>
      </c>
      <c r="Z96" s="38">
        <f t="shared" si="31"/>
        <v>-0.79675946124949404</v>
      </c>
      <c r="AA96" s="38">
        <f t="shared" si="32"/>
        <v>-1</v>
      </c>
      <c r="AB96" s="38">
        <f t="shared" si="33"/>
        <v>-1.2032405387505061</v>
      </c>
      <c r="AC96" s="38">
        <f t="shared" si="34"/>
        <v>-0.20491610184344777</v>
      </c>
      <c r="AD96" s="38">
        <f t="shared" si="35"/>
        <v>-0.26588826346859956</v>
      </c>
      <c r="AE96" s="38">
        <f t="shared" si="36"/>
        <v>-0.32686042509375135</v>
      </c>
    </row>
    <row r="97" spans="15:31" x14ac:dyDescent="0.3">
      <c r="O97" s="34">
        <v>96</v>
      </c>
      <c r="P97" s="38">
        <f t="shared" si="25"/>
        <v>10.621322893123955</v>
      </c>
      <c r="Q97" s="38">
        <f>'Thin theory'!I$43*EXP(-PI()*(L-P97)/lambda_thin)*COS(PI()*(L-P97)/lambda_thin)+'Thin theory'!I$44*EXP(-PI()*(L-P97)/lambda_thin)*SIN(PI()*(L-P97)/lambda_thin)+'Thin theory'!I$45*EXP(PI()*(L-P97)/lambda_thin)*COS(PI()*(L-P97)/lambda_thin)+'Thin theory'!I$46*EXP(PI()*(L-P97)/lambda_thin)*SIN(PI()*(L-P97)/lambda_thin)+wm</f>
        <v>6.1951774933336048E-7</v>
      </c>
      <c r="R97" s="38">
        <f>'Thin theory'!I$43*2*(PI()/lambda_thin)^2*EXP(-PI()*(L-P97)/lambda_thin)*SIN(PI()*(L-P97)/lambda_thin)-'Thin theory'!I$44*2*(PI()/lambda_thin)^2*EXP(-PI()*(L-P97)/lambda_thin)*COS(PI()*(L-P97)/lambda_thin)-'Thin theory'!I$45*2*(PI()/lambda_thin)^2*EXP(PI()*(L-P97)/lambda_thin)*SIN(PI()*(L-P97)/lambda_thin)+'Thin theory'!I$46*2*(PI()/lambda_thin)^2*EXP(PI()*(L-P97)/lambda_thin)*COS(PI()*(L-P97)/lambda_thin)</f>
        <v>2.267244219629545E-6</v>
      </c>
      <c r="S97" s="38">
        <f>(L-P97)*Nz/Cs-nu/rad*(wm*(L-P97)+'Thin theory'!I$43*0.5*lambda_thin/PI()*(1-EXP(-PI()*(L-P97)/lambda_thin)*(COS(PI()*(L-P97)/lambda_thin)-SIN(PI()*(L-P97)/lambda_thin)))+'Thin theory'!I$44*0.5*lambda_thin/PI()*(1-EXP(-PI()*(L-P97)/lambda_thin)*(COS(PI()*(L-P97)/lambda_thin)+SIN(PI()*(L-P97)/lambda_thin)))+'Thin theory'!I$45*0.5*lambda_thin/PI()*(-1+EXP(PI()*(L-P97)/lambda_thin)*(COS(PI()*(L-P97)/lambda_thin)+SIN(PI()*(L-P97)/lambda_thin)))+'Thin theory'!I$46*0.5*lambda_thin/PI()*(1+EXP(PI()*(L-P97)/lambda_thin)*(SIN(PI()*(L-P97)/lambda_thin)-COS(PI()*(L-P97)/lambda_thin))))</f>
        <v>-2.5508569505777272E-6</v>
      </c>
      <c r="T97" s="38">
        <f t="shared" si="37"/>
        <v>2.5508569505777272E-6</v>
      </c>
      <c r="U97" s="38">
        <f t="shared" si="26"/>
        <v>-4.5871710649600017E-6</v>
      </c>
      <c r="V97" s="38">
        <f t="shared" si="27"/>
        <v>-1</v>
      </c>
      <c r="W97" s="38">
        <f t="shared" si="28"/>
        <v>-0.27521929002666556</v>
      </c>
      <c r="X97" s="38">
        <f t="shared" si="29"/>
        <v>4.1524619407134526E-2</v>
      </c>
      <c r="Y97" s="38">
        <f t="shared" si="30"/>
        <v>1.2457385822140357E-2</v>
      </c>
      <c r="Z97" s="38">
        <f t="shared" si="31"/>
        <v>-0.75085228355719291</v>
      </c>
      <c r="AA97" s="38">
        <f t="shared" si="32"/>
        <v>-1</v>
      </c>
      <c r="AB97" s="38">
        <f t="shared" si="33"/>
        <v>-1.2491477164428071</v>
      </c>
      <c r="AC97" s="38">
        <f t="shared" si="34"/>
        <v>-0.20047497509382342</v>
      </c>
      <c r="AD97" s="38">
        <f t="shared" si="35"/>
        <v>-0.27521929002666556</v>
      </c>
      <c r="AE97" s="38">
        <f t="shared" si="36"/>
        <v>-0.34996360495950773</v>
      </c>
    </row>
    <row r="98" spans="15:31" x14ac:dyDescent="0.3">
      <c r="O98" s="34">
        <v>97</v>
      </c>
      <c r="P98" s="38">
        <f t="shared" ref="P98:P129" si="38">0+(O98-1)/100*L</f>
        <v>10.733126291998943</v>
      </c>
      <c r="Q98" s="38">
        <f>'Thin theory'!I$43*EXP(-PI()*(L-P98)/lambda_thin)*COS(PI()*(L-P98)/lambda_thin)+'Thin theory'!I$44*EXP(-PI()*(L-P98)/lambda_thin)*SIN(PI()*(L-P98)/lambda_thin)+'Thin theory'!I$45*EXP(PI()*(L-P98)/lambda_thin)*COS(PI()*(L-P98)/lambda_thin)+'Thin theory'!I$46*EXP(PI()*(L-P98)/lambda_thin)*SIN(PI()*(L-P98)/lambda_thin)+wm</f>
        <v>4.1462176549540023E-7</v>
      </c>
      <c r="R98" s="38">
        <f>'Thin theory'!I$43*2*(PI()/lambda_thin)^2*EXP(-PI()*(L-P98)/lambda_thin)*SIN(PI()*(L-P98)/lambda_thin)-'Thin theory'!I$44*2*(PI()/lambda_thin)^2*EXP(-PI()*(L-P98)/lambda_thin)*COS(PI()*(L-P98)/lambda_thin)-'Thin theory'!I$45*2*(PI()/lambda_thin)^2*EXP(PI()*(L-P98)/lambda_thin)*SIN(PI()*(L-P98)/lambda_thin)+'Thin theory'!I$46*2*(PI()/lambda_thin)^2*EXP(PI()*(L-P98)/lambda_thin)*COS(PI()*(L-P98)/lambda_thin)</f>
        <v>2.7225540676449837E-6</v>
      </c>
      <c r="S98" s="38">
        <f>(L-P98)*Nz/Cs-nu/rad*(wm*(L-P98)+'Thin theory'!I$43*0.5*lambda_thin/PI()*(1-EXP(-PI()*(L-P98)/lambda_thin)*(COS(PI()*(L-P98)/lambda_thin)-SIN(PI()*(L-P98)/lambda_thin)))+'Thin theory'!I$44*0.5*lambda_thin/PI()*(1-EXP(-PI()*(L-P98)/lambda_thin)*(COS(PI()*(L-P98)/lambda_thin)+SIN(PI()*(L-P98)/lambda_thin)))+'Thin theory'!I$45*0.5*lambda_thin/PI()*(-1+EXP(PI()*(L-P98)/lambda_thin)*(COS(PI()*(L-P98)/lambda_thin)+SIN(PI()*(L-P98)/lambda_thin)))+'Thin theory'!I$46*0.5*lambda_thin/PI()*(1+EXP(PI()*(L-P98)/lambda_thin)*(SIN(PI()*(L-P98)/lambda_thin)-COS(PI()*(L-P98)/lambda_thin))))</f>
        <v>-2.0387002833002913E-6</v>
      </c>
      <c r="T98" s="38">
        <f t="shared" si="37"/>
        <v>2.0387002833002913E-6</v>
      </c>
      <c r="U98" s="38">
        <f t="shared" si="26"/>
        <v>-4.5748773059297247E-6</v>
      </c>
      <c r="V98" s="38">
        <f t="shared" ref="V98:V129" si="39">Cs*(U98 + nu/rad*Q98)</f>
        <v>-1</v>
      </c>
      <c r="W98" s="38">
        <f t="shared" si="28"/>
        <v>-0.28341512938018404</v>
      </c>
      <c r="X98" s="38">
        <f t="shared" si="29"/>
        <v>4.9863627612545487E-2</v>
      </c>
      <c r="Y98" s="38">
        <f t="shared" ref="Y98:Y129" si="40">nu*X98</f>
        <v>1.4959088283763645E-2</v>
      </c>
      <c r="Z98" s="38">
        <f t="shared" si="31"/>
        <v>-0.70081823432472712</v>
      </c>
      <c r="AA98" s="38">
        <f t="shared" si="32"/>
        <v>-1</v>
      </c>
      <c r="AB98" s="38">
        <f t="shared" si="33"/>
        <v>-1.2991817656752729</v>
      </c>
      <c r="AC98" s="38">
        <f t="shared" si="34"/>
        <v>-0.19366059967760219</v>
      </c>
      <c r="AD98" s="38">
        <f t="shared" si="35"/>
        <v>-0.28341512938018404</v>
      </c>
      <c r="AE98" s="38">
        <f t="shared" si="36"/>
        <v>-0.37316965908276589</v>
      </c>
    </row>
    <row r="99" spans="15:31" x14ac:dyDescent="0.3">
      <c r="O99" s="34">
        <v>98</v>
      </c>
      <c r="P99" s="38">
        <f t="shared" si="38"/>
        <v>10.844929690873933</v>
      </c>
      <c r="Q99" s="38">
        <f>'Thin theory'!I$43*EXP(-PI()*(L-P99)/lambda_thin)*COS(PI()*(L-P99)/lambda_thin)+'Thin theory'!I$44*EXP(-PI()*(L-P99)/lambda_thin)*SIN(PI()*(L-P99)/lambda_thin)+'Thin theory'!I$45*EXP(PI()*(L-P99)/lambda_thin)*COS(PI()*(L-P99)/lambda_thin)+'Thin theory'!I$46*EXP(PI()*(L-P99)/lambda_thin)*SIN(PI()*(L-P99)/lambda_thin)+wm</f>
        <v>2.4379799913818257E-7</v>
      </c>
      <c r="R99" s="38">
        <f>'Thin theory'!I$43*2*(PI()/lambda_thin)^2*EXP(-PI()*(L-P99)/lambda_thin)*SIN(PI()*(L-P99)/lambda_thin)-'Thin theory'!I$44*2*(PI()/lambda_thin)^2*EXP(-PI()*(L-P99)/lambda_thin)*COS(PI()*(L-P99)/lambda_thin)-'Thin theory'!I$45*2*(PI()/lambda_thin)^2*EXP(PI()*(L-P99)/lambda_thin)*SIN(PI()*(L-P99)/lambda_thin)+'Thin theory'!I$46*2*(PI()/lambda_thin)^2*EXP(PI()*(L-P99)/lambda_thin)*COS(PI()*(L-P99)/lambda_thin)</f>
        <v>3.2165345889609425E-6</v>
      </c>
      <c r="S99" s="38">
        <f>(L-P99)*Nz/Cs-nu/rad*(wm*(L-P99)+'Thin theory'!I$43*0.5*lambda_thin/PI()*(1-EXP(-PI()*(L-P99)/lambda_thin)*(COS(PI()*(L-P99)/lambda_thin)-SIN(PI()*(L-P99)/lambda_thin)))+'Thin theory'!I$44*0.5*lambda_thin/PI()*(1-EXP(-PI()*(L-P99)/lambda_thin)*(COS(PI()*(L-P99)/lambda_thin)+SIN(PI()*(L-P99)/lambda_thin)))+'Thin theory'!I$45*0.5*lambda_thin/PI()*(-1+EXP(PI()*(L-P99)/lambda_thin)*(COS(PI()*(L-P99)/lambda_thin)+SIN(PI()*(L-P99)/lambda_thin)))+'Thin theory'!I$46*0.5*lambda_thin/PI()*(1+EXP(PI()*(L-P99)/lambda_thin)*(SIN(PI()*(L-P99)/lambda_thin)-COS(PI()*(L-P99)/lambda_thin))))</f>
        <v>-1.5278071343407627E-6</v>
      </c>
      <c r="T99" s="38">
        <f t="shared" si="37"/>
        <v>1.5278071343407627E-6</v>
      </c>
      <c r="U99" s="38">
        <f t="shared" si="26"/>
        <v>-4.5646278799482918E-6</v>
      </c>
      <c r="V99" s="38">
        <f t="shared" si="39"/>
        <v>-1</v>
      </c>
      <c r="W99" s="38">
        <f t="shared" si="28"/>
        <v>-0.29024808003447278</v>
      </c>
      <c r="X99" s="38">
        <f t="shared" si="29"/>
        <v>5.8910889907709568E-2</v>
      </c>
      <c r="Y99" s="38">
        <f t="shared" si="40"/>
        <v>1.7673266972312869E-2</v>
      </c>
      <c r="Z99" s="38">
        <f t="shared" si="31"/>
        <v>-0.64653466055374254</v>
      </c>
      <c r="AA99" s="38">
        <f t="shared" si="32"/>
        <v>-1</v>
      </c>
      <c r="AB99" s="38">
        <f t="shared" si="33"/>
        <v>-1.3534653394462575</v>
      </c>
      <c r="AC99" s="38">
        <f t="shared" si="34"/>
        <v>-0.18420847820059555</v>
      </c>
      <c r="AD99" s="38">
        <f t="shared" si="35"/>
        <v>-0.29024808003447278</v>
      </c>
      <c r="AE99" s="38">
        <f t="shared" si="36"/>
        <v>-0.39628768186835001</v>
      </c>
    </row>
    <row r="100" spans="15:31" x14ac:dyDescent="0.3">
      <c r="O100" s="34">
        <v>99</v>
      </c>
      <c r="P100" s="38">
        <f t="shared" si="38"/>
        <v>10.956733089748921</v>
      </c>
      <c r="Q100" s="38">
        <f>'Thin theory'!I$43*EXP(-PI()*(L-P100)/lambda_thin)*COS(PI()*(L-P100)/lambda_thin)+'Thin theory'!I$44*EXP(-PI()*(L-P100)/lambda_thin)*SIN(PI()*(L-P100)/lambda_thin)+'Thin theory'!I$45*EXP(PI()*(L-P100)/lambda_thin)*COS(PI()*(L-P100)/lambda_thin)+'Thin theory'!I$46*EXP(PI()*(L-P100)/lambda_thin)*SIN(PI()*(L-P100)/lambda_thin)+wm</f>
        <v>1.1322217716766542E-7</v>
      </c>
      <c r="R100" s="38">
        <f>'Thin theory'!I$43*2*(PI()/lambda_thin)^2*EXP(-PI()*(L-P100)/lambda_thin)*SIN(PI()*(L-P100)/lambda_thin)-'Thin theory'!I$44*2*(PI()/lambda_thin)^2*EXP(-PI()*(L-P100)/lambda_thin)*COS(PI()*(L-P100)/lambda_thin)-'Thin theory'!I$45*2*(PI()/lambda_thin)^2*EXP(PI()*(L-P100)/lambda_thin)*SIN(PI()*(L-P100)/lambda_thin)+'Thin theory'!I$46*2*(PI()/lambda_thin)^2*EXP(PI()*(L-P100)/lambda_thin)*COS(PI()*(L-P100)/lambda_thin)</f>
        <v>3.7501156716507908E-6</v>
      </c>
      <c r="S100" s="38">
        <f>(L-P100)*Nz/Cs-nu/rad*(wm*(L-P100)+'Thin theory'!I$43*0.5*lambda_thin/PI()*(1-EXP(-PI()*(L-P100)/lambda_thin)*(COS(PI()*(L-P100)/lambda_thin)-SIN(PI()*(L-P100)/lambda_thin)))+'Thin theory'!I$44*0.5*lambda_thin/PI()*(1-EXP(-PI()*(L-P100)/lambda_thin)*(COS(PI()*(L-P100)/lambda_thin)+SIN(PI()*(L-P100)/lambda_thin)))+'Thin theory'!I$45*0.5*lambda_thin/PI()*(-1+EXP(PI()*(L-P100)/lambda_thin)*(COS(PI()*(L-P100)/lambda_thin)+SIN(PI()*(L-P100)/lambda_thin)))+'Thin theory'!I$46*0.5*lambda_thin/PI()*(1+EXP(PI()*(L-P100)/lambda_thin)*(SIN(PI()*(L-P100)/lambda_thin)-COS(PI()*(L-P100)/lambda_thin))))</f>
        <v>-1.0179284999081326E-6</v>
      </c>
      <c r="T100" s="38">
        <f t="shared" si="37"/>
        <v>1.0179284999081326E-6</v>
      </c>
      <c r="U100" s="38">
        <f t="shared" si="26"/>
        <v>-4.5567933306300607E-6</v>
      </c>
      <c r="V100" s="38">
        <f t="shared" si="39"/>
        <v>-1</v>
      </c>
      <c r="W100" s="38">
        <f t="shared" si="28"/>
        <v>-0.29547111291329348</v>
      </c>
      <c r="X100" s="38">
        <f t="shared" si="29"/>
        <v>6.8683437209721435E-2</v>
      </c>
      <c r="Y100" s="38">
        <f t="shared" si="40"/>
        <v>2.060503116291643E-2</v>
      </c>
      <c r="Z100" s="38">
        <f t="shared" si="31"/>
        <v>-0.58789937674167136</v>
      </c>
      <c r="AA100" s="38">
        <f t="shared" si="32"/>
        <v>-1</v>
      </c>
      <c r="AB100" s="38">
        <f t="shared" si="33"/>
        <v>-1.4121006232583286</v>
      </c>
      <c r="AC100" s="38">
        <f t="shared" si="34"/>
        <v>-0.17184092593579489</v>
      </c>
      <c r="AD100" s="38">
        <f t="shared" si="35"/>
        <v>-0.29547111291329348</v>
      </c>
      <c r="AE100" s="38">
        <f t="shared" si="36"/>
        <v>-0.41910129989079203</v>
      </c>
    </row>
    <row r="101" spans="15:31" x14ac:dyDescent="0.3">
      <c r="O101" s="34">
        <v>100</v>
      </c>
      <c r="P101" s="38">
        <f t="shared" si="38"/>
        <v>11.068536488623911</v>
      </c>
      <c r="Q101" s="38">
        <f>'Thin theory'!I$43*EXP(-PI()*(L-P101)/lambda_thin)*COS(PI()*(L-P101)/lambda_thin)+'Thin theory'!I$44*EXP(-PI()*(L-P101)/lambda_thin)*SIN(PI()*(L-P101)/lambda_thin)+'Thin theory'!I$45*EXP(PI()*(L-P101)/lambda_thin)*COS(PI()*(L-P101)/lambda_thin)+'Thin theory'!I$46*EXP(PI()*(L-P101)/lambda_thin)*SIN(PI()*(L-P101)/lambda_thin)+wm</f>
        <v>2.9564804502949017E-8</v>
      </c>
      <c r="R101" s="38">
        <f>'Thin theory'!I$43*2*(PI()/lambda_thin)^2*EXP(-PI()*(L-P101)/lambda_thin)*SIN(PI()*(L-P101)/lambda_thin)-'Thin theory'!I$44*2*(PI()/lambda_thin)^2*EXP(-PI()*(L-P101)/lambda_thin)*COS(PI()*(L-P101)/lambda_thin)-'Thin theory'!I$45*2*(PI()/lambda_thin)^2*EXP(PI()*(L-P101)/lambda_thin)*SIN(PI()*(L-P101)/lambda_thin)+'Thin theory'!I$46*2*(PI()/lambda_thin)^2*EXP(PI()*(L-P101)/lambda_thin)*COS(PI()*(L-P101)/lambda_thin)</f>
        <v>4.3240072248250579E-6</v>
      </c>
      <c r="S101" s="38">
        <f>(L-P101)*Nz/Cs-nu/rad*(wm*(L-P101)+'Thin theory'!I$43*0.5*lambda_thin/PI()*(1-EXP(-PI()*(L-P101)/lambda_thin)*(COS(PI()*(L-P101)/lambda_thin)-SIN(PI()*(L-P101)/lambda_thin)))+'Thin theory'!I$44*0.5*lambda_thin/PI()*(1-EXP(-PI()*(L-P101)/lambda_thin)*(COS(PI()*(L-P101)/lambda_thin)+SIN(PI()*(L-P101)/lambda_thin)))+'Thin theory'!I$45*0.5*lambda_thin/PI()*(-1+EXP(PI()*(L-P101)/lambda_thin)*(COS(PI()*(L-P101)/lambda_thin)+SIN(PI()*(L-P101)/lambda_thin)))+'Thin theory'!I$46*0.5*lambda_thin/PI()*(1+EXP(PI()*(L-P101)/lambda_thin)*(SIN(PI()*(L-P101)/lambda_thin)-COS(PI()*(L-P101)/lambda_thin))))</f>
        <v>-5.0877229439365494E-7</v>
      </c>
      <c r="T101" s="38">
        <f t="shared" si="37"/>
        <v>5.0877229439365494E-7</v>
      </c>
      <c r="U101" s="38">
        <f t="shared" si="26"/>
        <v>-4.5517738882701776E-6</v>
      </c>
      <c r="V101" s="38">
        <f t="shared" si="39"/>
        <v>-1</v>
      </c>
      <c r="W101" s="38">
        <f t="shared" si="28"/>
        <v>-0.29881740781988209</v>
      </c>
      <c r="X101" s="38">
        <f t="shared" si="29"/>
        <v>7.9194271516942458E-2</v>
      </c>
      <c r="Y101" s="38">
        <f t="shared" si="40"/>
        <v>2.3758281455082738E-2</v>
      </c>
      <c r="Z101" s="38">
        <f t="shared" si="31"/>
        <v>-0.52483437089834528</v>
      </c>
      <c r="AA101" s="38">
        <f t="shared" si="32"/>
        <v>-1</v>
      </c>
      <c r="AB101" s="38">
        <f t="shared" si="33"/>
        <v>-1.4751656291016548</v>
      </c>
      <c r="AC101" s="38">
        <f t="shared" si="34"/>
        <v>-0.15626771908938566</v>
      </c>
      <c r="AD101" s="38">
        <f t="shared" si="35"/>
        <v>-0.29881740781988209</v>
      </c>
      <c r="AE101" s="38">
        <f t="shared" si="36"/>
        <v>-0.44136709655037853</v>
      </c>
    </row>
    <row r="102" spans="15:31" x14ac:dyDescent="0.3">
      <c r="O102" s="35">
        <v>101</v>
      </c>
      <c r="P102" s="39">
        <f t="shared" si="38"/>
        <v>11.180339887498899</v>
      </c>
      <c r="Q102" s="39">
        <f>'Thin theory'!I$43*EXP(-PI()*(L-P102)/lambda_thin)*COS(PI()*(L-P102)/lambda_thin)+'Thin theory'!I$44*EXP(-PI()*(L-P102)/lambda_thin)*SIN(PI()*(L-P102)/lambda_thin)+'Thin theory'!I$45*EXP(PI()*(L-P102)/lambda_thin)*COS(PI()*(L-P102)/lambda_thin)+'Thin theory'!I$46*EXP(PI()*(L-P102)/lambda_thin)*SIN(PI()*(L-P102)/lambda_thin)+wm</f>
        <v>0</v>
      </c>
      <c r="R102" s="39">
        <f>'Thin theory'!I$43*2*(PI()/lambda_thin)^2*EXP(-PI()*(L-P102)/lambda_thin)*SIN(PI()*(L-P102)/lambda_thin)-'Thin theory'!I$44*2*(PI()/lambda_thin)^2*EXP(-PI()*(L-P102)/lambda_thin)*COS(PI()*(L-P102)/lambda_thin)-'Thin theory'!I$45*2*(PI()/lambda_thin)^2*EXP(PI()*(L-P102)/lambda_thin)*SIN(PI()*(L-P102)/lambda_thin)+'Thin theory'!I$46*2*(PI()/lambda_thin)^2*EXP(PI()*(L-P102)/lambda_thin)*COS(PI()*(L-P102)/lambda_thin)</f>
        <v>4.938662753643804E-6</v>
      </c>
      <c r="S102" s="39">
        <f>(L-P102)*Nz/Cs-nu/rad*(wm*(L-P102)+'Thin theory'!I$43*0.5*lambda_thin/PI()*(1-EXP(-PI()*(L-P102)/lambda_thin)*(COS(PI()*(L-P102)/lambda_thin)-SIN(PI()*(L-P102)/lambda_thin)))+'Thin theory'!I$44*0.5*lambda_thin/PI()*(1-EXP(-PI()*(L-P102)/lambda_thin)*(COS(PI()*(L-P102)/lambda_thin)+SIN(PI()*(L-P102)/lambda_thin)))+'Thin theory'!I$45*0.5*lambda_thin/PI()*(-1+EXP(PI()*(L-P102)/lambda_thin)*(COS(PI()*(L-P102)/lambda_thin)+SIN(PI()*(L-P102)/lambda_thin)))+'Thin theory'!I$46*0.5*lambda_thin/PI()*(1+EXP(PI()*(L-P102)/lambda_thin)*(SIN(PI()*(L-P102)/lambda_thin)-COS(PI()*(L-P102)/lambda_thin))))</f>
        <v>0</v>
      </c>
      <c r="T102" s="38">
        <f t="shared" si="37"/>
        <v>0</v>
      </c>
      <c r="U102" s="39">
        <f t="shared" si="26"/>
        <v>-4.5500000000000005E-6</v>
      </c>
      <c r="V102" s="39">
        <f t="shared" si="39"/>
        <v>-1</v>
      </c>
      <c r="W102" s="39">
        <f t="shared" si="28"/>
        <v>-0.3</v>
      </c>
      <c r="X102" s="39">
        <f t="shared" si="29"/>
        <v>9.045169878468505E-2</v>
      </c>
      <c r="Y102" s="39">
        <f t="shared" si="40"/>
        <v>2.7135509635405515E-2</v>
      </c>
      <c r="Z102" s="39">
        <f t="shared" si="31"/>
        <v>-0.45728980729188973</v>
      </c>
      <c r="AA102" s="39">
        <f t="shared" si="32"/>
        <v>-1</v>
      </c>
      <c r="AB102" s="39">
        <f t="shared" si="33"/>
        <v>-1.5427101927081104</v>
      </c>
      <c r="AC102" s="39">
        <f t="shared" si="34"/>
        <v>-0.13718694218756688</v>
      </c>
      <c r="AD102" s="39">
        <f t="shared" si="35"/>
        <v>-0.3</v>
      </c>
      <c r="AE102" s="39">
        <f t="shared" si="36"/>
        <v>-0.46281305781243309</v>
      </c>
    </row>
  </sheetData>
  <mergeCells count="14">
    <mergeCell ref="G37:G38"/>
    <mergeCell ref="G39:G40"/>
    <mergeCell ref="A2:F2"/>
    <mergeCell ref="A3:F3"/>
    <mergeCell ref="A4:F4"/>
    <mergeCell ref="A5:F5"/>
    <mergeCell ref="A8:D8"/>
    <mergeCell ref="C9:D9"/>
    <mergeCell ref="A9:B9"/>
    <mergeCell ref="I41:M41"/>
    <mergeCell ref="I4:J5"/>
    <mergeCell ref="I6:J6"/>
    <mergeCell ref="I19:J19"/>
    <mergeCell ref="I36:L36"/>
  </mergeCells>
  <pageMargins left="0.7" right="0.7" top="0.75" bottom="0.75" header="0.3" footer="0.3"/>
  <ignoredErrors>
    <ignoredError sqref="M3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0157-0384-4F0B-BE31-13D002690314}">
  <dimension ref="A1:AI102"/>
  <sheetViews>
    <sheetView zoomScale="55" zoomScaleNormal="55" workbookViewId="0">
      <selection activeCell="J39" sqref="J39"/>
    </sheetView>
  </sheetViews>
  <sheetFormatPr defaultRowHeight="14.4" x14ac:dyDescent="0.3"/>
  <cols>
    <col min="1" max="1" width="15.33203125" customWidth="1"/>
    <col min="2" max="2" width="16.33203125" customWidth="1"/>
    <col min="9" max="9" width="13" customWidth="1"/>
    <col min="10" max="10" width="52.5546875" customWidth="1"/>
    <col min="11" max="11" width="46.6640625" customWidth="1"/>
    <col min="12" max="12" width="50.88671875" customWidth="1"/>
    <col min="13" max="13" width="54.33203125" customWidth="1"/>
    <col min="14" max="14" width="55.33203125" customWidth="1"/>
    <col min="17" max="23" width="52.77734375" customWidth="1"/>
    <col min="24" max="24" width="13.21875" style="41" customWidth="1"/>
    <col min="25" max="25" width="13.21875" customWidth="1"/>
    <col min="26" max="35" width="12.77734375" style="37" customWidth="1"/>
  </cols>
  <sheetData>
    <row r="1" spans="1:35" ht="15.6" x14ac:dyDescent="0.3">
      <c r="A1" s="12" t="s">
        <v>173</v>
      </c>
      <c r="H1" s="2"/>
      <c r="I1" s="63" t="s">
        <v>132</v>
      </c>
      <c r="J1" s="63"/>
      <c r="K1" s="63"/>
      <c r="L1" s="63"/>
      <c r="M1" s="63"/>
      <c r="N1" s="63"/>
      <c r="Q1" s="26" t="s">
        <v>112</v>
      </c>
      <c r="R1" s="26" t="s">
        <v>113</v>
      </c>
      <c r="S1" s="26" t="s">
        <v>114</v>
      </c>
      <c r="T1" s="26" t="s">
        <v>115</v>
      </c>
      <c r="U1" s="26" t="s">
        <v>116</v>
      </c>
      <c r="V1" s="26" t="s">
        <v>117</v>
      </c>
      <c r="W1" s="26" t="s">
        <v>118</v>
      </c>
      <c r="X1" s="26" t="s">
        <v>177</v>
      </c>
      <c r="Y1" s="26" t="s">
        <v>178</v>
      </c>
      <c r="Z1" s="25" t="s">
        <v>146</v>
      </c>
      <c r="AA1" s="25" t="s">
        <v>147</v>
      </c>
      <c r="AB1" s="25" t="s">
        <v>148</v>
      </c>
      <c r="AC1" s="25" t="s">
        <v>149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</row>
    <row r="2" spans="1:35" x14ac:dyDescent="0.3">
      <c r="A2" t="s">
        <v>176</v>
      </c>
      <c r="H2" s="2"/>
      <c r="I2" s="63"/>
      <c r="J2" s="63"/>
      <c r="K2" s="63"/>
      <c r="L2" s="63"/>
      <c r="M2" s="63"/>
      <c r="N2" s="63"/>
      <c r="Q2" s="36" t="str">
        <f>IMSUM(wm,IMPRODUCT(w_a1,Cj_1,IMEXP(IMPRODUCT(Lambda_1,'Thin theory'!P2))),IMPRODUCT(w_a2,Cj_2,IMEXP(IMPRODUCT(Lambda_2,'Thin theory'!P2))),IMPRODUCT(w_a3,Cj_3,IMEXP(IMPRODUCT(Lambda_3,'Thin theory'!P2))),IMPRODUCT(w_a4,Cj_4,IMEXP(IMPRODUCT(Lambda_4,'Thin theory'!P2))))</f>
        <v>3.3881317890172E-21</v>
      </c>
      <c r="R2" s="36" t="str">
        <f>IMSUM(IMPRODUCT(w_b1,Cj_1,IMEXP(IMPRODUCT(Lambda_1,'Thin theory'!P2))),IMPRODUCT(w_b2,Cj_2,IMEXP(IMPRODUCT(Lambda_2,'Thin theory'!P2))),IMPRODUCT(w_b3,Cj_3,IMEXP(IMPRODUCT(Lambda_3,'Thin theory'!P2))),IMPRODUCT(w_b4,Cj_4,IMEXP(IMPRODUCT(Lambda_4,'Thin theory'!P2))))</f>
        <v>0.0000048990214146504-4.2351647362715E-20i</v>
      </c>
      <c r="S2" s="36" t="str">
        <f>IMSUM(IMPRODUCT(beta_a1,Cj_1,IMEXP(IMPRODUCT(Lambda_1,'Thin theory'!P2))),IMPRODUCT(beta_a2,Cj_2,IMEXP(IMPRODUCT(Lambda_2,'Thin theory'!P2))),IMPRODUCT(beta_a3,Cj_3,IMEXP(IMPRODUCT(Lambda_3,'Thin theory'!P2))),IMPRODUCT(beta_a4,Cj_4,IMEXP(IMPRODUCT(Lambda_4,'Thin theory'!P2))))</f>
        <v>4.12425341541815E-06-4.27751638363422E-20i</v>
      </c>
      <c r="T2" s="36" t="str">
        <f>IMSUM(IMPRODUCT(beta_b1,Cj_1,IMEXP(IMPRODUCT(Lambda_1,'Thin theory'!P2))),IMPRODUCT(beta_b2,Cj_2,IMEXP(IMPRODUCT(Lambda_2,'Thin theory'!P2))),IMPRODUCT(beta_b3,Cj_3,IMEXP(IMPRODUCT(Lambda_3,'Thin theory'!P2))),IMPRODUCT(beta_b4,Cj_4,IMEXP(IMPRODUCT(Lambda_4,'Thin theory'!P2))))</f>
        <v>-1.67959023378892E-21+2.15993401549847E-20i</v>
      </c>
      <c r="U2" s="36" t="str">
        <f>IMSUM(IMPRODUCT(Lambda_1,beta_b1,Cj_1,IMEXP(IMPRODUCT(Lambda_1,'Thin theory'!P2))),IMPRODUCT(Lambda_2,beta_b2,Cj_2,IMEXP(IMPRODUCT(Lambda_2,'Thin theory'!P2))),IMPRODUCT(Lambda_3,beta_b3,Cj_3,IMEXP(IMPRODUCT(Lambda_3,'Thin theory'!P2))),IMPRODUCT(Lambda_4,beta_b4,Cj_4,IMEXP(IMPRODUCT(Lambda_4,'Thin theory'!P2))))</f>
        <v>-2.71168799731285E-06-2.15993401549847E-20i</v>
      </c>
      <c r="V2" s="36" t="str">
        <f>IMSUM(IMPRODUCT(-1,uc),Nz/Cs*'Thin theory'!P2,IMPRODUCT(-nu/rad,IMSUM(wm*'Thin theory'!P2,IMPRODUCT(IMDIV(w_a1,Lambda_1),Cj_1,IMEXP(IMPRODUCT(Lambda_1,'Thin theory'!P2))),IMPRODUCT(IMDIV(w_a2,Lambda_2),Cj_2,IMEXP(IMPRODUCT(Lambda_2,'Thin theory'!P2))),IMPRODUCT(IMDIV(w_a3,Lambda_3),Cj_3,IMEXP(IMPRODUCT(Lambda_3,'Thin theory'!P2))),IMPRODUCT(IMDIV(w_a4,Lambda_4),Cj_4,IMEXP(IMPRODUCT(Lambda_4,'Thin theory'!P2))))))</f>
        <v>0.0000548420177196506+3.55018730708237E-19i</v>
      </c>
      <c r="W2" s="36" t="str">
        <f t="shared" ref="W2:W33" si="0">IMSUM(Nz/Cs,IMPRODUCT(-nu/rad,Q2))</f>
        <v>-0.00000455</v>
      </c>
      <c r="X2" s="41">
        <f>IMREAL(V2)</f>
        <v>5.4842017719650597E-5</v>
      </c>
      <c r="Y2" s="41">
        <f>IMREAL(Q2)</f>
        <v>3.3881317890171999E-21</v>
      </c>
      <c r="Z2" s="38">
        <f t="shared" ref="Z2:Z33" si="1">Cs*(IMREAL(W2)+nu/rad*IMREAL(Q2))</f>
        <v>-0.99999999999999989</v>
      </c>
      <c r="AA2" s="38">
        <f t="shared" ref="AA2:AA33" si="2">Cs*(IMREAL(Q2)/rad+nu*IMREAL(W2))</f>
        <v>-0.29999999999999982</v>
      </c>
      <c r="AB2" s="38">
        <f t="shared" ref="AB2:AB33" si="3">D*IMREAL(T2)</f>
        <v>-3.0761725893569966E-17</v>
      </c>
      <c r="AC2" s="38">
        <f t="shared" ref="AC2:AC33" si="4">nu*AB2</f>
        <v>-9.2285177680709899E-18</v>
      </c>
      <c r="AD2" s="38">
        <f t="shared" ref="AD2:AD33" si="5">Z2/t+6*AB2/t/t</f>
        <v>-1</v>
      </c>
      <c r="AE2" s="38">
        <f t="shared" ref="AE2:AE33" si="6">Z2/t</f>
        <v>-0.99999999999999989</v>
      </c>
      <c r="AF2" s="38">
        <f t="shared" ref="AF2:AF33" si="7">Z2/t-6*AB2/t/t</f>
        <v>-0.99999999999999967</v>
      </c>
      <c r="AG2" s="38">
        <f t="shared" ref="AG2:AG33" si="8">AA2/t+6*AC2/t/t</f>
        <v>-0.29999999999999988</v>
      </c>
      <c r="AH2" s="38">
        <f t="shared" ref="AH2:AH33" si="9">AA2/t</f>
        <v>-0.29999999999999982</v>
      </c>
      <c r="AI2" s="38">
        <f t="shared" ref="AI2:AI33" si="10">AA2/t-6*AC2/t/t</f>
        <v>-0.29999999999999977</v>
      </c>
    </row>
    <row r="3" spans="1:35" x14ac:dyDescent="0.3">
      <c r="A3" s="40" t="s">
        <v>174</v>
      </c>
      <c r="H3" s="2"/>
      <c r="I3" s="63"/>
      <c r="J3" s="63"/>
      <c r="K3" s="63"/>
      <c r="L3" s="63"/>
      <c r="M3" s="63"/>
      <c r="N3" s="63"/>
      <c r="Q3" s="36" t="str">
        <f>IMSUM(wm,IMPRODUCT(w_a1,Cj_1,IMEXP(IMPRODUCT(Lambda_1,'Thin theory'!P3))),IMPRODUCT(w_a2,Cj_2,IMEXP(IMPRODUCT(Lambda_2,'Thin theory'!P3))),IMPRODUCT(w_a3,Cj_3,IMEXP(IMPRODUCT(Lambda_3,'Thin theory'!P3))),IMPRODUCT(w_a4,Cj_4,IMEXP(IMPRODUCT(Lambda_4,'Thin theory'!P3))))</f>
        <v>5.4140825802377E-07-4.44692297308508E-21i</v>
      </c>
      <c r="R3" s="36" t="str">
        <f>IMSUM(IMPRODUCT(w_b1,Cj_1,IMEXP(IMPRODUCT(Lambda_1,'Thin theory'!P3))),IMPRODUCT(w_b2,Cj_2,IMEXP(IMPRODUCT(Lambda_2,'Thin theory'!P3))),IMPRODUCT(w_b3,Cj_3,IMEXP(IMPRODUCT(Lambda_3,'Thin theory'!P3))),IMPRODUCT(w_b4,Cj_4,IMEXP(IMPRODUCT(Lambda_4,'Thin theory'!P3))))</f>
        <v>4.78196695020343E-06-4.34104385467829E-20i</v>
      </c>
      <c r="S3" s="36" t="str">
        <f>IMSUM(IMPRODUCT(beta_a1,Cj_1,IMEXP(IMPRODUCT(Lambda_1,'Thin theory'!P3))),IMPRODUCT(beta_a2,Cj_2,IMEXP(IMPRODUCT(Lambda_2,'Thin theory'!P3))),IMPRODUCT(beta_a3,Cj_3,IMEXP(IMPRODUCT(Lambda_3,'Thin theory'!P3))),IMPRODUCT(beta_a4,Cj_4,IMEXP(IMPRODUCT(Lambda_4,'Thin theory'!P3))))</f>
        <v>4.10805455398814E-06-4.36221967835965E-20i</v>
      </c>
      <c r="T3" s="36" t="str">
        <f>IMSUM(IMPRODUCT(beta_b1,Cj_1,IMEXP(IMPRODUCT(Lambda_1,'Thin theory'!P3))),IMPRODUCT(beta_b2,Cj_2,IMEXP(IMPRODUCT(Lambda_2,'Thin theory'!P3))),IMPRODUCT(beta_b3,Cj_3,IMEXP(IMPRODUCT(Lambda_3,'Thin theory'!P3))),IMPRODUCT(beta_b4,Cj_4,IMEXP(IMPRODUCT(Lambda_4,'Thin theory'!P3))))</f>
        <v>-2.83196574975762E-07+2.15993401549847E-20i</v>
      </c>
      <c r="U3" s="36" t="str">
        <f>IMSUM(IMPRODUCT(Lambda_1,beta_b1,Cj_1,IMEXP(IMPRODUCT(Lambda_1,'Thin theory'!P3))),IMPRODUCT(Lambda_2,beta_b2,Cj_2,IMEXP(IMPRODUCT(Lambda_2,'Thin theory'!P3))),IMPRODUCT(Lambda_3,beta_b3,Cj_3,IMEXP(IMPRODUCT(Lambda_3,'Thin theory'!P3))),IMPRODUCT(Lambda_4,beta_b4,Cj_4,IMEXP(IMPRODUCT(Lambda_4,'Thin theory'!P3))))</f>
        <v>-2.35869338675351E-06-1.12231865511195E-20i</v>
      </c>
      <c r="V3" s="36" t="str">
        <f>IMSUM(IMPRODUCT(-1,uc),Nz/Cs*'Thin theory'!P3,IMPRODUCT(-nu/rad,IMSUM(wm*'Thin theory'!P3,IMPRODUCT(IMDIV(w_a1,Lambda_1),Cj_1,IMEXP(IMPRODUCT(Lambda_1,'Thin theory'!P3))),IMPRODUCT(IMDIV(w_a2,Lambda_2),Cj_2,IMEXP(IMPRODUCT(Lambda_2,'Thin theory'!P3))),IMPRODUCT(IMDIV(w_a3,Lambda_3),Cj_3,IMEXP(IMPRODUCT(Lambda_3,'Thin theory'!P3))),IMPRODUCT(IMDIV(w_a4,Lambda_4),Cj_4,IMEXP(IMPRODUCT(Lambda_4,'Thin theory'!P3))))))</f>
        <v>0.0000543314889959569+3.55069552685072E-19i</v>
      </c>
      <c r="W3" s="36" t="str">
        <f t="shared" si="0"/>
        <v>-4.58248449548143E-06+2.66815378385105E-22i</v>
      </c>
      <c r="X3" s="41">
        <f t="shared" ref="X3:X66" si="11">IMREAL(V3)</f>
        <v>5.4331488995956898E-5</v>
      </c>
      <c r="Y3" s="41">
        <f t="shared" ref="Y3:Y66" si="12">IMREAL(Q3)</f>
        <v>5.4140825802376998E-7</v>
      </c>
      <c r="Z3" s="38">
        <f t="shared" si="1"/>
        <v>-1.0000000000000009</v>
      </c>
      <c r="AA3" s="38">
        <f t="shared" si="2"/>
        <v>-0.27834366967904944</v>
      </c>
      <c r="AB3" s="38">
        <f t="shared" si="3"/>
        <v>-5.1867504574315383E-3</v>
      </c>
      <c r="AC3" s="38">
        <f t="shared" si="4"/>
        <v>-1.5560251372294615E-3</v>
      </c>
      <c r="AD3" s="38">
        <f t="shared" si="5"/>
        <v>-1.0311205027445902</v>
      </c>
      <c r="AE3" s="38">
        <f t="shared" si="6"/>
        <v>-1.0000000000000009</v>
      </c>
      <c r="AF3" s="38">
        <f t="shared" si="7"/>
        <v>-0.96887949725541167</v>
      </c>
      <c r="AG3" s="38">
        <f t="shared" si="8"/>
        <v>-0.28767982050242619</v>
      </c>
      <c r="AH3" s="38">
        <f t="shared" si="9"/>
        <v>-0.27834366967904944</v>
      </c>
      <c r="AI3" s="38">
        <f t="shared" si="10"/>
        <v>-0.2690075188556727</v>
      </c>
    </row>
    <row r="4" spans="1:35" x14ac:dyDescent="0.3">
      <c r="A4" s="40" t="s">
        <v>175</v>
      </c>
      <c r="H4" s="2"/>
      <c r="I4" s="91" t="s">
        <v>31</v>
      </c>
      <c r="J4" s="92"/>
      <c r="K4" s="2"/>
      <c r="L4" s="91" t="s">
        <v>133</v>
      </c>
      <c r="M4" s="92"/>
      <c r="N4" s="2"/>
      <c r="Q4" s="36" t="str">
        <f>IMSUM(wm,IMPRODUCT(w_a1,Cj_1,IMEXP(IMPRODUCT(Lambda_1,'Thin theory'!P4))),IMPRODUCT(w_a2,Cj_2,IMEXP(IMPRODUCT(Lambda_2,'Thin theory'!P4))),IMPRODUCT(w_a3,Cj_3,IMEXP(IMPRODUCT(Lambda_3,'Thin theory'!P4))),IMPRODUCT(w_a4,Cj_4,IMEXP(IMPRODUCT(Lambda_4,'Thin theory'!P4))))</f>
        <v>1.06845886602496E-06-9.95263713023803E-21i</v>
      </c>
      <c r="R4" s="36" t="str">
        <f>IMSUM(IMPRODUCT(w_b1,Cj_1,IMEXP(IMPRODUCT(Lambda_1,'Thin theory'!P4))),IMPRODUCT(w_b2,Cj_2,IMEXP(IMPRODUCT(Lambda_2,'Thin theory'!P4))),IMPRODUCT(w_b3,Cj_3,IMEXP(IMPRODUCT(Lambda_3,'Thin theory'!P4))),IMPRODUCT(w_b4,Cj_4,IMEXP(IMPRODUCT(Lambda_4,'Thin theory'!P4))))</f>
        <v>4.64285862894696E-06-3.45165926006127E-20i</v>
      </c>
      <c r="S4" s="36" t="str">
        <f>IMSUM(IMPRODUCT(beta_a1,Cj_1,IMEXP(IMPRODUCT(Lambda_1,'Thin theory'!P4))),IMPRODUCT(beta_a2,Cj_2,IMEXP(IMPRODUCT(Lambda_2,'Thin theory'!P4))),IMPRODUCT(beta_a3,Cj_3,IMEXP(IMPRODUCT(Lambda_3,'Thin theory'!P4))),IMPRODUCT(beta_a4,Cj_4,IMEXP(IMPRODUCT(Lambda_4,'Thin theory'!P4))))</f>
        <v>4.06234483196324E-06-4.46809879676643E-20i</v>
      </c>
      <c r="T4" s="36" t="str">
        <f>IMSUM(IMPRODUCT(beta_b1,Cj_1,IMEXP(IMPRODUCT(Lambda_1,'Thin theory'!P4))),IMPRODUCT(beta_b2,Cj_2,IMEXP(IMPRODUCT(Lambda_2,'Thin theory'!P4))),IMPRODUCT(beta_b3,Cj_3,IMEXP(IMPRODUCT(Lambda_3,'Thin theory'!P4))),IMPRODUCT(beta_b4,Cj_4,IMEXP(IMPRODUCT(Lambda_4,'Thin theory'!P4))))</f>
        <v>-5.28392696014268E-07+2.11758236813575E-20i</v>
      </c>
      <c r="U4" s="36" t="str">
        <f>IMSUM(IMPRODUCT(Lambda_1,beta_b1,Cj_1,IMEXP(IMPRODUCT(Lambda_1,'Thin theory'!P4))),IMPRODUCT(Lambda_2,beta_b2,Cj_2,IMEXP(IMPRODUCT(Lambda_2,'Thin theory'!P4))),IMPRODUCT(Lambda_3,beta_b3,Cj_3,IMEXP(IMPRODUCT(Lambda_3,'Thin theory'!P4))),IMPRODUCT(Lambda_4,beta_b4,Cj_4,IMEXP(IMPRODUCT(Lambda_4,'Thin theory'!P4))))</f>
        <v>-2.03179828944304E-06-2.09640654445439E-20i</v>
      </c>
      <c r="V4" s="36" t="str">
        <f>IMSUM(IMPRODUCT(-1,uc),Nz/Cs*'Thin theory'!P4,IMPRODUCT(-nu/rad,IMSUM(wm*'Thin theory'!P4,IMPRODUCT(IMDIV(w_a1,Lambda_1),Cj_1,IMEXP(IMPRODUCT(Lambda_1,'Thin theory'!P4))),IMPRODUCT(IMDIV(w_a2,Lambda_2),Cj_2,IMEXP(IMPRODUCT(Lambda_2,'Thin theory'!P4))),IMPRODUCT(IMDIV(w_a3,Lambda_3),Cj_3,IMEXP(IMPRODUCT(Lambda_3,'Thin theory'!P4))),IMPRODUCT(IMDIV(w_a4,Lambda_4),Cj_4,IMEXP(IMPRODUCT(Lambda_4,'Thin theory'!P4))))))</f>
        <v>0.0000538173751742894+3.55145785650325E-19i</v>
      </c>
      <c r="W4" s="36" t="str">
        <f t="shared" si="0"/>
        <v>-0.0000046141075319615+5.97158227814282E-22i</v>
      </c>
      <c r="X4" s="41">
        <f t="shared" si="11"/>
        <v>5.3817375174289398E-5</v>
      </c>
      <c r="Y4" s="41">
        <f t="shared" si="12"/>
        <v>1.06845886602496E-6</v>
      </c>
      <c r="Z4" s="38">
        <f t="shared" si="1"/>
        <v>-1.0000000000000004</v>
      </c>
      <c r="AA4" s="38">
        <f t="shared" si="2"/>
        <v>-0.25726164535900176</v>
      </c>
      <c r="AB4" s="38">
        <f t="shared" si="3"/>
        <v>-9.6775219050232245E-3</v>
      </c>
      <c r="AC4" s="38">
        <f t="shared" si="4"/>
        <v>-2.9032565715069671E-3</v>
      </c>
      <c r="AD4" s="38">
        <f t="shared" si="5"/>
        <v>-1.0580651314301397</v>
      </c>
      <c r="AE4" s="38">
        <f t="shared" si="6"/>
        <v>-1.0000000000000004</v>
      </c>
      <c r="AF4" s="38">
        <f t="shared" si="7"/>
        <v>-0.94193486856986108</v>
      </c>
      <c r="AG4" s="38">
        <f t="shared" si="8"/>
        <v>-0.27468118478804354</v>
      </c>
      <c r="AH4" s="38">
        <f t="shared" si="9"/>
        <v>-0.25726164535900176</v>
      </c>
      <c r="AI4" s="38">
        <f t="shared" si="10"/>
        <v>-0.23984210592995994</v>
      </c>
    </row>
    <row r="5" spans="1:35" x14ac:dyDescent="0.3">
      <c r="A5" t="s">
        <v>150</v>
      </c>
      <c r="H5" s="2"/>
      <c r="I5" s="93"/>
      <c r="J5" s="94"/>
      <c r="K5" s="2"/>
      <c r="L5" s="93"/>
      <c r="M5" s="94"/>
      <c r="N5" s="2"/>
      <c r="Q5" s="36" t="str">
        <f>IMSUM(wm,IMPRODUCT(w_a1,Cj_1,IMEXP(IMPRODUCT(Lambda_1,'Thin theory'!P5))),IMPRODUCT(w_a2,Cj_2,IMEXP(IMPRODUCT(Lambda_2,'Thin theory'!P5))),IMPRODUCT(w_a3,Cj_3,IMEXP(IMPRODUCT(Lambda_3,'Thin theory'!P5))),IMPRODUCT(w_a4,Cj_4,IMEXP(IMPRODUCT(Lambda_4,'Thin theory'!P5))))</f>
        <v>1.57890578253521E-06-1.36584062744756E-20i</v>
      </c>
      <c r="R5" s="36" t="str">
        <f>IMSUM(IMPRODUCT(w_b1,Cj_1,IMEXP(IMPRODUCT(Lambda_1,'Thin theory'!P5))),IMPRODUCT(w_b2,Cj_2,IMEXP(IMPRODUCT(Lambda_2,'Thin theory'!P5))),IMPRODUCT(w_b3,Cj_3,IMEXP(IMPRODUCT(Lambda_3,'Thin theory'!P5))),IMPRODUCT(w_b4,Cj_4,IMEXP(IMPRODUCT(Lambda_4,'Thin theory'!P5))))</f>
        <v>4.48556692412185E-06-3.55753837846806E-20i</v>
      </c>
      <c r="S5" s="36" t="str">
        <f>IMSUM(IMPRODUCT(beta_a1,Cj_1,IMEXP(IMPRODUCT(Lambda_1,'Thin theory'!P5))),IMPRODUCT(beta_a2,Cj_2,IMEXP(IMPRODUCT(Lambda_2,'Thin theory'!P5))),IMPRODUCT(beta_a3,Cj_3,IMEXP(IMPRODUCT(Lambda_3,'Thin theory'!P5))),IMPRODUCT(beta_a4,Cj_4,IMEXP(IMPRODUCT(Lambda_4,'Thin theory'!P5))))</f>
        <v>3.99121122850483E-06-4.57397791517322E-20i</v>
      </c>
      <c r="T5" s="36" t="str">
        <f>IMSUM(IMPRODUCT(beta_b1,Cj_1,IMEXP(IMPRODUCT(Lambda_1,'Thin theory'!P5))),IMPRODUCT(beta_b2,Cj_2,IMEXP(IMPRODUCT(Lambda_2,'Thin theory'!P5))),IMPRODUCT(beta_b3,Cj_3,IMEXP(IMPRODUCT(Lambda_3,'Thin theory'!P5))),IMPRODUCT(beta_b4,Cj_4,IMEXP(IMPRODUCT(Lambda_4,'Thin theory'!P5))))</f>
        <v>-7.3846503838419E-07+2.11758236813575E-20i</v>
      </c>
      <c r="U5" s="36" t="str">
        <f>IMSUM(IMPRODUCT(Lambda_1,beta_b1,Cj_1,IMEXP(IMPRODUCT(Lambda_1,'Thin theory'!P5))),IMPRODUCT(Lambda_2,beta_b2,Cj_2,IMEXP(IMPRODUCT(Lambda_2,'Thin theory'!P5))),IMPRODUCT(Lambda_3,beta_b3,Cj_3,IMEXP(IMPRODUCT(Lambda_3,'Thin theory'!P5))),IMPRODUCT(Lambda_4,beta_b4,Cj_4,IMEXP(IMPRODUCT(Lambda_4,'Thin theory'!P5))))</f>
        <v>-0.0000017302449346596-1.03761536038652E-20i</v>
      </c>
      <c r="V5" s="36" t="str">
        <f>IMSUM(IMPRODUCT(-1,uc),Nz/Cs*'Thin theory'!P5,IMPRODUCT(-nu/rad,IMSUM(wm*'Thin theory'!P5,IMPRODUCT(IMDIV(w_a1,Lambda_1),Cj_1,IMEXP(IMPRODUCT(Lambda_1,'Thin theory'!P5))),IMPRODUCT(IMDIV(w_a2,Lambda_2),Cj_2,IMEXP(IMPRODUCT(Lambda_2,'Thin theory'!P5))),IMPRODUCT(IMDIV(w_a3,Lambda_3),Cj_3,IMEXP(IMPRODUCT(Lambda_3,'Thin theory'!P5))),IMPRODUCT(IMDIV(w_a4,Lambda_4),Cj_4,IMEXP(IMPRODUCT(Lambda_4,'Thin theory'!P5))))))</f>
        <v>0.0000532997803440331+3.55222018615578E-19i</v>
      </c>
      <c r="W5" s="36" t="str">
        <f t="shared" si="0"/>
        <v>-4.64473434695211E-06+8.19504376468536E-22i</v>
      </c>
      <c r="X5" s="41">
        <f t="shared" si="11"/>
        <v>5.3299780344033097E-5</v>
      </c>
      <c r="Y5" s="41">
        <f t="shared" si="12"/>
        <v>1.5789057825352101E-6</v>
      </c>
      <c r="Z5" s="38">
        <f t="shared" si="1"/>
        <v>-0.99999999999999956</v>
      </c>
      <c r="AA5" s="38">
        <f t="shared" si="2"/>
        <v>-0.23684376869859144</v>
      </c>
      <c r="AB5" s="38">
        <f t="shared" si="3"/>
        <v>-1.3525000703007143E-2</v>
      </c>
      <c r="AC5" s="38">
        <f t="shared" si="4"/>
        <v>-4.0575002109021424E-3</v>
      </c>
      <c r="AD5" s="38">
        <f t="shared" si="5"/>
        <v>-1.0811500042180424</v>
      </c>
      <c r="AE5" s="38">
        <f t="shared" si="6"/>
        <v>-0.99999999999999956</v>
      </c>
      <c r="AF5" s="38">
        <f t="shared" si="7"/>
        <v>-0.9188499957819567</v>
      </c>
      <c r="AG5" s="38">
        <f t="shared" si="8"/>
        <v>-0.26118876996400431</v>
      </c>
      <c r="AH5" s="38">
        <f t="shared" si="9"/>
        <v>-0.23684376869859144</v>
      </c>
      <c r="AI5" s="38">
        <f t="shared" si="10"/>
        <v>-0.21249876743317858</v>
      </c>
    </row>
    <row r="6" spans="1:35" x14ac:dyDescent="0.3">
      <c r="A6" s="4"/>
      <c r="B6" s="2"/>
      <c r="C6" s="2"/>
      <c r="D6" s="2"/>
      <c r="E6" s="2"/>
      <c r="H6" s="2"/>
      <c r="I6" s="1" t="s">
        <v>33</v>
      </c>
      <c r="J6" s="5" t="str">
        <f>COMPLEX(a,b)</f>
        <v>0.601376947377571+0.547041344723748i</v>
      </c>
      <c r="K6" s="2"/>
      <c r="L6" s="54" t="s">
        <v>58</v>
      </c>
      <c r="M6" s="95"/>
      <c r="N6" s="2"/>
      <c r="Q6" s="36" t="str">
        <f>IMSUM(wm,IMPRODUCT(w_a1,Cj_1,IMEXP(IMPRODUCT(Lambda_1,'Thin theory'!P6))),IMPRODUCT(w_a2,Cj_2,IMEXP(IMPRODUCT(Lambda_2,'Thin theory'!P6))),IMPRODUCT(w_a3,Cj_3,IMEXP(IMPRODUCT(Lambda_3,'Thin theory'!P6))),IMPRODUCT(w_a4,Cj_4,IMEXP(IMPRODUCT(Lambda_4,'Thin theory'!P6))))</f>
        <v>2.07091625963252E-06-1.73641754187132E-20i</v>
      </c>
      <c r="R6" s="36" t="str">
        <f>IMSUM(IMPRODUCT(w_b1,Cj_1,IMEXP(IMPRODUCT(Lambda_1,'Thin theory'!P6))),IMPRODUCT(w_b2,Cj_2,IMEXP(IMPRODUCT(Lambda_2,'Thin theory'!P6))),IMPRODUCT(w_b3,Cj_3,IMEXP(IMPRODUCT(Lambda_3,'Thin theory'!P6))),IMPRODUCT(w_b4,Cj_4,IMEXP(IMPRODUCT(Lambda_4,'Thin theory'!P6))))</f>
        <v>4.31361722972756E-06-3.57871420214942E-20i</v>
      </c>
      <c r="S6" s="36" t="str">
        <f>IMSUM(IMPRODUCT(beta_a1,Cj_1,IMEXP(IMPRODUCT(Lambda_1,'Thin theory'!P6))),IMPRODUCT(beta_a2,Cj_2,IMEXP(IMPRODUCT(Lambda_2,'Thin theory'!P6))),IMPRODUCT(beta_a3,Cj_3,IMEXP(IMPRODUCT(Lambda_3,'Thin theory'!P6))),IMPRODUCT(beta_a4,Cj_4,IMEXP(IMPRODUCT(Lambda_4,'Thin theory'!P6))))</f>
        <v>3.89842405447611E-06-4.65868120989865E-20i</v>
      </c>
      <c r="T6" s="36" t="str">
        <f>IMSUM(IMPRODUCT(beta_b1,Cj_1,IMEXP(IMPRODUCT(Lambda_1,'Thin theory'!P6))),IMPRODUCT(beta_b2,Cj_2,IMEXP(IMPRODUCT(Lambda_2,'Thin theory'!P6))),IMPRODUCT(beta_b3,Cj_3,IMEXP(IMPRODUCT(Lambda_3,'Thin theory'!P6))),IMPRODUCT(beta_b4,Cj_4,IMEXP(IMPRODUCT(Lambda_4,'Thin theory'!P6))))</f>
        <v>-0.0000009161998092068+1.10114283143059E-20i</v>
      </c>
      <c r="U6" s="36" t="str">
        <f>IMSUM(IMPRODUCT(Lambda_1,beta_b1,Cj_1,IMEXP(IMPRODUCT(Lambda_1,'Thin theory'!P6))),IMPRODUCT(Lambda_2,beta_b2,Cj_2,IMEXP(IMPRODUCT(Lambda_2,'Thin theory'!P6))),IMPRODUCT(Lambda_3,beta_b3,Cj_3,IMEXP(IMPRODUCT(Lambda_3,'Thin theory'!P6))),IMPRODUCT(Lambda_4,beta_b4,Cj_4,IMEXP(IMPRODUCT(Lambda_4,'Thin theory'!P6))))</f>
        <v>-1.45317611338005E-06-9.52912065661088E-21i</v>
      </c>
      <c r="V6" s="36" t="str">
        <f>IMSUM(IMPRODUCT(-1,uc),Nz/Cs*'Thin theory'!P6,IMPRODUCT(-nu/rad,IMSUM(wm*'Thin theory'!P6,IMPRODUCT(IMDIV(w_a1,Lambda_1),Cj_1,IMEXP(IMPRODUCT(Lambda_1,'Thin theory'!P6))),IMPRODUCT(IMDIV(w_a2,Lambda_2),Cj_2,IMEXP(IMPRODUCT(Lambda_2,'Thin theory'!P6))),IMPRODUCT(IMDIV(w_a3,Lambda_3),Cj_3,IMEXP(IMPRODUCT(Lambda_3,'Thin theory'!P6))),IMPRODUCT(IMDIV(w_a4,Lambda_4),Cj_4,IMEXP(IMPRODUCT(Lambda_4,'Thin theory'!P6))))))</f>
        <v>0.00005277882225368+3.5529825158083E-19i</v>
      </c>
      <c r="W6" s="36" t="str">
        <f t="shared" si="0"/>
        <v>-4.67425497557795E-06+1.04185052512279E-21i</v>
      </c>
      <c r="X6" s="41">
        <f t="shared" si="11"/>
        <v>5.2778822253680002E-5</v>
      </c>
      <c r="Y6" s="41">
        <f t="shared" si="12"/>
        <v>2.0709162596325199E-6</v>
      </c>
      <c r="Z6" s="38">
        <f t="shared" si="1"/>
        <v>-0.99999999999999967</v>
      </c>
      <c r="AA6" s="38">
        <f t="shared" si="2"/>
        <v>-0.2171633496146991</v>
      </c>
      <c r="AB6" s="38">
        <f t="shared" si="3"/>
        <v>-1.6780216285838829E-2</v>
      </c>
      <c r="AC6" s="38">
        <f t="shared" si="4"/>
        <v>-5.0340648857516487E-3</v>
      </c>
      <c r="AD6" s="38">
        <f t="shared" si="5"/>
        <v>-1.1006812977150326</v>
      </c>
      <c r="AE6" s="38">
        <f t="shared" si="6"/>
        <v>-0.99999999999999967</v>
      </c>
      <c r="AF6" s="38">
        <f t="shared" si="7"/>
        <v>-0.89931870228496669</v>
      </c>
      <c r="AG6" s="38">
        <f t="shared" si="8"/>
        <v>-0.24736773892920899</v>
      </c>
      <c r="AH6" s="38">
        <f t="shared" si="9"/>
        <v>-0.2171633496146991</v>
      </c>
      <c r="AI6" s="38">
        <f t="shared" si="10"/>
        <v>-0.18695896030018921</v>
      </c>
    </row>
    <row r="7" spans="1:35" x14ac:dyDescent="0.3">
      <c r="A7" s="4"/>
      <c r="B7" s="2"/>
      <c r="C7" s="2"/>
      <c r="D7" s="2"/>
      <c r="E7" s="2"/>
      <c r="H7" s="2"/>
      <c r="I7" s="1" t="s">
        <v>34</v>
      </c>
      <c r="J7" s="5" t="str">
        <f>COMPLEX(a,-b)</f>
        <v>0.601376947377571-0.547041344723748i</v>
      </c>
      <c r="K7" s="2"/>
      <c r="L7" s="1" t="s">
        <v>59</v>
      </c>
      <c r="M7" s="1" t="str">
        <f>IMPRODUCT(w_a1,IMEXP(IMPRODUCT(Lambda_1,0)))</f>
        <v>1</v>
      </c>
      <c r="N7" s="2"/>
      <c r="Q7" s="36" t="str">
        <f>IMSUM(wm,IMPRODUCT(w_a1,Cj_1,IMEXP(IMPRODUCT(Lambda_1,'Thin theory'!P7))),IMPRODUCT(w_a2,Cj_2,IMEXP(IMPRODUCT(Lambda_2,'Thin theory'!P7))),IMPRODUCT(w_a3,Cj_3,IMEXP(IMPRODUCT(Lambda_3,'Thin theory'!P7))),IMPRODUCT(w_a4,Cj_4,IMEXP(IMPRODUCT(Lambda_4,'Thin theory'!P7))))</f>
        <v>2.54303316179753E-06-2.64697796016969E-20i</v>
      </c>
      <c r="R7" s="36" t="str">
        <f>IMSUM(IMPRODUCT(w_b1,Cj_1,IMEXP(IMPRODUCT(Lambda_1,'Thin theory'!P7))),IMPRODUCT(w_b2,Cj_2,IMEXP(IMPRODUCT(Lambda_2,'Thin theory'!P7))),IMPRODUCT(w_b3,Cj_3,IMEXP(IMPRODUCT(Lambda_3,'Thin theory'!P7))),IMPRODUCT(w_b4,Cj_4,IMEXP(IMPRODUCT(Lambda_4,'Thin theory'!P7))))</f>
        <v>4.13020605730277E-06-3.39871970085788E-20i</v>
      </c>
      <c r="S7" s="36" t="str">
        <f>IMSUM(IMPRODUCT(beta_a1,Cj_1,IMEXP(IMPRODUCT(Lambda_1,'Thin theory'!P7))),IMPRODUCT(beta_a2,Cj_2,IMEXP(IMPRODUCT(Lambda_2,'Thin theory'!P7))),IMPRODUCT(beta_a3,Cj_3,IMEXP(IMPRODUCT(Lambda_3,'Thin theory'!P7))),IMPRODUCT(beta_a4,Cj_4,IMEXP(IMPRODUCT(Lambda_4,'Thin theory'!P7))))</f>
        <v>3.78744764750119E-06-3.79047243896299E-20i</v>
      </c>
      <c r="T7" s="36" t="str">
        <f>IMSUM(IMPRODUCT(beta_b1,Cj_1,IMEXP(IMPRODUCT(Lambda_1,'Thin theory'!P7))),IMPRODUCT(beta_b2,Cj_2,IMEXP(IMPRODUCT(Lambda_2,'Thin theory'!P7))),IMPRODUCT(beta_b3,Cj_3,IMEXP(IMPRODUCT(Lambda_3,'Thin theory'!P7))),IMPRODUCT(beta_b4,Cj_4,IMEXP(IMPRODUCT(Lambda_4,'Thin theory'!P7))))</f>
        <v>-1.06428272350589E-06+2.11758236813575E-20i</v>
      </c>
      <c r="U7" s="36" t="str">
        <f>IMSUM(IMPRODUCT(Lambda_1,beta_b1,Cj_1,IMEXP(IMPRODUCT(Lambda_1,'Thin theory'!P7))),IMPRODUCT(Lambda_2,beta_b2,Cj_2,IMEXP(IMPRODUCT(Lambda_2,'Thin theory'!P7))),IMPRODUCT(Lambda_3,beta_b3,Cj_3,IMEXP(IMPRODUCT(Lambda_3,'Thin theory'!P7))),IMPRODUCT(Lambda_4,beta_b4,Cj_4,IMEXP(IMPRODUCT(Lambda_4,'Thin theory'!P7))))</f>
        <v>-1.19965443430557E-06-8.89384594617015E-21i</v>
      </c>
      <c r="V7" s="36" t="str">
        <f>IMSUM(IMPRODUCT(-1,uc),Nz/Cs*'Thin theory'!P7,IMPRODUCT(-nu/rad,IMSUM(wm*'Thin theory'!P7,IMPRODUCT(IMDIV(w_a1,Lambda_1),Cj_1,IMEXP(IMPRODUCT(Lambda_1,'Thin theory'!P7))),IMPRODUCT(IMDIV(w_a2,Lambda_2),Cj_2,IMEXP(IMPRODUCT(Lambda_2,'Thin theory'!P7))),IMPRODUCT(IMDIV(w_a3,Lambda_3),Cj_3,IMEXP(IMPRODUCT(Lambda_3,'Thin theory'!P7))),IMPRODUCT(IMDIV(w_a4,Lambda_4),Cj_4,IMEXP(IMPRODUCT(Lambda_4,'Thin theory'!P7))))))</f>
        <v>0.0000522546296657714+3.56009759256524E-19i</v>
      </c>
      <c r="W7" s="36" t="str">
        <f t="shared" si="0"/>
        <v>-4.70258198970785E-06+1.58818677610181E-21i</v>
      </c>
      <c r="X7" s="41">
        <f t="shared" si="11"/>
        <v>5.2254629665771399E-5</v>
      </c>
      <c r="Y7" s="41">
        <f t="shared" si="12"/>
        <v>2.5430331617975302E-6</v>
      </c>
      <c r="Z7" s="38">
        <f t="shared" si="1"/>
        <v>-0.99999999999999956</v>
      </c>
      <c r="AA7" s="38">
        <f t="shared" si="2"/>
        <v>-0.19827867352809866</v>
      </c>
      <c r="AB7" s="38">
        <f t="shared" si="3"/>
        <v>-1.9492357573367949E-2</v>
      </c>
      <c r="AC7" s="38">
        <f t="shared" si="4"/>
        <v>-5.8477072720103844E-3</v>
      </c>
      <c r="AD7" s="38">
        <f t="shared" si="5"/>
        <v>-1.1169541454402072</v>
      </c>
      <c r="AE7" s="38">
        <f t="shared" si="6"/>
        <v>-0.99999999999999956</v>
      </c>
      <c r="AF7" s="38">
        <f t="shared" si="7"/>
        <v>-0.8830458545597919</v>
      </c>
      <c r="AG7" s="38">
        <f t="shared" si="8"/>
        <v>-0.23336491716016097</v>
      </c>
      <c r="AH7" s="38">
        <f t="shared" si="9"/>
        <v>-0.19827867352809866</v>
      </c>
      <c r="AI7" s="38">
        <f t="shared" si="10"/>
        <v>-0.16319242989603636</v>
      </c>
    </row>
    <row r="8" spans="1:35" ht="15.6" x14ac:dyDescent="0.3">
      <c r="A8" s="84" t="s">
        <v>30</v>
      </c>
      <c r="B8" s="84"/>
      <c r="C8" s="84"/>
      <c r="D8" s="84"/>
      <c r="E8" s="2"/>
      <c r="H8" s="2"/>
      <c r="I8" s="1" t="s">
        <v>35</v>
      </c>
      <c r="J8" s="5" t="str">
        <f>COMPLEX(-a,b)</f>
        <v>-0.601376947377571+0.547041344723748i</v>
      </c>
      <c r="K8" s="2"/>
      <c r="L8" s="1" t="s">
        <v>60</v>
      </c>
      <c r="M8" s="1" t="str">
        <f>IMPRODUCT(w_a2,IMEXP(IMPRODUCT(Lambda_2,0)))</f>
        <v>1</v>
      </c>
      <c r="N8" s="2"/>
      <c r="Q8" s="36" t="str">
        <f>IMSUM(wm,IMPRODUCT(w_a1,Cj_1,IMEXP(IMPRODUCT(Lambda_1,'Thin theory'!P8))),IMPRODUCT(w_a2,Cj_2,IMEXP(IMPRODUCT(Lambda_2,'Thin theory'!P8))),IMPRODUCT(w_a3,Cj_3,IMEXP(IMPRODUCT(Lambda_3,'Thin theory'!P8))),IMPRODUCT(w_a4,Cj_4,IMEXP(IMPRODUCT(Lambda_4,'Thin theory'!P8))))</f>
        <v>2.99413912497878E-06-1.8422966602781E-20i</v>
      </c>
      <c r="R8" s="36" t="str">
        <f>IMSUM(IMPRODUCT(w_b1,Cj_1,IMEXP(IMPRODUCT(Lambda_1,'Thin theory'!P8))),IMPRODUCT(w_b2,Cj_2,IMEXP(IMPRODUCT(Lambda_2,'Thin theory'!P8))),IMPRODUCT(w_b3,Cj_3,IMEXP(IMPRODUCT(Lambda_3,'Thin theory'!P8))),IMPRODUCT(w_b4,Cj_4,IMEXP(IMPRODUCT(Lambda_4,'Thin theory'!P8))))</f>
        <v>3.93821772386206E-06-3.32460431797313E-20i</v>
      </c>
      <c r="S8" s="36" t="str">
        <f>IMSUM(IMPRODUCT(beta_a1,Cj_1,IMEXP(IMPRODUCT(Lambda_1,'Thin theory'!P8))),IMPRODUCT(beta_a2,Cj_2,IMEXP(IMPRODUCT(Lambda_2,'Thin theory'!P8))),IMPRODUCT(beta_a3,Cj_3,IMEXP(IMPRODUCT(Lambda_3,'Thin theory'!P8))),IMPRODUCT(beta_a4,Cj_4,IMEXP(IMPRODUCT(Lambda_4,'Thin theory'!P8))))</f>
        <v>3.66145207117291E-06-3.66341749687485E-20i</v>
      </c>
      <c r="T8" s="36" t="str">
        <f>IMSUM(IMPRODUCT(beta_b1,Cj_1,IMEXP(IMPRODUCT(Lambda_1,'Thin theory'!P8))),IMPRODUCT(beta_b2,Cj_2,IMEXP(IMPRODUCT(Lambda_2,'Thin theory'!P8))),IMPRODUCT(beta_b3,Cj_3,IMEXP(IMPRODUCT(Lambda_3,'Thin theory'!P8))),IMPRODUCT(beta_b4,Cj_4,IMEXP(IMPRODUCT(Lambda_4,'Thin theory'!P8))))</f>
        <v>-1.18529103193922E-06+1.12231865511195E-20i</v>
      </c>
      <c r="U8" s="36" t="str">
        <f>IMSUM(IMPRODUCT(Lambda_1,beta_b1,Cj_1,IMEXP(IMPRODUCT(Lambda_1,'Thin theory'!P8))),IMPRODUCT(Lambda_2,beta_b2,Cj_2,IMEXP(IMPRODUCT(Lambda_2,'Thin theory'!P8))),IMPRODUCT(Lambda_3,beta_b3,Cj_3,IMEXP(IMPRODUCT(Lambda_3,'Thin theory'!P8))),IMPRODUCT(Lambda_4,beta_b4,Cj_4,IMEXP(IMPRODUCT(Lambda_4,'Thin theory'!P8))))</f>
        <v>-9.68679784412028E-07-1.82112083659675E-20i</v>
      </c>
      <c r="V8" s="36" t="str">
        <f>IMSUM(IMPRODUCT(-1,uc),Nz/Cs*'Thin theory'!P8,IMPRODUCT(-nu/rad,IMSUM(wm*'Thin theory'!P8,IMPRODUCT(IMDIV(w_a1,Lambda_1),Cj_1,IMEXP(IMPRODUCT(Lambda_1,'Thin theory'!P8))),IMPRODUCT(IMDIV(w_a2,Lambda_2),Cj_2,IMEXP(IMPRODUCT(Lambda_2,'Thin theory'!P8))),IMPRODUCT(IMDIV(w_a3,Lambda_3),Cj_3,IMEXP(IMPRODUCT(Lambda_3,'Thin theory'!P8))),IMPRODUCT(IMDIV(w_a4,Lambda_4),Cj_4,IMEXP(IMPRODUCT(Lambda_4,'Thin theory'!P8))))))</f>
        <v>0.0000517273399584697+3.56136814198612E-19i</v>
      </c>
      <c r="W8" s="36" t="str">
        <f t="shared" si="0"/>
        <v>-4.72964834749873E-06+1.10537799616686E-21i</v>
      </c>
      <c r="X8" s="41">
        <f t="shared" si="11"/>
        <v>5.1727339958469702E-5</v>
      </c>
      <c r="Y8" s="41">
        <f t="shared" si="12"/>
        <v>2.9941391249787799E-6</v>
      </c>
      <c r="Z8" s="38">
        <f t="shared" si="1"/>
        <v>-1.0000000000000007</v>
      </c>
      <c r="AA8" s="38">
        <f t="shared" si="2"/>
        <v>-0.18023443500084901</v>
      </c>
      <c r="AB8" s="38">
        <f t="shared" si="3"/>
        <v>-2.1708626958593776E-2</v>
      </c>
      <c r="AC8" s="38">
        <f t="shared" si="4"/>
        <v>-6.5125880875781328E-3</v>
      </c>
      <c r="AD8" s="38">
        <f t="shared" si="5"/>
        <v>-1.1302517617515633</v>
      </c>
      <c r="AE8" s="38">
        <f t="shared" si="6"/>
        <v>-1.0000000000000007</v>
      </c>
      <c r="AF8" s="38">
        <f t="shared" si="7"/>
        <v>-0.86974823824843805</v>
      </c>
      <c r="AG8" s="38">
        <f t="shared" si="8"/>
        <v>-0.21930996352631782</v>
      </c>
      <c r="AH8" s="38">
        <f t="shared" si="9"/>
        <v>-0.18023443500084901</v>
      </c>
      <c r="AI8" s="38">
        <f t="shared" si="10"/>
        <v>-0.14115890647538021</v>
      </c>
    </row>
    <row r="9" spans="1:35" x14ac:dyDescent="0.3">
      <c r="A9" s="88" t="s">
        <v>28</v>
      </c>
      <c r="B9" s="89"/>
      <c r="C9" s="90">
        <f>(1/rad/SQRT(2))*SQRT(SQRT(12*(1-nu*nu)*(rad/t)^2) + (1+nu)/k)</f>
        <v>0.60137694737757119</v>
      </c>
      <c r="D9" s="90"/>
      <c r="E9" s="8" t="s">
        <v>32</v>
      </c>
      <c r="H9" s="2"/>
      <c r="I9" s="1" t="s">
        <v>36</v>
      </c>
      <c r="J9" s="5" t="str">
        <f>COMPLEX(-a,-b)</f>
        <v>-0.601376947377571-0.547041344723748i</v>
      </c>
      <c r="K9" s="2"/>
      <c r="L9" s="1" t="s">
        <v>62</v>
      </c>
      <c r="M9" s="1" t="str">
        <f>IMPRODUCT(w_a3,IMEXP(IMPRODUCT(Lambda_3,0)))</f>
        <v>1</v>
      </c>
      <c r="N9" s="2"/>
      <c r="Q9" s="36" t="str">
        <f>IMSUM(wm,IMPRODUCT(w_a1,Cj_1,IMEXP(IMPRODUCT(Lambda_1,'Thin theory'!P9))),IMPRODUCT(w_a2,Cj_2,IMEXP(IMPRODUCT(Lambda_2,'Thin theory'!P9))),IMPRODUCT(w_a3,Cj_3,IMEXP(IMPRODUCT(Lambda_3,'Thin theory'!P9))),IMPRODUCT(w_a4,Cj_4,IMEXP(IMPRODUCT(Lambda_4,'Thin theory'!P9))))</f>
        <v>3.42342259981863E-06-3.07049443379684E-20i</v>
      </c>
      <c r="R9" s="36" t="str">
        <f>IMSUM(IMPRODUCT(w_b1,Cj_1,IMEXP(IMPRODUCT(Lambda_1,'Thin theory'!P9))),IMPRODUCT(w_b2,Cj_2,IMEXP(IMPRODUCT(Lambda_2,'Thin theory'!P9))),IMPRODUCT(w_b3,Cj_3,IMEXP(IMPRODUCT(Lambda_3,'Thin theory'!P9))),IMPRODUCT(w_b4,Cj_4,IMEXP(IMPRODUCT(Lambda_4,'Thin theory'!P9))))</f>
        <v>3.74024133864475E-06-3.25048893508838E-20i</v>
      </c>
      <c r="S9" s="36" t="str">
        <f>IMSUM(IMPRODUCT(beta_a1,Cj_1,IMEXP(IMPRODUCT(Lambda_1,'Thin theory'!P9))),IMPRODUCT(beta_a2,Cj_2,IMEXP(IMPRODUCT(Lambda_2,'Thin theory'!P9))),IMPRODUCT(beta_a3,Cj_3,IMEXP(IMPRODUCT(Lambda_3,'Thin theory'!P9))),IMPRODUCT(beta_a4,Cj_4,IMEXP(IMPRODUCT(Lambda_4,'Thin theory'!P9))))</f>
        <v>3.52332560005796E-06-3.46224717190195E-20i</v>
      </c>
      <c r="T9" s="36" t="str">
        <f>IMSUM(IMPRODUCT(beta_b1,Cj_1,IMEXP(IMPRODUCT(Lambda_1,'Thin theory'!P9))),IMPRODUCT(beta_b2,Cj_2,IMEXP(IMPRODUCT(Lambda_2,'Thin theory'!P9))),IMPRODUCT(beta_b3,Cj_3,IMEXP(IMPRODUCT(Lambda_3,'Thin theory'!P9))),IMPRODUCT(beta_b4,Cj_4,IMEXP(IMPRODUCT(Lambda_4,'Thin theory'!P9))))</f>
        <v>-1.28168740453993E-06+2.18110983917982E-20i</v>
      </c>
      <c r="U9" s="36" t="str">
        <f>IMSUM(IMPRODUCT(Lambda_1,beta_b1,Cj_1,IMEXP(IMPRODUCT(Lambda_1,'Thin theory'!P9))),IMPRODUCT(Lambda_2,beta_b2,Cj_2,IMEXP(IMPRODUCT(Lambda_2,'Thin theory'!P9))),IMPRODUCT(Lambda_3,beta_b3,Cj_3,IMEXP(IMPRODUCT(Lambda_3,'Thin theory'!P9))),IMPRODUCT(Lambda_4,beta_b4,Cj_4,IMEXP(IMPRODUCT(Lambda_4,'Thin theory'!P9))))</f>
        <v>-7.59205085053752E-07-7.19978005166155E-21i</v>
      </c>
      <c r="V9" s="36" t="str">
        <f>IMSUM(IMPRODUCT(-1,uc),Nz/Cs*'Thin theory'!P9,IMPRODUCT(-nu/rad,IMSUM(wm*'Thin theory'!P9,IMPRODUCT(IMDIV(w_a1,Lambda_1),Cj_1,IMEXP(IMPRODUCT(Lambda_1,'Thin theory'!P9))),IMPRODUCT(IMDIV(w_a2,Lambda_2),Cj_2,IMEXP(IMPRODUCT(Lambda_2,'Thin theory'!P9))),IMPRODUCT(IMDIV(w_a3,Lambda_3),Cj_3,IMEXP(IMPRODUCT(Lambda_3,'Thin theory'!P9))),IMPRODUCT(IMDIV(w_a4,Lambda_4),Cj_4,IMEXP(IMPRODUCT(Lambda_4,'Thin theory'!P9))))))</f>
        <v>0.0000511970969612594+3.562638691407E-19i</v>
      </c>
      <c r="W9" s="36" t="str">
        <f t="shared" si="0"/>
        <v>-4.75540535598912E-06+1.8422966602781E-21i</v>
      </c>
      <c r="X9" s="41">
        <f t="shared" si="11"/>
        <v>5.11970969612594E-5</v>
      </c>
      <c r="Y9" s="41">
        <f t="shared" si="12"/>
        <v>3.4234225998186299E-6</v>
      </c>
      <c r="Z9" s="38">
        <f t="shared" si="1"/>
        <v>-1.0000000000000004</v>
      </c>
      <c r="AA9" s="38">
        <f t="shared" si="2"/>
        <v>-0.16306309600725491</v>
      </c>
      <c r="AB9" s="38">
        <f t="shared" si="3"/>
        <v>-2.3474128288277104E-2</v>
      </c>
      <c r="AC9" s="38">
        <f t="shared" si="4"/>
        <v>-7.0422384864831308E-3</v>
      </c>
      <c r="AD9" s="38">
        <f t="shared" si="5"/>
        <v>-1.1408447697296631</v>
      </c>
      <c r="AE9" s="38">
        <f t="shared" si="6"/>
        <v>-1.0000000000000004</v>
      </c>
      <c r="AF9" s="38">
        <f t="shared" si="7"/>
        <v>-0.8591552302703378</v>
      </c>
      <c r="AG9" s="38">
        <f t="shared" si="8"/>
        <v>-0.20531652692615371</v>
      </c>
      <c r="AH9" s="38">
        <f t="shared" si="9"/>
        <v>-0.16306309600725491</v>
      </c>
      <c r="AI9" s="38">
        <f t="shared" si="10"/>
        <v>-0.12080966508835612</v>
      </c>
    </row>
    <row r="10" spans="1:35" x14ac:dyDescent="0.3">
      <c r="A10" s="88" t="s">
        <v>29</v>
      </c>
      <c r="B10" s="89"/>
      <c r="C10" s="90">
        <f>(1/rad/SQRT(2))*SQRT(SQRT(12*(1-nu*nu)*(rad/t)^2) - (1+nu)/k)</f>
        <v>0.54704134472374755</v>
      </c>
      <c r="D10" s="90"/>
      <c r="E10" s="8" t="s">
        <v>32</v>
      </c>
      <c r="H10" s="2"/>
      <c r="I10" s="54" t="s">
        <v>37</v>
      </c>
      <c r="J10" s="95"/>
      <c r="K10" s="2"/>
      <c r="L10" s="1" t="s">
        <v>61</v>
      </c>
      <c r="M10" s="1" t="str">
        <f>IMPRODUCT(w_a4,IMEXP(IMPRODUCT(Lambda_4,0)))</f>
        <v>1</v>
      </c>
      <c r="N10" s="2"/>
      <c r="Q10" s="36" t="str">
        <f>IMSUM(wm,IMPRODUCT(w_a1,Cj_1,IMEXP(IMPRODUCT(Lambda_1,'Thin theory'!P10))),IMPRODUCT(w_a2,Cj_2,IMEXP(IMPRODUCT(Lambda_2,'Thin theory'!P10))),IMPRODUCT(w_a3,Cj_3,IMEXP(IMPRODUCT(Lambda_3,'Thin theory'!P10))),IMPRODUCT(w_a4,Cj_4,IMEXP(IMPRODUCT(Lambda_4,'Thin theory'!P10))))</f>
        <v>3.83034580271615E-06-3.30342849429177E-20i</v>
      </c>
      <c r="R10" s="36" t="str">
        <f>IMSUM(IMPRODUCT(w_b1,Cj_1,IMEXP(IMPRODUCT(Lambda_1,'Thin theory'!P10))),IMPRODUCT(w_b2,Cj_2,IMEXP(IMPRODUCT(Lambda_2,'Thin theory'!P10))),IMPRODUCT(w_b3,Cj_3,IMEXP(IMPRODUCT(Lambda_3,'Thin theory'!P10))),IMPRODUCT(w_b4,Cj_4,IMEXP(IMPRODUCT(Lambda_4,'Thin theory'!P10))))</f>
        <v>3.53858791810559E-06-3.07049443379684E-20i</v>
      </c>
      <c r="S10" s="36" t="str">
        <f>IMSUM(IMPRODUCT(beta_a1,Cj_1,IMEXP(IMPRODUCT(Lambda_1,'Thin theory'!P10))),IMPRODUCT(beta_a2,Cj_2,IMEXP(IMPRODUCT(Lambda_2,'Thin theory'!P10))),IMPRODUCT(beta_a3,Cj_3,IMEXP(IMPRODUCT(Lambda_3,'Thin theory'!P10))),IMPRODUCT(beta_a4,Cj_4,IMEXP(IMPRODUCT(Lambda_4,'Thin theory'!P10))))</f>
        <v>0.0000033756877934511-3.45165926006127E-20i</v>
      </c>
      <c r="T10" s="36" t="str">
        <f>IMSUM(IMPRODUCT(beta_b1,Cj_1,IMEXP(IMPRODUCT(Lambda_1,'Thin theory'!P10))),IMPRODUCT(beta_b2,Cj_2,IMEXP(IMPRODUCT(Lambda_2,'Thin theory'!P10))),IMPRODUCT(beta_b3,Cj_3,IMEXP(IMPRODUCT(Lambda_3,'Thin theory'!P10))),IMPRODUCT(beta_b4,Cj_4,IMEXP(IMPRODUCT(Lambda_4,'Thin theory'!P10))))</f>
        <v>-1.35581548507465E-06+1.22819777351874E-20i</v>
      </c>
      <c r="U10" s="36" t="str">
        <f>IMSUM(IMPRODUCT(Lambda_1,beta_b1,Cj_1,IMEXP(IMPRODUCT(Lambda_1,'Thin theory'!P10))),IMPRODUCT(Lambda_2,beta_b2,Cj_2,IMEXP(IMPRODUCT(Lambda_2,'Thin theory'!P10))),IMPRODUCT(Lambda_3,beta_b3,Cj_3,IMEXP(IMPRODUCT(Lambda_3,'Thin theory'!P10))),IMPRODUCT(Lambda_4,beta_b4,Cj_4,IMEXP(IMPRODUCT(Lambda_4,'Thin theory'!P10))))</f>
        <v>-5.70150436290713E-07-5.9292306307801E-21i</v>
      </c>
      <c r="V10" s="36" t="str">
        <f>IMSUM(IMPRODUCT(-1,uc),Nz/Cs*'Thin theory'!P10,IMPRODUCT(-nu/rad,IMSUM(wm*'Thin theory'!P10,IMPRODUCT(IMDIV(w_a1,Lambda_1),Cj_1,IMEXP(IMPRODUCT(Lambda_1,'Thin theory'!P10))),IMPRODUCT(IMDIV(w_a2,Lambda_2),Cj_2,IMEXP(IMPRODUCT(Lambda_2,'Thin theory'!P10))),IMPRODUCT(IMDIV(w_a3,Lambda_3),Cj_3,IMEXP(IMPRODUCT(Lambda_3,'Thin theory'!P10))),IMPRODUCT(IMDIV(w_a4,Lambda_4),Cj_4,IMEXP(IMPRODUCT(Lambda_4,'Thin theory'!P10))))))</f>
        <v>0.0000506640490120442+3.56416335071206E-19i</v>
      </c>
      <c r="W10" s="36" t="str">
        <f t="shared" si="0"/>
        <v>-4.77982074816297E-06+1.98205709657506E-21i</v>
      </c>
      <c r="X10" s="41">
        <f t="shared" si="11"/>
        <v>5.0664049012044201E-5</v>
      </c>
      <c r="Y10" s="41">
        <f t="shared" si="12"/>
        <v>3.8303458027161497E-6</v>
      </c>
      <c r="Z10" s="38">
        <f t="shared" si="1"/>
        <v>-1</v>
      </c>
      <c r="AA10" s="38">
        <f t="shared" si="2"/>
        <v>-0.14678616789135407</v>
      </c>
      <c r="AB10" s="38">
        <f t="shared" si="3"/>
        <v>-2.4831785440927654E-2</v>
      </c>
      <c r="AC10" s="38">
        <f t="shared" si="4"/>
        <v>-7.4495356322782959E-3</v>
      </c>
      <c r="AD10" s="38">
        <f t="shared" si="5"/>
        <v>-1.1489907126455658</v>
      </c>
      <c r="AE10" s="38">
        <f t="shared" si="6"/>
        <v>-1</v>
      </c>
      <c r="AF10" s="38">
        <f t="shared" si="7"/>
        <v>-0.85100928735443404</v>
      </c>
      <c r="AG10" s="38">
        <f t="shared" si="8"/>
        <v>-0.19148338168502385</v>
      </c>
      <c r="AH10" s="38">
        <f t="shared" si="9"/>
        <v>-0.14678616789135407</v>
      </c>
      <c r="AI10" s="38">
        <f t="shared" si="10"/>
        <v>-0.10208895409768429</v>
      </c>
    </row>
    <row r="11" spans="1:35" x14ac:dyDescent="0.3">
      <c r="A11" s="88" t="s">
        <v>126</v>
      </c>
      <c r="B11" s="89"/>
      <c r="C11" s="90">
        <f>PI()/b</f>
        <v>5.742879736405075</v>
      </c>
      <c r="D11" s="90"/>
      <c r="E11" s="8" t="s">
        <v>2</v>
      </c>
      <c r="H11" s="2"/>
      <c r="I11" s="54" t="s">
        <v>38</v>
      </c>
      <c r="J11" s="95"/>
      <c r="K11" s="2"/>
      <c r="L11" s="1" t="s">
        <v>63</v>
      </c>
      <c r="M11" s="1" t="str">
        <f>IMPRODUCT(w_b1,IMEXP(IMPRODUCT(Lambda_1,0)))</f>
        <v>0.601376947377571+0.547041344723748i</v>
      </c>
      <c r="N11" s="2"/>
      <c r="Q11" s="36" t="str">
        <f>IMSUM(wm,IMPRODUCT(w_a1,Cj_1,IMEXP(IMPRODUCT(Lambda_1,'Thin theory'!P11))),IMPRODUCT(w_a2,Cj_2,IMEXP(IMPRODUCT(Lambda_2,'Thin theory'!P11))),IMPRODUCT(w_a3,Cj_3,IMEXP(IMPRODUCT(Lambda_3,'Thin theory'!P11))),IMPRODUCT(w_a4,Cj_4,IMEXP(IMPRODUCT(Lambda_4,'Thin theory'!P11))))</f>
        <v>4.21461458048444E-06-3.57871420214942E-20i</v>
      </c>
      <c r="R11" s="36" t="str">
        <f>IMSUM(IMPRODUCT(w_b1,Cj_1,IMEXP(IMPRODUCT(Lambda_1,'Thin theory'!P11))),IMPRODUCT(w_b2,Cj_2,IMEXP(IMPRODUCT(Lambda_2,'Thin theory'!P11))),IMPRODUCT(w_b3,Cj_3,IMEXP(IMPRODUCT(Lambda_3,'Thin theory'!P11))),IMPRODUCT(w_b4,Cj_4,IMEXP(IMPRODUCT(Lambda_4,'Thin theory'!P11))))</f>
        <v>3.33530747892543E-06-3.08637630155786E-20i</v>
      </c>
      <c r="S11" s="36" t="str">
        <f>IMSUM(IMPRODUCT(beta_a1,Cj_1,IMEXP(IMPRODUCT(Lambda_1,'Thin theory'!P11))),IMPRODUCT(beta_a2,Cj_2,IMEXP(IMPRODUCT(Lambda_2,'Thin theory'!P11))),IMPRODUCT(beta_a3,Cj_3,IMEXP(IMPRODUCT(Lambda_3,'Thin theory'!P11))),IMPRODUCT(beta_a4,Cj_4,IMEXP(IMPRODUCT(Lambda_4,'Thin theory'!P11))))</f>
        <v>3.22090298097725E-06-3.2399010232477E-20i</v>
      </c>
      <c r="T11" s="36" t="str">
        <f>IMSUM(IMPRODUCT(beta_b1,Cj_1,IMEXP(IMPRODUCT(Lambda_1,'Thin theory'!P11))),IMPRODUCT(beta_b2,Cj_2,IMEXP(IMPRODUCT(Lambda_2,'Thin theory'!P11))),IMPRODUCT(beta_b3,Cj_3,IMEXP(IMPRODUCT(Lambda_3,'Thin theory'!P11))),IMPRODUCT(beta_b4,Cj_4,IMEXP(IMPRODUCT(Lambda_4,'Thin theory'!P11))))</f>
        <v>-1.40989694103373E-06+1.24937359720009E-20i</v>
      </c>
      <c r="U11" s="36" t="str">
        <f>IMSUM(IMPRODUCT(Lambda_1,beta_b1,Cj_1,IMEXP(IMPRODUCT(Lambda_1,'Thin theory'!P11))),IMPRODUCT(Lambda_2,beta_b2,Cj_2,IMEXP(IMPRODUCT(Lambda_2,'Thin theory'!P11))),IMPRODUCT(Lambda_3,beta_b3,Cj_3,IMEXP(IMPRODUCT(Lambda_3,'Thin theory'!P11))),IMPRODUCT(Lambda_4,beta_b4,Cj_4,IMEXP(IMPRODUCT(Lambda_4,'Thin theory'!P11))))</f>
        <v>-4.0041574281866E-07-4.65868120989865E-21i</v>
      </c>
      <c r="V11" s="36" t="str">
        <f>IMSUM(IMPRODUCT(-1,uc),Nz/Cs*'Thin theory'!P11,IMPRODUCT(-nu/rad,IMSUM(wm*'Thin theory'!P11,IMPRODUCT(IMDIV(w_a1,Lambda_1),Cj_1,IMEXP(IMPRODUCT(Lambda_1,'Thin theory'!P11))),IMPRODUCT(IMDIV(w_a2,Lambda_2),Cj_2,IMEXP(IMPRODUCT(Lambda_2,'Thin theory'!P11))),IMPRODUCT(IMDIV(w_a3,Lambda_3),Cj_3,IMEXP(IMPRODUCT(Lambda_3,'Thin theory'!P11))),IMPRODUCT(IMDIV(w_a4,Lambda_4),Cj_4,IMEXP(IMPRODUCT(Lambda_4,'Thin theory'!P11))))))</f>
        <v>0.0000501283472228165+3.56568801001712E-19i</v>
      </c>
      <c r="W11" s="36" t="str">
        <f t="shared" si="0"/>
        <v>-4.80287687482907E-06+2.14722852128965E-21i</v>
      </c>
      <c r="X11" s="41">
        <f t="shared" si="11"/>
        <v>5.0128347222816497E-5</v>
      </c>
      <c r="Y11" s="41">
        <f t="shared" si="12"/>
        <v>4.2146145804844404E-6</v>
      </c>
      <c r="Z11" s="38">
        <f t="shared" si="1"/>
        <v>-1.0000000000000009</v>
      </c>
      <c r="AA11" s="38">
        <f t="shared" si="2"/>
        <v>-0.1314154167806226</v>
      </c>
      <c r="AB11" s="38">
        <f t="shared" si="3"/>
        <v>-2.5822288297321062E-2</v>
      </c>
      <c r="AC11" s="38">
        <f t="shared" si="4"/>
        <v>-7.746686489196318E-3</v>
      </c>
      <c r="AD11" s="38">
        <f t="shared" si="5"/>
        <v>-1.1549337297839273</v>
      </c>
      <c r="AE11" s="38">
        <f t="shared" si="6"/>
        <v>-1.0000000000000009</v>
      </c>
      <c r="AF11" s="38">
        <f t="shared" si="7"/>
        <v>-0.8450662702160745</v>
      </c>
      <c r="AG11" s="38">
        <f t="shared" si="8"/>
        <v>-0.17789553571580052</v>
      </c>
      <c r="AH11" s="38">
        <f t="shared" si="9"/>
        <v>-0.1314154167806226</v>
      </c>
      <c r="AI11" s="38">
        <f t="shared" si="10"/>
        <v>-8.4935297845444693E-2</v>
      </c>
    </row>
    <row r="12" spans="1:35" x14ac:dyDescent="0.3">
      <c r="H12" s="2"/>
      <c r="I12" s="1" t="s">
        <v>42</v>
      </c>
      <c r="J12" s="1">
        <v>1</v>
      </c>
      <c r="K12" s="2"/>
      <c r="L12" s="1" t="s">
        <v>64</v>
      </c>
      <c r="M12" s="1" t="str">
        <f>IMPRODUCT(w_b2,IMEXP(IMPRODUCT(Lambda_2,0)))</f>
        <v>0.601376947377571-0.547041344723748i</v>
      </c>
      <c r="N12" s="2"/>
      <c r="Q12" s="36" t="str">
        <f>IMSUM(wm,IMPRODUCT(w_a1,Cj_1,IMEXP(IMPRODUCT(Lambda_1,'Thin theory'!P12))),IMPRODUCT(w_a2,Cj_2,IMEXP(IMPRODUCT(Lambda_2,'Thin theory'!P12))),IMPRODUCT(w_a3,Cj_3,IMEXP(IMPRODUCT(Lambda_3,'Thin theory'!P12))),IMPRODUCT(w_a4,Cj_4,IMEXP(IMPRODUCT(Lambda_4,'Thin theory'!P12))))</f>
        <v>4.57615017863642E-06-3.81164826264435E-20i</v>
      </c>
      <c r="R12" s="36" t="str">
        <f>IMSUM(IMPRODUCT(w_b1,Cj_1,IMEXP(IMPRODUCT(Lambda_1,'Thin theory'!P12))),IMPRODUCT(w_b2,Cj_2,IMEXP(IMPRODUCT(Lambda_2,'Thin theory'!P12))),IMPRODUCT(w_b3,Cj_3,IMEXP(IMPRODUCT(Lambda_3,'Thin theory'!P12))),IMPRODUCT(w_b4,Cj_4,IMEXP(IMPRODUCT(Lambda_4,'Thin theory'!P12))))</f>
        <v>3.13220597776881E-06-3.0043199847926E-20i</v>
      </c>
      <c r="S12" s="36" t="str">
        <f>IMSUM(IMPRODUCT(beta_a1,Cj_1,IMEXP(IMPRODUCT(Lambda_1,'Thin theory'!P12))),IMPRODUCT(beta_a2,Cj_2,IMEXP(IMPRODUCT(Lambda_2,'Thin theory'!P12))),IMPRODUCT(beta_a3,Cj_3,IMEXP(IMPRODUCT(Lambda_3,'Thin theory'!P12))),IMPRODUCT(beta_a4,Cj_4,IMEXP(IMPRODUCT(Lambda_4,'Thin theory'!P12))))</f>
        <v>3.06109400212012E-06-3.21872519956634E-20i</v>
      </c>
      <c r="T12" s="36" t="str">
        <f>IMSUM(IMPRODUCT(beta_b1,Cj_1,IMEXP(IMPRODUCT(Lambda_1,'Thin theory'!P12))),IMPRODUCT(beta_b2,Cj_2,IMEXP(IMPRODUCT(Lambda_2,'Thin theory'!P12))),IMPRODUCT(beta_b3,Cj_3,IMEXP(IMPRODUCT(Lambda_3,'Thin theory'!P12))),IMPRODUCT(beta_b4,Cj_4,IMEXP(IMPRODUCT(Lambda_4,'Thin theory'!P12))))</f>
        <v>-1.44602984470986E-06+1.31290106824417E-20i</v>
      </c>
      <c r="U12" s="36" t="str">
        <f>IMSUM(IMPRODUCT(Lambda_1,beta_b1,Cj_1,IMEXP(IMPRODUCT(Lambda_1,'Thin theory'!P12))),IMPRODUCT(Lambda_2,beta_b2,Cj_2,IMEXP(IMPRODUCT(Lambda_2,'Thin theory'!P12))),IMPRODUCT(Lambda_3,beta_b3,Cj_3,IMEXP(IMPRODUCT(Lambda_3,'Thin theory'!P12))),IMPRODUCT(Lambda_4,beta_b4,Cj_4,IMEXP(IMPRODUCT(Lambda_4,'Thin theory'!P12))))</f>
        <v>-2.48891914770374E-07-3.3881317890172E-21i</v>
      </c>
      <c r="V12" s="36" t="str">
        <f>IMSUM(IMPRODUCT(-1,uc),Nz/Cs*'Thin theory'!P12,IMPRODUCT(-nu/rad,IMSUM(wm*'Thin theory'!P12,IMPRODUCT(IMDIV(w_a1,Lambda_1),Cj_1,IMEXP(IMPRODUCT(Lambda_1,'Thin theory'!P12))),IMPRODUCT(IMDIV(w_a2,Lambda_2),Cj_2,IMEXP(IMPRODUCT(Lambda_2,'Thin theory'!P12))),IMPRODUCT(IMDIV(w_a3,Lambda_3),Cj_3,IMEXP(IMPRODUCT(Lambda_3,'Thin theory'!P12))),IMPRODUCT(IMDIV(w_a4,Lambda_4),Cj_4,IMEXP(IMPRODUCT(Lambda_4,'Thin theory'!P12))))))</f>
        <v>0.0000495901439410856+3.56746677920635E-19i</v>
      </c>
      <c r="W12" s="36" t="str">
        <f t="shared" si="0"/>
        <v>-4.82456901071819E-06+2.28698895758661E-21i</v>
      </c>
      <c r="X12" s="41">
        <f t="shared" si="11"/>
        <v>4.9590143941085598E-5</v>
      </c>
      <c r="Y12" s="41">
        <f t="shared" si="12"/>
        <v>4.5761501786364197E-6</v>
      </c>
      <c r="Z12" s="38">
        <f t="shared" si="1"/>
        <v>-1.0000000000000011</v>
      </c>
      <c r="AA12" s="38">
        <f t="shared" si="2"/>
        <v>-0.11695399285454354</v>
      </c>
      <c r="AB12" s="38">
        <f t="shared" si="3"/>
        <v>-2.6484063089924178E-2</v>
      </c>
      <c r="AC12" s="38">
        <f t="shared" si="4"/>
        <v>-7.9452189269772523E-3</v>
      </c>
      <c r="AD12" s="38">
        <f t="shared" si="5"/>
        <v>-1.1589043785395461</v>
      </c>
      <c r="AE12" s="38">
        <f t="shared" si="6"/>
        <v>-1.0000000000000011</v>
      </c>
      <c r="AF12" s="38">
        <f t="shared" si="7"/>
        <v>-0.84109562146045602</v>
      </c>
      <c r="AG12" s="38">
        <f t="shared" si="8"/>
        <v>-0.16462530641640705</v>
      </c>
      <c r="AH12" s="38">
        <f t="shared" si="9"/>
        <v>-0.11695399285454354</v>
      </c>
      <c r="AI12" s="38">
        <f t="shared" si="10"/>
        <v>-6.9282679292680033E-2</v>
      </c>
    </row>
    <row r="13" spans="1:35" x14ac:dyDescent="0.3">
      <c r="H13" s="2"/>
      <c r="I13" s="1" t="s">
        <v>43</v>
      </c>
      <c r="J13" s="1" t="str" cm="1">
        <f t="array" ref="J13">Lambda_1</f>
        <v>0.601376947377571+0.547041344723748i</v>
      </c>
      <c r="K13" s="2"/>
      <c r="L13" s="1" t="s">
        <v>65</v>
      </c>
      <c r="M13" s="1" t="str">
        <f>IMPRODUCT(w_b3,IMEXP(IMPRODUCT(Lambda_3,0)))</f>
        <v>-0.601376947377571+0.547041344723748i</v>
      </c>
      <c r="N13" s="2"/>
      <c r="Q13" s="36" t="str">
        <f>IMSUM(wm,IMPRODUCT(w_a1,Cj_1,IMEXP(IMPRODUCT(Lambda_1,'Thin theory'!P13))),IMPRODUCT(w_a2,Cj_2,IMEXP(IMPRODUCT(Lambda_2,'Thin theory'!P13))),IMPRODUCT(w_a3,Cj_3,IMEXP(IMPRODUCT(Lambda_3,'Thin theory'!P13))),IMPRODUCT(w_a4,Cj_4,IMEXP(IMPRODUCT(Lambda_4,'Thin theory'!P13))))</f>
        <v>4.91506288965164E-06-4.086933970502E-20i</v>
      </c>
      <c r="R13" s="36" t="str">
        <f>IMSUM(IMPRODUCT(w_b1,Cj_1,IMEXP(IMPRODUCT(Lambda_1,'Thin theory'!P13))),IMPRODUCT(w_b2,Cj_2,IMEXP(IMPRODUCT(Lambda_2,'Thin theory'!P13))),IMPRODUCT(w_b3,Cj_3,IMEXP(IMPRODUCT(Lambda_3,'Thin theory'!P13))),IMPRODUCT(w_b4,Cj_4,IMEXP(IMPRODUCT(Lambda_4,'Thin theory'!P13))))</f>
        <v>2.93086198409316E-06-2.94608646966886E-20i</v>
      </c>
      <c r="S13" s="36" t="str">
        <f>IMSUM(IMPRODUCT(beta_a1,Cj_1,IMEXP(IMPRODUCT(Lambda_1,'Thin theory'!P13))),IMPRODUCT(beta_a2,Cj_2,IMEXP(IMPRODUCT(Lambda_2,'Thin theory'!P13))),IMPRODUCT(beta_a3,Cj_3,IMEXP(IMPRODUCT(Lambda_3,'Thin theory'!P13))),IMPRODUCT(beta_a4,Cj_4,IMEXP(IMPRODUCT(Lambda_4,'Thin theory'!P13))))</f>
        <v>2.89815605957105E-06-2.98843811703158E-20i</v>
      </c>
      <c r="T13" s="36" t="str">
        <f>IMSUM(IMPRODUCT(beta_b1,Cj_1,IMEXP(IMPRODUCT(Lambda_1,'Thin theory'!P13))),IMPRODUCT(beta_b2,Cj_2,IMEXP(IMPRODUCT(Lambda_2,'Thin theory'!P13))),IMPRODUCT(beta_b3,Cj_3,IMEXP(IMPRODUCT(Lambda_3,'Thin theory'!P13))),IMPRODUCT(beta_b4,Cj_4,IMEXP(IMPRODUCT(Lambda_4,'Thin theory'!P13))))</f>
        <v>-1.46618823120947E-06+9.10560418298373E-21i</v>
      </c>
      <c r="U13" s="36" t="str">
        <f>IMSUM(IMPRODUCT(Lambda_1,beta_b1,Cj_1,IMEXP(IMPRODUCT(Lambda_1,'Thin theory'!P13))),IMPRODUCT(Lambda_2,beta_b2,Cj_2,IMEXP(IMPRODUCT(Lambda_2,'Thin theory'!P13))),IMPRODUCT(Lambda_3,beta_b3,Cj_3,IMEXP(IMPRODUCT(Lambda_3,'Thin theory'!P13))),IMPRODUCT(Lambda_4,beta_b4,Cj_4,IMEXP(IMPRODUCT(Lambda_4,'Thin theory'!P13))))</f>
        <v>-1.14470735827392E-07-4.02340649945793E-21i</v>
      </c>
      <c r="V13" s="36" t="str">
        <f>IMSUM(IMPRODUCT(-1,uc),Nz/Cs*'Thin theory'!P13,IMPRODUCT(-nu/rad,IMSUM(wm*'Thin theory'!P13,IMPRODUCT(IMDIV(w_a1,Lambda_1),Cj_1,IMEXP(IMPRODUCT(Lambda_1,'Thin theory'!P13))),IMPRODUCT(IMDIV(w_a2,Lambda_2),Cj_2,IMEXP(IMPRODUCT(Lambda_2,'Thin theory'!P13))),IMPRODUCT(IMDIV(w_a3,Lambda_3),Cj_3,IMEXP(IMPRODUCT(Lambda_3,'Thin theory'!P13))),IMPRODUCT(IMDIV(w_a4,Lambda_4),Cj_4,IMEXP(IMPRODUCT(Lambda_4,'Thin theory'!P13))))))</f>
        <v>0.0000490495913943676+3.56975376816394E-19i</v>
      </c>
      <c r="W13" s="36" t="str">
        <f t="shared" si="0"/>
        <v>-0.0000048449037733791+2.4521603823012E-21i</v>
      </c>
      <c r="X13" s="41">
        <f t="shared" si="11"/>
        <v>4.9049591394367597E-5</v>
      </c>
      <c r="Y13" s="41">
        <f t="shared" si="12"/>
        <v>4.9150628896516404E-6</v>
      </c>
      <c r="Z13" s="38">
        <f t="shared" si="1"/>
        <v>-1.0000000000000002</v>
      </c>
      <c r="AA13" s="38">
        <f t="shared" si="2"/>
        <v>-0.10339748441393447</v>
      </c>
      <c r="AB13" s="38">
        <f t="shared" si="3"/>
        <v>-2.6853264307865752E-2</v>
      </c>
      <c r="AC13" s="38">
        <f t="shared" si="4"/>
        <v>-8.0559792923597245E-3</v>
      </c>
      <c r="AD13" s="38">
        <f t="shared" si="5"/>
        <v>-1.1611195858471948</v>
      </c>
      <c r="AE13" s="38">
        <f t="shared" si="6"/>
        <v>-1.0000000000000002</v>
      </c>
      <c r="AF13" s="38">
        <f t="shared" si="7"/>
        <v>-0.83888041415280568</v>
      </c>
      <c r="AG13" s="38">
        <f t="shared" si="8"/>
        <v>-0.1517333601680928</v>
      </c>
      <c r="AH13" s="38">
        <f t="shared" si="9"/>
        <v>-0.10339748441393447</v>
      </c>
      <c r="AI13" s="38">
        <f t="shared" si="10"/>
        <v>-5.5061608659776121E-2</v>
      </c>
    </row>
    <row r="14" spans="1:35" x14ac:dyDescent="0.3">
      <c r="H14" s="2"/>
      <c r="I14" s="1" t="s">
        <v>44</v>
      </c>
      <c r="J14" s="1" t="str">
        <f>IMDIV(Lambda_1,IMSUM(1,IMPRODUCT(-1,Lambda_1,Lambda_1,(D/k/G/t))))</f>
        <v>0.487818342925221+0.650339703524261i</v>
      </c>
      <c r="K14" s="2"/>
      <c r="L14" s="1" t="s">
        <v>66</v>
      </c>
      <c r="M14" s="1" t="str">
        <f>IMPRODUCT(w_b4,IMEXP(IMPRODUCT(Lambda_4,0)))</f>
        <v>-0.601376947377571-0.547041344723748i</v>
      </c>
      <c r="N14" s="2"/>
      <c r="Q14" s="36" t="str">
        <f>IMSUM(wm,IMPRODUCT(w_a1,Cj_1,IMEXP(IMPRODUCT(Lambda_1,'Thin theory'!P14))),IMPRODUCT(w_a2,Cj_2,IMEXP(IMPRODUCT(Lambda_2,'Thin theory'!P14))),IMPRODUCT(w_a3,Cj_3,IMEXP(IMPRODUCT(Lambda_3,'Thin theory'!P14))),IMPRODUCT(w_a4,Cj_4,IMEXP(IMPRODUCT(Lambda_4,'Thin theory'!P14))))</f>
        <v>5.23162754578533E-06-4.383395502041E-20i</v>
      </c>
      <c r="R14" s="36" t="str">
        <f>IMSUM(IMPRODUCT(w_b1,Cj_1,IMEXP(IMPRODUCT(Lambda_1,'Thin theory'!P14))),IMPRODUCT(w_b2,Cj_2,IMEXP(IMPRODUCT(Lambda_2,'Thin theory'!P14))),IMPRODUCT(w_b3,Cj_3,IMEXP(IMPRODUCT(Lambda_3,'Thin theory'!P14))),IMPRODUCT(w_b4,Cj_4,IMEXP(IMPRODUCT(Lambda_4,'Thin theory'!P14))))</f>
        <v>2.73264298856073E-06-2.92491064598751E-20i</v>
      </c>
      <c r="S14" s="36" t="str">
        <f>IMSUM(IMPRODUCT(beta_a1,Cj_1,IMEXP(IMPRODUCT(Lambda_1,'Thin theory'!P14))),IMPRODUCT(beta_a2,Cj_2,IMEXP(IMPRODUCT(Lambda_2,'Thin theory'!P14))),IMPRODUCT(beta_a3,Cj_3,IMEXP(IMPRODUCT(Lambda_3,'Thin theory'!P14))),IMPRODUCT(beta_a4,Cj_4,IMEXP(IMPRODUCT(Lambda_4,'Thin theory'!P14))))</f>
        <v>2.73377056295174E-06-2.9513804255892E-20i</v>
      </c>
      <c r="T14" s="36" t="str">
        <f>IMSUM(IMPRODUCT(beta_b1,Cj_1,IMEXP(IMPRODUCT(Lambda_1,'Thin theory'!P14))),IMPRODUCT(beta_b2,Cj_2,IMEXP(IMPRODUCT(Lambda_2,'Thin theory'!P14))),IMPRODUCT(beta_b3,Cj_3,IMEXP(IMPRODUCT(Lambda_3,'Thin theory'!P14))),IMPRODUCT(beta_b4,Cj_4,IMEXP(IMPRODUCT(Lambda_4,'Thin theory'!P14))))</f>
        <v>-1.47222268949982E-06+7.94093388050907E-21i</v>
      </c>
      <c r="U14" s="36" t="str">
        <f>IMSUM(IMPRODUCT(Lambda_1,beta_b1,Cj_1,IMEXP(IMPRODUCT(Lambda_1,'Thin theory'!P14))),IMPRODUCT(Lambda_2,beta_b2,Cj_2,IMEXP(IMPRODUCT(Lambda_2,'Thin theory'!P14))),IMPRODUCT(Lambda_3,beta_b3,Cj_3,IMEXP(IMPRODUCT(Lambda_3,'Thin theory'!P14))),IMPRODUCT(Lambda_4,beta_b4,Cj_4,IMEXP(IMPRODUCT(Lambda_4,'Thin theory'!P14))))</f>
        <v>3.94651036854163E-09-2.43521972335611E-21i</v>
      </c>
      <c r="V14" s="36" t="str">
        <f>IMSUM(IMPRODUCT(-1,uc),Nz/Cs*'Thin theory'!P14,IMPRODUCT(-nu/rad,IMSUM(wm*'Thin theory'!P14,IMPRODUCT(IMDIV(w_a1,Lambda_1),Cj_1,IMEXP(IMPRODUCT(Lambda_1,'Thin theory'!P14))),IMPRODUCT(IMDIV(w_a2,Lambda_2),Cj_2,IMEXP(IMPRODUCT(Lambda_2,'Thin theory'!P14))),IMPRODUCT(IMDIV(w_a3,Lambda_3),Cj_3,IMEXP(IMPRODUCT(Lambda_3,'Thin theory'!P14))),IMPRODUCT(IMDIV(w_a4,Lambda_4),Cj_4,IMEXP(IMPRODUCT(Lambda_4,'Thin theory'!P14))))))</f>
        <v>0.0000485068405052394+3.57788528445758E-19i</v>
      </c>
      <c r="W14" s="36" t="str">
        <f t="shared" si="0"/>
        <v>-4.86389765274712E-06+2.6300373012246E-21i</v>
      </c>
      <c r="X14" s="41">
        <f t="shared" si="11"/>
        <v>4.8506840505239402E-5</v>
      </c>
      <c r="Y14" s="41">
        <f t="shared" si="12"/>
        <v>5.2316275457853303E-6</v>
      </c>
      <c r="Z14" s="38">
        <f t="shared" si="1"/>
        <v>-1</v>
      </c>
      <c r="AA14" s="38">
        <f t="shared" si="2"/>
        <v>-9.0734898168586792E-2</v>
      </c>
      <c r="AB14" s="38">
        <f t="shared" si="3"/>
        <v>-2.6963785521974724E-2</v>
      </c>
      <c r="AC14" s="38">
        <f t="shared" si="4"/>
        <v>-8.0891356565924166E-3</v>
      </c>
      <c r="AD14" s="38">
        <f t="shared" si="5"/>
        <v>-1.1617827131318483</v>
      </c>
      <c r="AE14" s="38">
        <f t="shared" si="6"/>
        <v>-1</v>
      </c>
      <c r="AF14" s="38">
        <f t="shared" si="7"/>
        <v>-0.83821728686815167</v>
      </c>
      <c r="AG14" s="38">
        <f t="shared" si="8"/>
        <v>-0.13926971210814129</v>
      </c>
      <c r="AH14" s="38">
        <f t="shared" si="9"/>
        <v>-9.0734898168586792E-2</v>
      </c>
      <c r="AI14" s="38">
        <f t="shared" si="10"/>
        <v>-4.2200084229032292E-2</v>
      </c>
    </row>
    <row r="15" spans="1:35" x14ac:dyDescent="0.3">
      <c r="H15" s="2"/>
      <c r="I15" s="1" t="s">
        <v>45</v>
      </c>
      <c r="J15" s="1" t="str">
        <f>IMDIV(IMPRODUCT(Lambda_1,Lambda_1),IMSUM(1,IMPRODUCT(-1,Lambda_1,Lambda_1,(D/k/G/t))))</f>
        <v>-0.0624000000000008+0.657956107958577i</v>
      </c>
      <c r="K15" s="2"/>
      <c r="L15" s="1" t="s">
        <v>67</v>
      </c>
      <c r="M15" s="1" t="str">
        <f>IMPRODUCT(beta_a1,IMEXP(IMPRODUCT(Lambda_1,0)))</f>
        <v>0.487818342925221+0.650339703524261i</v>
      </c>
      <c r="N15" s="2"/>
      <c r="Q15" s="36" t="str">
        <f>IMSUM(wm,IMPRODUCT(w_a1,Cj_1,IMEXP(IMPRODUCT(Lambda_1,'Thin theory'!P15))),IMPRODUCT(w_a2,Cj_2,IMEXP(IMPRODUCT(Lambda_2,'Thin theory'!P15))),IMPRODUCT(w_a3,Cj_3,IMEXP(IMPRODUCT(Lambda_3,'Thin theory'!P15))),IMPRODUCT(w_a4,Cj_4,IMEXP(IMPRODUCT(Lambda_4,'Thin theory'!P15))))</f>
        <v>5.52626081093424E-06-4.67985703358001E-20i</v>
      </c>
      <c r="R15" s="36" t="str">
        <f>IMSUM(IMPRODUCT(w_b1,Cj_1,IMEXP(IMPRODUCT(Lambda_1,'Thin theory'!P15))),IMPRODUCT(w_b2,Cj_2,IMEXP(IMPRODUCT(Lambda_2,'Thin theory'!P15))),IMPRODUCT(w_b3,Cj_3,IMEXP(IMPRODUCT(Lambda_3,'Thin theory'!P15))),IMPRODUCT(w_b4,Cj_4,IMEXP(IMPRODUCT(Lambda_4,'Thin theory'!P15))))</f>
        <v>2.53872126456014E-06-2.82167850554089E-20i</v>
      </c>
      <c r="S15" s="36" t="str">
        <f>IMSUM(IMPRODUCT(beta_a1,Cj_1,IMEXP(IMPRODUCT(Lambda_1,'Thin theory'!P15))),IMPRODUCT(beta_a2,Cj_2,IMEXP(IMPRODUCT(Lambda_2,'Thin theory'!P15))),IMPRODUCT(beta_a3,Cj_3,IMEXP(IMPRODUCT(Lambda_3,'Thin theory'!P15))),IMPRODUCT(beta_a4,Cj_4,IMEXP(IMPRODUCT(Lambda_4,'Thin theory'!P15))))</f>
        <v>2.56941885498812E-06-2.86005968596335E-20i</v>
      </c>
      <c r="T15" s="36" t="str">
        <f>IMSUM(IMPRODUCT(beta_b1,Cj_1,IMEXP(IMPRODUCT(Lambda_1,'Thin theory'!P15))),IMPRODUCT(beta_b2,Cj_2,IMEXP(IMPRODUCT(Lambda_2,'Thin theory'!P15))),IMPRODUCT(beta_b3,Cj_3,IMEXP(IMPRODUCT(Lambda_3,'Thin theory'!P15))),IMPRODUCT(beta_b4,Cj_4,IMEXP(IMPRODUCT(Lambda_4,'Thin theory'!P15))))</f>
        <v>-1.46586185266221E-06+8.15269211732264E-21i</v>
      </c>
      <c r="U15" s="36" t="str">
        <f>IMSUM(IMPRODUCT(Lambda_1,beta_b1,Cj_1,IMEXP(IMPRODUCT(Lambda_1,'Thin theory'!P15))),IMPRODUCT(Lambda_2,beta_b2,Cj_2,IMEXP(IMPRODUCT(Lambda_2,'Thin theory'!P15))),IMPRODUCT(Lambda_3,beta_b3,Cj_3,IMEXP(IMPRODUCT(Lambda_3,'Thin theory'!P15))),IMPRODUCT(Lambda_4,beta_b4,Cj_4,IMEXP(IMPRODUCT(Lambda_4,'Thin theory'!P15))))</f>
        <v>1.07441566497911E-07+3.17637355220363E-22i</v>
      </c>
      <c r="V15" s="36" t="str">
        <f>IMSUM(IMPRODUCT(-1,uc),Nz/Cs*'Thin theory'!P15,IMPRODUCT(-nu/rad,IMSUM(wm*'Thin theory'!P15,IMPRODUCT(IMDIV(w_a1,Lambda_1),Cj_1,IMEXP(IMPRODUCT(Lambda_1,'Thin theory'!P15))),IMPRODUCT(IMDIV(w_a2,Lambda_2),Cj_2,IMEXP(IMPRODUCT(Lambda_2,'Thin theory'!P15))),IMPRODUCT(IMDIV(w_a3,Lambda_3),Cj_3,IMEXP(IMPRODUCT(Lambda_3,'Thin theory'!P15))),IMPRODUCT(IMDIV(w_a4,Lambda_4),Cj_4,IMEXP(IMPRODUCT(Lambda_4,'Thin theory'!P15))))))</f>
        <v>0.0000479620398647283+3.58017227341517E-19i</v>
      </c>
      <c r="W15" s="36" t="str">
        <f t="shared" si="0"/>
        <v>-4.88157564865605E-06+2.80791422014801E-21i</v>
      </c>
      <c r="X15" s="41">
        <f t="shared" si="11"/>
        <v>4.7962039864728298E-5</v>
      </c>
      <c r="Y15" s="41">
        <f t="shared" si="12"/>
        <v>5.5262608109342399E-6</v>
      </c>
      <c r="Z15" s="38">
        <f t="shared" si="1"/>
        <v>-0.999999999999999</v>
      </c>
      <c r="AA15" s="38">
        <f t="shared" si="2"/>
        <v>-7.8949567562630094E-2</v>
      </c>
      <c r="AB15" s="38">
        <f t="shared" si="3"/>
        <v>-2.6847286678795056E-2</v>
      </c>
      <c r="AC15" s="38">
        <f t="shared" si="4"/>
        <v>-8.0541860036385162E-3</v>
      </c>
      <c r="AD15" s="38">
        <f t="shared" si="5"/>
        <v>-1.1610837200727693</v>
      </c>
      <c r="AE15" s="38">
        <f t="shared" si="6"/>
        <v>-0.999999999999999</v>
      </c>
      <c r="AF15" s="38">
        <f t="shared" si="7"/>
        <v>-0.83891627992722873</v>
      </c>
      <c r="AG15" s="38">
        <f t="shared" si="8"/>
        <v>-0.1272746835844612</v>
      </c>
      <c r="AH15" s="38">
        <f t="shared" si="9"/>
        <v>-7.8949567562630094E-2</v>
      </c>
      <c r="AI15" s="38">
        <f t="shared" si="10"/>
        <v>-3.0624451540799E-2</v>
      </c>
    </row>
    <row r="16" spans="1:35" x14ac:dyDescent="0.3">
      <c r="H16" s="2"/>
      <c r="I16" s="54" t="s">
        <v>41</v>
      </c>
      <c r="J16" s="95"/>
      <c r="K16" s="2"/>
      <c r="L16" s="1" t="s">
        <v>68</v>
      </c>
      <c r="M16" s="1" t="str">
        <f>IMPRODUCT(beta_a2,IMEXP(IMPRODUCT(Lambda_2,0)))</f>
        <v>0.487818342925221-0.650339703524261i</v>
      </c>
      <c r="N16" s="2"/>
      <c r="Q16" s="36" t="str">
        <f>IMSUM(wm,IMPRODUCT(w_a1,Cj_1,IMEXP(IMPRODUCT(Lambda_1,'Thin theory'!P16))),IMPRODUCT(w_a2,Cj_2,IMEXP(IMPRODUCT(Lambda_2,'Thin theory'!P16))),IMPRODUCT(w_a3,Cj_3,IMEXP(IMPRODUCT(Lambda_3,'Thin theory'!P16))),IMPRODUCT(w_a4,Cj_4,IMEXP(IMPRODUCT(Lambda_4,'Thin theory'!P16))))</f>
        <v>5.79950021762811E-06-4.97631856511901E-20i</v>
      </c>
      <c r="R16" s="36" t="str">
        <f>IMSUM(IMPRODUCT(w_b1,Cj_1,IMEXP(IMPRODUCT(Lambda_1,'Thin theory'!P16))),IMPRODUCT(w_b2,Cj_2,IMEXP(IMPRODUCT(Lambda_2,'Thin theory'!P16))),IMPRODUCT(w_b3,Cj_3,IMEXP(IMPRODUCT(Lambda_3,'Thin theory'!P16))),IMPRODUCT(w_b4,Cj_4,IMEXP(IMPRODUCT(Lambda_4,'Thin theory'!P16))))</f>
        <v>2.35008921406161E-06-2.91167575618666E-20i</v>
      </c>
      <c r="S16" s="36" t="str">
        <f>IMSUM(IMPRODUCT(beta_a1,Cj_1,IMEXP(IMPRODUCT(Lambda_1,'Thin theory'!P16))),IMPRODUCT(beta_a2,Cj_2,IMEXP(IMPRODUCT(Lambda_2,'Thin theory'!P16))),IMPRODUCT(beta_a3,Cj_3,IMEXP(IMPRODUCT(Lambda_3,'Thin theory'!P16))),IMPRODUCT(beta_a4,Cj_4,IMEXP(IMPRODUCT(Lambda_4,'Thin theory'!P16))))</f>
        <v>2.40639572662364E-06-2.78495168634353E-20i</v>
      </c>
      <c r="T16" s="36" t="str">
        <f>IMSUM(IMPRODUCT(beta_b1,Cj_1,IMEXP(IMPRODUCT(Lambda_1,'Thin theory'!P16))),IMPRODUCT(beta_b2,Cj_2,IMEXP(IMPRODUCT(Lambda_2,'Thin theory'!P16))),IMPRODUCT(beta_b3,Cj_3,IMEXP(IMPRODUCT(Lambda_3,'Thin theory'!P16))),IMPRODUCT(beta_b4,Cj_4,IMEXP(IMPRODUCT(Lambda_4,'Thin theory'!P16))))</f>
        <v>-1.44871466334006E-06+8.57620859094979E-21i</v>
      </c>
      <c r="U16" s="36" t="str">
        <f>IMSUM(IMPRODUCT(Lambda_1,beta_b1,Cj_1,IMEXP(IMPRODUCT(Lambda_1,'Thin theory'!P16))),IMPRODUCT(Lambda_2,beta_b2,Cj_2,IMEXP(IMPRODUCT(Lambda_2,'Thin theory'!P16))),IMPRODUCT(Lambda_3,beta_b3,Cj_3,IMEXP(IMPRODUCT(Lambda_3,'Thin theory'!P16))),IMPRODUCT(Lambda_4,beta_b4,Cj_4,IMEXP(IMPRODUCT(Lambda_4,'Thin theory'!P16))))</f>
        <v>1.97072793967109E-07+2.11758236813575E-21i</v>
      </c>
      <c r="V16" s="36" t="str">
        <f>IMSUM(IMPRODUCT(-1,uc),Nz/Cs*'Thin theory'!P16,IMPRODUCT(-nu/rad,IMSUM(wm*'Thin theory'!P16,IMPRODUCT(IMDIV(w_a1,Lambda_1),Cj_1,IMEXP(IMPRODUCT(Lambda_1,'Thin theory'!P16))),IMPRODUCT(IMDIV(w_a2,Lambda_2),Cj_2,IMEXP(IMPRODUCT(Lambda_2,'Thin theory'!P16))),IMPRODUCT(IMDIV(w_a3,Lambda_3),Cj_3,IMEXP(IMPRODUCT(Lambda_3,'Thin theory'!P16))),IMPRODUCT(IMDIV(w_a4,Lambda_4),Cj_4,IMEXP(IMPRODUCT(Lambda_4,'Thin theory'!P16))))))</f>
        <v>0.0000474153348521486+3.5766147350367E-19i</v>
      </c>
      <c r="W16" s="36" t="str">
        <f t="shared" si="0"/>
        <v>-4.89797001305769E-06+2.98579113907141E-21i</v>
      </c>
      <c r="X16" s="41">
        <f t="shared" si="11"/>
        <v>4.7415334852148599E-5</v>
      </c>
      <c r="Y16" s="41">
        <f t="shared" si="12"/>
        <v>5.79950021762811E-6</v>
      </c>
      <c r="Z16" s="38">
        <f t="shared" si="1"/>
        <v>-1.0000000000000007</v>
      </c>
      <c r="AA16" s="38">
        <f t="shared" si="2"/>
        <v>-6.8019991294875765E-2</v>
      </c>
      <c r="AB16" s="38">
        <f t="shared" si="3"/>
        <v>-2.6533235592308791E-2</v>
      </c>
      <c r="AC16" s="38">
        <f t="shared" si="4"/>
        <v>-7.9599706776926366E-3</v>
      </c>
      <c r="AD16" s="38">
        <f t="shared" si="5"/>
        <v>-1.1591994135538535</v>
      </c>
      <c r="AE16" s="38">
        <f t="shared" si="6"/>
        <v>-1.0000000000000007</v>
      </c>
      <c r="AF16" s="38">
        <f t="shared" si="7"/>
        <v>-0.84080058644614786</v>
      </c>
      <c r="AG16" s="38">
        <f t="shared" si="8"/>
        <v>-0.11577981536103159</v>
      </c>
      <c r="AH16" s="38">
        <f t="shared" si="9"/>
        <v>-6.8019991294875765E-2</v>
      </c>
      <c r="AI16" s="38">
        <f t="shared" si="10"/>
        <v>-2.0260167228719941E-2</v>
      </c>
    </row>
    <row r="17" spans="8:35" x14ac:dyDescent="0.3">
      <c r="H17" s="2"/>
      <c r="I17" s="1" t="s">
        <v>46</v>
      </c>
      <c r="J17" s="1">
        <v>1</v>
      </c>
      <c r="K17" s="2"/>
      <c r="L17" s="1" t="s">
        <v>69</v>
      </c>
      <c r="M17" s="1" t="str">
        <f>IMPRODUCT(beta_a3,IMEXP(IMPRODUCT(Lambda_3,0)))</f>
        <v>-0.487818342925221+0.650339703524261i</v>
      </c>
      <c r="N17" s="2"/>
      <c r="Q17" s="36" t="str">
        <f>IMSUM(wm,IMPRODUCT(w_a1,Cj_1,IMEXP(IMPRODUCT(Lambda_1,'Thin theory'!P17))),IMPRODUCT(w_a2,Cj_2,IMEXP(IMPRODUCT(Lambda_2,'Thin theory'!P17))),IMPRODUCT(w_a3,Cj_3,IMEXP(IMPRODUCT(Lambda_3,'Thin theory'!P17))),IMPRODUCT(w_a4,Cj_4,IMEXP(IMPRODUCT(Lambda_4,'Thin theory'!P17))))</f>
        <v>6.05198488823804E-06-5.31513174402073E-20i</v>
      </c>
      <c r="R17" s="36" t="str">
        <f>IMSUM(IMPRODUCT(w_b1,Cj_1,IMEXP(IMPRODUCT(Lambda_1,'Thin theory'!P17))),IMPRODUCT(w_b2,Cj_2,IMEXP(IMPRODUCT(Lambda_2,'Thin theory'!P17))),IMPRODUCT(w_b3,Cj_3,IMEXP(IMPRODUCT(Lambda_3,'Thin theory'!P17))),IMPRODUCT(w_b4,Cj_4,IMEXP(IMPRODUCT(Lambda_4,'Thin theory'!P17))))</f>
        <v>2.16757414155537E-06-2.78462081409851E-20i</v>
      </c>
      <c r="S17" s="36" t="str">
        <f>IMSUM(IMPRODUCT(beta_a1,Cj_1,IMEXP(IMPRODUCT(Lambda_1,'Thin theory'!P17))),IMPRODUCT(beta_a2,Cj_2,IMEXP(IMPRODUCT(Lambda_2,'Thin theory'!P17))),IMPRODUCT(beta_a3,Cj_3,IMEXP(IMPRODUCT(Lambda_3,'Thin theory'!P17))),IMPRODUCT(beta_a4,Cj_4,IMEXP(IMPRODUCT(Lambda_4,'Thin theory'!P17))))</f>
        <v>2.24582264088979E-06-2.69462356345274E-20i</v>
      </c>
      <c r="T17" s="36" t="str">
        <f>IMSUM(IMPRODUCT(beta_b1,Cj_1,IMEXP(IMPRODUCT(Lambda_1,'Thin theory'!P17))),IMPRODUCT(beta_b2,Cj_2,IMEXP(IMPRODUCT(Lambda_2,'Thin theory'!P17))),IMPRODUCT(beta_b3,Cj_3,IMEXP(IMPRODUCT(Lambda_3,'Thin theory'!P17))),IMPRODUCT(beta_b4,Cj_4,IMEXP(IMPRODUCT(Lambda_4,'Thin theory'!P17))))</f>
        <v>-0.0000014222732998962+8.15269211732264E-21i</v>
      </c>
      <c r="U17" s="36" t="str">
        <f>IMSUM(IMPRODUCT(Lambda_1,beta_b1,Cj_1,IMEXP(IMPRODUCT(Lambda_1,'Thin theory'!P17))),IMPRODUCT(Lambda_2,beta_b2,Cj_2,IMEXP(IMPRODUCT(Lambda_2,'Thin theory'!P17))),IMPRODUCT(Lambda_3,beta_b3,Cj_3,IMEXP(IMPRODUCT(Lambda_3,'Thin theory'!P17))),IMPRODUCT(Lambda_4,beta_b4,Cj_4,IMEXP(IMPRODUCT(Lambda_4,'Thin theory'!P17))))</f>
        <v>2.73869747670475E-07+5.18807680193259E-21i</v>
      </c>
      <c r="V17" s="36" t="str">
        <f>IMSUM(IMPRODUCT(-1,uc),Nz/Cs*'Thin theory'!P17,IMPRODUCT(-nu/rad,IMSUM(wm*'Thin theory'!P17,IMPRODUCT(IMDIV(w_a1,Lambda_1),Cj_1,IMEXP(IMPRODUCT(Lambda_1,'Thin theory'!P17))),IMPRODUCT(IMDIV(w_a2,Lambda_2),Cj_2,IMEXP(IMPRODUCT(Lambda_2,'Thin theory'!P17))),IMPRODUCT(IMDIV(w_a3,Lambda_3),Cj_3,IMEXP(IMPRODUCT(Lambda_3,'Thin theory'!P17))),IMPRODUCT(IMDIV(w_a4,Lambda_4),Cj_4,IMEXP(IMPRODUCT(Lambda_4,'Thin theory'!P17))))))</f>
        <v>0.0000468668668898758+3.57940994376264E-19i</v>
      </c>
      <c r="W17" s="36" t="str">
        <f t="shared" si="0"/>
        <v>-4.91311909329428E-06+3.18907904641244E-21i</v>
      </c>
      <c r="X17" s="41">
        <f t="shared" si="11"/>
        <v>4.6866866889875803E-5</v>
      </c>
      <c r="Y17" s="41">
        <f t="shared" si="12"/>
        <v>6.05198488823804E-6</v>
      </c>
      <c r="Z17" s="38">
        <f t="shared" si="1"/>
        <v>-0.99999999999999933</v>
      </c>
      <c r="AA17" s="38">
        <f t="shared" si="2"/>
        <v>-5.7920604470478212E-2</v>
      </c>
      <c r="AB17" s="38">
        <f t="shared" si="3"/>
        <v>-2.6048961536560437E-2</v>
      </c>
      <c r="AC17" s="38">
        <f t="shared" si="4"/>
        <v>-7.8146884609681302E-3</v>
      </c>
      <c r="AD17" s="38">
        <f t="shared" si="5"/>
        <v>-1.156293769219362</v>
      </c>
      <c r="AE17" s="38">
        <f t="shared" si="6"/>
        <v>-0.99999999999999933</v>
      </c>
      <c r="AF17" s="38">
        <f t="shared" si="7"/>
        <v>-0.84370623078063667</v>
      </c>
      <c r="AG17" s="38">
        <f t="shared" si="8"/>
        <v>-0.10480873523628699</v>
      </c>
      <c r="AH17" s="38">
        <f t="shared" si="9"/>
        <v>-5.7920604470478212E-2</v>
      </c>
      <c r="AI17" s="38">
        <f t="shared" si="10"/>
        <v>-1.1032473704669435E-2</v>
      </c>
    </row>
    <row r="18" spans="8:35" x14ac:dyDescent="0.3">
      <c r="H18" s="2"/>
      <c r="I18" s="1" t="s">
        <v>47</v>
      </c>
      <c r="J18" s="1" t="str">
        <f>Lambda_2</f>
        <v>0.601376947377571-0.547041344723748i</v>
      </c>
      <c r="K18" s="2"/>
      <c r="L18" s="1" t="s">
        <v>70</v>
      </c>
      <c r="M18" s="1" t="str">
        <f>IMPRODUCT(beta_a4,IMEXP(IMPRODUCT(Lambda_4,0)))</f>
        <v>-0.487818342925221-0.650339703524261i</v>
      </c>
      <c r="N18" s="2"/>
      <c r="Q18" s="36" t="str">
        <f>IMSUM(wm,IMPRODUCT(w_a1,Cj_1,IMEXP(IMPRODUCT(Lambda_1,'Thin theory'!P18))),IMPRODUCT(w_a2,Cj_2,IMEXP(IMPRODUCT(Lambda_2,'Thin theory'!P18))),IMPRODUCT(w_a3,Cj_3,IMEXP(IMPRODUCT(Lambda_3,'Thin theory'!P18))),IMPRODUCT(w_a4,Cj_4,IMEXP(IMPRODUCT(Lambda_4,'Thin theory'!P18))))</f>
        <v>6.28443787385071E-06-5.6327690992411E-20i</v>
      </c>
      <c r="R18" s="36" t="str">
        <f>IMSUM(IMPRODUCT(w_b1,Cj_1,IMEXP(IMPRODUCT(Lambda_1,'Thin theory'!P18))),IMPRODUCT(w_b2,Cj_2,IMEXP(IMPRODUCT(Lambda_2,'Thin theory'!P18))),IMPRODUCT(w_b3,Cj_3,IMEXP(IMPRODUCT(Lambda_3,'Thin theory'!P18))),IMPRODUCT(w_b4,Cj_4,IMEXP(IMPRODUCT(Lambda_4,'Thin theory'!P18))))</f>
        <v>1.99185241121556E-06-2.85344224106292E-20i</v>
      </c>
      <c r="S18" s="36" t="str">
        <f>IMSUM(IMPRODUCT(beta_a1,Cj_1,IMEXP(IMPRODUCT(Lambda_1,'Thin theory'!P18))),IMPRODUCT(beta_a2,Cj_2,IMEXP(IMPRODUCT(Lambda_2,'Thin theory'!P18))),IMPRODUCT(beta_a3,Cj_3,IMEXP(IMPRODUCT(Lambda_3,'Thin theory'!P18))),IMPRODUCT(beta_a4,Cj_4,IMEXP(IMPRODUCT(Lambda_4,'Thin theory'!P18))))</f>
        <v>2.08866059763429E-06-2.65227191609003E-20i</v>
      </c>
      <c r="T18" s="36" t="str">
        <f>IMSUM(IMPRODUCT(beta_b1,Cj_1,IMEXP(IMPRODUCT(Lambda_1,'Thin theory'!P18))),IMPRODUCT(beta_b2,Cj_2,IMEXP(IMPRODUCT(Lambda_2,'Thin theory'!P18))),IMPRODUCT(beta_b3,Cj_3,IMEXP(IMPRODUCT(Lambda_3,'Thin theory'!P18))),IMPRODUCT(beta_b4,Cj_4,IMEXP(IMPRODUCT(Lambda_4,'Thin theory'!P18))))</f>
        <v>-1.38791665798679E-06+9.95263713023803E-21i</v>
      </c>
      <c r="U18" s="36" t="str">
        <f>IMSUM(IMPRODUCT(Lambda_1,beta_b1,Cj_1,IMEXP(IMPRODUCT(Lambda_1,'Thin theory'!P18))),IMPRODUCT(Lambda_2,beta_b2,Cj_2,IMEXP(IMPRODUCT(Lambda_2,'Thin theory'!P18))),IMPRODUCT(Lambda_3,beta_b3,Cj_3,IMEXP(IMPRODUCT(Lambda_3,'Thin theory'!P18))),IMPRODUCT(Lambda_4,beta_b4,Cj_4,IMEXP(IMPRODUCT(Lambda_4,'Thin theory'!P18))))</f>
        <v>3.38828652465528E-07+8.36445035413622E-21i</v>
      </c>
      <c r="V18" s="36" t="str">
        <f>IMSUM(IMPRODUCT(-1,uc),Nz/Cs*'Thin theory'!P18,IMPRODUCT(-nu/rad,IMSUM(wm*'Thin theory'!P18,IMPRODUCT(IMDIV(w_a1,Lambda_1),Cj_1,IMEXP(IMPRODUCT(Lambda_1,'Thin theory'!P18))),IMPRODUCT(IMDIV(w_a2,Lambda_2),Cj_2,IMEXP(IMPRODUCT(Lambda_2,'Thin theory'!P18))),IMPRODUCT(IMDIV(w_a3,Lambda_3),Cj_3,IMEXP(IMPRODUCT(Lambda_3,'Thin theory'!P18))),IMPRODUCT(IMDIV(w_a4,Lambda_4),Cj_4,IMEXP(IMPRODUCT(Lambda_4,'Thin theory'!P18))))))</f>
        <v>0.0000463167728219837+3.58830378970881E-19i</v>
      </c>
      <c r="W18" s="36" t="str">
        <f t="shared" si="0"/>
        <v>-4.92706627243104E-06+3.37966145954466E-21i</v>
      </c>
      <c r="X18" s="41">
        <f t="shared" si="11"/>
        <v>4.6316772821983703E-5</v>
      </c>
      <c r="Y18" s="41">
        <f t="shared" si="12"/>
        <v>6.2844378738507099E-6</v>
      </c>
      <c r="Z18" s="38">
        <f t="shared" si="1"/>
        <v>-0.99999999999999933</v>
      </c>
      <c r="AA18" s="38">
        <f t="shared" si="2"/>
        <v>-4.8622485045971414E-2</v>
      </c>
      <c r="AB18" s="38">
        <f t="shared" si="3"/>
        <v>-2.541971901074707E-2</v>
      </c>
      <c r="AC18" s="38">
        <f t="shared" si="4"/>
        <v>-7.6259157032241209E-3</v>
      </c>
      <c r="AD18" s="38">
        <f t="shared" si="5"/>
        <v>-1.1525183140644817</v>
      </c>
      <c r="AE18" s="38">
        <f t="shared" si="6"/>
        <v>-0.99999999999999933</v>
      </c>
      <c r="AF18" s="38">
        <f t="shared" si="7"/>
        <v>-0.84748168593551698</v>
      </c>
      <c r="AG18" s="38">
        <f t="shared" si="8"/>
        <v>-9.4377979265316131E-2</v>
      </c>
      <c r="AH18" s="38">
        <f t="shared" si="9"/>
        <v>-4.8622485045971414E-2</v>
      </c>
      <c r="AI18" s="38">
        <f t="shared" si="10"/>
        <v>-2.8669908266266905E-3</v>
      </c>
    </row>
    <row r="19" spans="8:35" x14ac:dyDescent="0.3">
      <c r="H19" s="2"/>
      <c r="I19" s="1" t="s">
        <v>48</v>
      </c>
      <c r="J19" s="1" t="str">
        <f>IMDIV(Lambda_2,IMSUM(1,IMPRODUCT(-1,Lambda_2,Lambda_2,(D/k/G/t))))</f>
        <v>0.487818342925221-0.650339703524261i</v>
      </c>
      <c r="K19" s="2"/>
      <c r="L19" s="1" t="s">
        <v>71</v>
      </c>
      <c r="M19" s="1" t="str">
        <f>IMPRODUCT(beta_b1,IMEXP(IMPRODUCT(Lambda_1,0)))</f>
        <v>-0.0624000000000008+0.657956107958577i</v>
      </c>
      <c r="N19" s="2"/>
      <c r="Q19" s="36" t="str">
        <f>IMSUM(wm,IMPRODUCT(w_a1,Cj_1,IMEXP(IMPRODUCT(Lambda_1,'Thin theory'!P19))),IMPRODUCT(w_a2,Cj_2,IMEXP(IMPRODUCT(Lambda_2,'Thin theory'!P19))),IMPRODUCT(w_a3,Cj_3,IMEXP(IMPRODUCT(Lambda_3,'Thin theory'!P19))),IMPRODUCT(w_a4,Cj_4,IMEXP(IMPRODUCT(Lambda_4,'Thin theory'!P19))))</f>
        <v>6.49765003982867E-06-5.95040645446146E-20i</v>
      </c>
      <c r="R19" s="36" t="str">
        <f>IMSUM(IMPRODUCT(w_b1,Cj_1,IMEXP(IMPRODUCT(Lambda_1,'Thin theory'!P19))),IMPRODUCT(w_b2,Cj_2,IMEXP(IMPRODUCT(Lambda_2,'Thin theory'!P19))),IMPRODUCT(w_b3,Cj_3,IMEXP(IMPRODUCT(Lambda_3,'Thin theory'!P19))),IMPRODUCT(w_b4,Cj_4,IMEXP(IMPRODUCT(Lambda_4,'Thin theory'!P19))))</f>
        <v>1.82346295274561E-06-2.80050268185953E-20i</v>
      </c>
      <c r="S19" s="36" t="str">
        <f>IMSUM(IMPRODUCT(beta_a1,Cj_1,IMEXP(IMPRODUCT(Lambda_1,'Thin theory'!P19))),IMPRODUCT(beta_a2,Cj_2,IMEXP(IMPRODUCT(Lambda_2,'Thin theory'!P19))),IMPRODUCT(beta_a3,Cj_3,IMEXP(IMPRODUCT(Lambda_3,'Thin theory'!P19))),IMPRODUCT(beta_a4,Cj_4,IMEXP(IMPRODUCT(Lambda_4,'Thin theory'!P19))))</f>
        <v>1.93572258248242E-06-2.43257274539594E-20i</v>
      </c>
      <c r="T19" s="36" t="str">
        <f>IMSUM(IMPRODUCT(beta_b1,Cj_1,IMEXP(IMPRODUCT(Lambda_1,'Thin theory'!P19))),IMPRODUCT(beta_b2,Cj_2,IMEXP(IMPRODUCT(Lambda_2,'Thin theory'!P19))),IMPRODUCT(beta_b3,Cj_3,IMEXP(IMPRODUCT(Lambda_3,'Thin theory'!P19))),IMPRODUCT(beta_b4,Cj_4,IMEXP(IMPRODUCT(Lambda_4,'Thin theory'!P19))))</f>
        <v>-1.34691429108992E-06+1.00585162486448E-20i</v>
      </c>
      <c r="U19" s="36" t="str">
        <f>IMSUM(IMPRODUCT(Lambda_1,beta_b1,Cj_1,IMEXP(IMPRODUCT(Lambda_1,'Thin theory'!P19))),IMPRODUCT(Lambda_2,beta_b2,Cj_2,IMEXP(IMPRODUCT(Lambda_2,'Thin theory'!P19))),IMPRODUCT(Lambda_3,beta_b3,Cj_3,IMEXP(IMPRODUCT(Lambda_3,'Thin theory'!P19))),IMPRODUCT(Lambda_4,beta_b4,Cj_4,IMEXP(IMPRODUCT(Lambda_4,'Thin theory'!P19))))</f>
        <v>3.92908704078817E-07+1.16467030247466E-20i</v>
      </c>
      <c r="V19" s="36" t="str">
        <f>IMSUM(IMPRODUCT(-1,uc),Nz/Cs*'Thin theory'!P19,IMPRODUCT(-nu/rad,IMSUM(wm*'Thin theory'!P19,IMPRODUCT(IMDIV(w_a1,Lambda_1),Cj_1,IMEXP(IMPRODUCT(Lambda_1,'Thin theory'!P19))),IMPRODUCT(IMDIV(w_a2,Lambda_2),Cj_2,IMEXP(IMPRODUCT(Lambda_2,'Thin theory'!P19))),IMPRODUCT(IMDIV(w_a3,Lambda_3),Cj_3,IMEXP(IMPRODUCT(Lambda_3,'Thin theory'!P19))),IMPRODUCT(IMDIV(w_a4,Lambda_4),Cj_4,IMEXP(IMPRODUCT(Lambda_4,'Thin theory'!P19))))))</f>
        <v>0.000045765184406127+3.5916072182031E-19i</v>
      </c>
      <c r="W19" s="36" t="str">
        <f t="shared" si="0"/>
        <v>-4.93985900238972E-06+3.57024387267688E-21i</v>
      </c>
      <c r="X19" s="41">
        <f t="shared" si="11"/>
        <v>4.5765184406126999E-5</v>
      </c>
      <c r="Y19" s="41">
        <f t="shared" si="12"/>
        <v>6.4976500398286703E-6</v>
      </c>
      <c r="Z19" s="38">
        <f t="shared" si="1"/>
        <v>-0.99999999999999989</v>
      </c>
      <c r="AA19" s="38">
        <f t="shared" si="2"/>
        <v>-4.0093998406853161E-2</v>
      </c>
      <c r="AB19" s="38">
        <f t="shared" si="3"/>
        <v>-2.4668759910071794E-2</v>
      </c>
      <c r="AC19" s="38">
        <f t="shared" si="4"/>
        <v>-7.4006279730215382E-3</v>
      </c>
      <c r="AD19" s="38">
        <f t="shared" si="5"/>
        <v>-1.1480125594604307</v>
      </c>
      <c r="AE19" s="38">
        <f t="shared" si="6"/>
        <v>-0.99999999999999989</v>
      </c>
      <c r="AF19" s="38">
        <f t="shared" si="7"/>
        <v>-0.8519874405395691</v>
      </c>
      <c r="AG19" s="38">
        <f t="shared" si="8"/>
        <v>-8.4497766244982397E-2</v>
      </c>
      <c r="AH19" s="38">
        <f t="shared" si="9"/>
        <v>-4.0093998406853161E-2</v>
      </c>
      <c r="AI19" s="38">
        <f t="shared" si="10"/>
        <v>4.3097694312760684E-3</v>
      </c>
    </row>
    <row r="20" spans="8:35" x14ac:dyDescent="0.3">
      <c r="H20" s="2"/>
      <c r="I20" s="1" t="s">
        <v>49</v>
      </c>
      <c r="J20" s="1" t="str">
        <f>IMDIV(IMPRODUCT(Lambda_2,Lambda_2),IMSUM(1,IMPRODUCT(-1,Lambda_2,Lambda_2,(D/k/G/t))))</f>
        <v>-0.0624000000000008-0.657956107958577i</v>
      </c>
      <c r="K20" s="2"/>
      <c r="L20" s="1" t="s">
        <v>72</v>
      </c>
      <c r="M20" s="1" t="str">
        <f>IMPRODUCT(beta_b2,IMEXP(IMPRODUCT(Lambda_2,0)))</f>
        <v>-0.0624000000000008-0.657956107958577i</v>
      </c>
      <c r="N20" s="2"/>
      <c r="Q20" s="36" t="str">
        <f>IMSUM(wm,IMPRODUCT(w_a1,Cj_1,IMEXP(IMPRODUCT(Lambda_1,'Thin theory'!P20))),IMPRODUCT(w_a2,Cj_2,IMEXP(IMPRODUCT(Lambda_2,'Thin theory'!P20))),IMPRODUCT(w_a3,Cj_3,IMEXP(IMPRODUCT(Lambda_3,'Thin theory'!P20))),IMPRODUCT(w_a4,Cj_4,IMEXP(IMPRODUCT(Lambda_4,'Thin theory'!P20))))</f>
        <v>6.69246542374365E-06-6.28921963336318E-20i</v>
      </c>
      <c r="R20" s="36" t="str">
        <f>IMSUM(IMPRODUCT(w_b1,Cj_1,IMEXP(IMPRODUCT(Lambda_1,'Thin theory'!P20))),IMPRODUCT(w_b2,Cj_2,IMEXP(IMPRODUCT(Lambda_2,'Thin theory'!P20))),IMPRODUCT(w_b3,Cj_3,IMEXP(IMPRODUCT(Lambda_3,'Thin theory'!P20))),IMPRODUCT(w_b4,Cj_4,IMEXP(IMPRODUCT(Lambda_4,'Thin theory'!P20))))</f>
        <v>1.66282009065535E-06-2.7157993871341E-20i</v>
      </c>
      <c r="S20" s="36" t="str">
        <f>IMSUM(IMPRODUCT(beta_a1,Cj_1,IMEXP(IMPRODUCT(Lambda_1,'Thin theory'!P20))),IMPRODUCT(beta_a2,Cj_2,IMEXP(IMPRODUCT(Lambda_2,'Thin theory'!P20))),IMPRODUCT(beta_a3,Cj_3,IMEXP(IMPRODUCT(Lambda_3,'Thin theory'!P20))),IMPRODUCT(beta_a4,Cj_4,IMEXP(IMPRODUCT(Lambda_4,'Thin theory'!P20))))</f>
        <v>1.78768555371594E-06-2.38228016415272E-20i</v>
      </c>
      <c r="T20" s="36" t="str">
        <f>IMSUM(IMPRODUCT(beta_b1,Cj_1,IMEXP(IMPRODUCT(Lambda_1,'Thin theory'!P20))),IMPRODUCT(beta_b2,Cj_2,IMEXP(IMPRODUCT(Lambda_2,'Thin theory'!P20))),IMPRODUCT(beta_b3,Cj_3,IMEXP(IMPRODUCT(Lambda_3,'Thin theory'!P20))),IMPRODUCT(beta_b4,Cj_4,IMEXP(IMPRODUCT(Lambda_4,'Thin theory'!P20))))</f>
        <v>-1.30043072197004E-06+1.23349172943907E-20i</v>
      </c>
      <c r="U20" s="36" t="str">
        <f>IMSUM(IMPRODUCT(Lambda_1,beta_b1,Cj_1,IMEXP(IMPRODUCT(Lambda_1,'Thin theory'!P20))),IMPRODUCT(Lambda_2,beta_b2,Cj_2,IMEXP(IMPRODUCT(Lambda_2,'Thin theory'!P20))),IMPRODUCT(Lambda_3,beta_b3,Cj_3,IMEXP(IMPRODUCT(Lambda_3,'Thin theory'!P20))),IMPRODUCT(Lambda_4,beta_b4,Cj_4,IMEXP(IMPRODUCT(Lambda_4,'Thin theory'!P20))))</f>
        <v>4.37029120712056E-07+1.41878018665095E-20i</v>
      </c>
      <c r="V20" s="36" t="str">
        <f>IMSUM(IMPRODUCT(-1,uc),Nz/Cs*'Thin theory'!P20,IMPRODUCT(-nu/rad,IMSUM(wm*'Thin theory'!P20,IMPRODUCT(IMDIV(w_a1,Lambda_1),Cj_1,IMEXP(IMPRODUCT(Lambda_1,'Thin theory'!P20))),IMPRODUCT(IMDIV(w_a2,Lambda_2),Cj_2,IMEXP(IMPRODUCT(Lambda_2,'Thin theory'!P20))),IMPRODUCT(IMDIV(w_a3,Lambda_3),Cj_3,IMEXP(IMPRODUCT(Lambda_3,'Thin theory'!P20))),IMPRODUCT(IMDIV(w_a4,Lambda_4),Cj_4,IMEXP(IMPRODUCT(Lambda_4,'Thin theory'!P20))))))</f>
        <v>0.0000452122279085424+3.59516475658157E-19i</v>
      </c>
      <c r="W20" s="36" t="str">
        <f t="shared" si="0"/>
        <v>-4.95154792542462E-06+3.77353178001791E-21i</v>
      </c>
      <c r="X20" s="41">
        <f t="shared" si="11"/>
        <v>4.5212227908542401E-5</v>
      </c>
      <c r="Y20" s="41">
        <f t="shared" si="12"/>
        <v>6.6924654237436504E-6</v>
      </c>
      <c r="Z20" s="38">
        <f t="shared" si="1"/>
        <v>-1.0000000000000002</v>
      </c>
      <c r="AA20" s="38">
        <f t="shared" si="2"/>
        <v>-3.2301383050254054E-2</v>
      </c>
      <c r="AB20" s="38">
        <f t="shared" si="3"/>
        <v>-2.381741249029377E-2</v>
      </c>
      <c r="AC20" s="38">
        <f t="shared" si="4"/>
        <v>-7.145223747088131E-3</v>
      </c>
      <c r="AD20" s="38">
        <f t="shared" si="5"/>
        <v>-1.1429044749417629</v>
      </c>
      <c r="AE20" s="38">
        <f t="shared" si="6"/>
        <v>-1.0000000000000002</v>
      </c>
      <c r="AF20" s="38">
        <f t="shared" si="7"/>
        <v>-0.85709552505823761</v>
      </c>
      <c r="AG20" s="38">
        <f t="shared" si="8"/>
        <v>-7.5172725532782841E-2</v>
      </c>
      <c r="AH20" s="38">
        <f t="shared" si="9"/>
        <v>-3.2301383050254054E-2</v>
      </c>
      <c r="AI20" s="38">
        <f t="shared" si="10"/>
        <v>1.0569959432274734E-2</v>
      </c>
    </row>
    <row r="21" spans="8:35" x14ac:dyDescent="0.3">
      <c r="H21" s="2"/>
      <c r="I21" s="54" t="s">
        <v>40</v>
      </c>
      <c r="J21" s="95"/>
      <c r="K21" s="2"/>
      <c r="L21" s="1" t="s">
        <v>73</v>
      </c>
      <c r="M21" s="1" t="str">
        <f>IMPRODUCT(beta_b3,IMEXP(IMPRODUCT(Lambda_3,0)))</f>
        <v>-0.0624000000000008-0.657956107958577i</v>
      </c>
      <c r="N21" s="2"/>
      <c r="Q21" s="36" t="str">
        <f>IMSUM(wm,IMPRODUCT(w_a1,Cj_1,IMEXP(IMPRODUCT(Lambda_1,'Thin theory'!P21))),IMPRODUCT(w_a2,Cj_2,IMEXP(IMPRODUCT(Lambda_2,'Thin theory'!P21))),IMPRODUCT(w_a3,Cj_3,IMEXP(IMPRODUCT(Lambda_3,'Thin theory'!P21))),IMPRODUCT(w_a4,Cj_4,IMEXP(IMPRODUCT(Lambda_4,'Thin theory'!P21))))</f>
        <v>0.000006869767989021-6.81861522539712E-20i</v>
      </c>
      <c r="R21" s="36" t="str">
        <f>IMSUM(IMPRODUCT(w_b1,Cj_1,IMEXP(IMPRODUCT(Lambda_1,'Thin theory'!P21))),IMPRODUCT(w_b2,Cj_2,IMEXP(IMPRODUCT(Lambda_2,'Thin theory'!P21))),IMPRODUCT(w_b3,Cj_3,IMEXP(IMPRODUCT(Lambda_3,'Thin theory'!P21))),IMPRODUCT(w_b4,Cj_4,IMEXP(IMPRODUCT(Lambda_4,'Thin theory'!P21))))</f>
        <v>1.51022568005391E-06-2.72638729897478E-20i</v>
      </c>
      <c r="S21" s="36" t="str">
        <f>IMSUM(IMPRODUCT(beta_a1,Cj_1,IMEXP(IMPRODUCT(Lambda_1,'Thin theory'!P21))),IMPRODUCT(beta_a2,Cj_2,IMEXP(IMPRODUCT(Lambda_2,'Thin theory'!P21))),IMPRODUCT(beta_a3,Cj_3,IMEXP(IMPRODUCT(Lambda_3,'Thin theory'!P21))),IMPRODUCT(beta_a4,Cj_4,IMEXP(IMPRODUCT(Lambda_4,'Thin theory'!P21))))</f>
        <v>1.64510193014199E-06-2.21287357470186E-20i</v>
      </c>
      <c r="T21" s="36" t="str">
        <f>IMSUM(IMPRODUCT(beta_b1,Cj_1,IMEXP(IMPRODUCT(Lambda_1,'Thin theory'!P21))),IMPRODUCT(beta_b2,Cj_2,IMEXP(IMPRODUCT(Lambda_2,'Thin theory'!P21))),IMPRODUCT(beta_b3,Cj_3,IMEXP(IMPRODUCT(Lambda_3,'Thin theory'!P21))),IMPRODUCT(beta_b4,Cj_4,IMEXP(IMPRODUCT(Lambda_4,'Thin theory'!P21))))</f>
        <v>-1.24953004509786E-06+1.29701920048315E-20i</v>
      </c>
      <c r="U21" s="36" t="str">
        <f>IMSUM(IMPRODUCT(Lambda_1,beta_b1,Cj_1,IMEXP(IMPRODUCT(Lambda_1,'Thin theory'!P21))),IMPRODUCT(Lambda_2,beta_b2,Cj_2,IMEXP(IMPRODUCT(Lambda_2,'Thin theory'!P21))),IMPRODUCT(Lambda_3,beta_b3,Cj_3,IMEXP(IMPRODUCT(Lambda_3,'Thin theory'!P21))),IMPRODUCT(Lambda_4,beta_b4,Cj_4,IMEXP(IMPRODUCT(Lambda_4,'Thin theory'!P21))))</f>
        <v>4.72066875308283E-07+1.78935710107471E-20i</v>
      </c>
      <c r="V21" s="36" t="str">
        <f>IMSUM(IMPRODUCT(-1,uc),Nz/Cs*'Thin theory'!P21,IMPRODUCT(-nu/rad,IMSUM(wm*'Thin theory'!P21,IMPRODUCT(IMDIV(w_a1,Lambda_1),Cj_1,IMEXP(IMPRODUCT(Lambda_1,'Thin theory'!P21))),IMPRODUCT(IMDIV(w_a2,Lambda_2),Cj_2,IMEXP(IMPRODUCT(Lambda_2,'Thin theory'!P21))),IMPRODUCT(IMDIV(w_a3,Lambda_3),Cj_3,IMEXP(IMPRODUCT(Lambda_3,'Thin theory'!P21))),IMPRODUCT(IMDIV(w_a4,Lambda_4),Cj_4,IMEXP(IMPRODUCT(Lambda_4,'Thin theory'!P21))))))</f>
        <v>0.000044658023792546+3.59884934990213E-19i</v>
      </c>
      <c r="W21" s="36" t="str">
        <f t="shared" si="0"/>
        <v>-4.96218607934126E-06+4.09116913523827E-21i</v>
      </c>
      <c r="X21" s="41">
        <f t="shared" si="11"/>
        <v>4.4658023792546002E-5</v>
      </c>
      <c r="Y21" s="41">
        <f t="shared" si="12"/>
        <v>6.8697679890210002E-6</v>
      </c>
      <c r="Z21" s="38">
        <f t="shared" si="1"/>
        <v>-0.99999999999999989</v>
      </c>
      <c r="AA21" s="38">
        <f t="shared" si="2"/>
        <v>-2.5209280439159997E-2</v>
      </c>
      <c r="AB21" s="38">
        <f t="shared" si="3"/>
        <v>-2.2885165661132967E-2</v>
      </c>
      <c r="AC21" s="38">
        <f t="shared" si="4"/>
        <v>-6.8655496983398897E-3</v>
      </c>
      <c r="AD21" s="38">
        <f t="shared" si="5"/>
        <v>-1.1373109939667976</v>
      </c>
      <c r="AE21" s="38">
        <f t="shared" si="6"/>
        <v>-0.99999999999999989</v>
      </c>
      <c r="AF21" s="38">
        <f t="shared" si="7"/>
        <v>-0.86268900603320209</v>
      </c>
      <c r="AG21" s="38">
        <f t="shared" si="8"/>
        <v>-6.6402578629199335E-2</v>
      </c>
      <c r="AH21" s="38">
        <f t="shared" si="9"/>
        <v>-2.5209280439159997E-2</v>
      </c>
      <c r="AI21" s="38">
        <f t="shared" si="10"/>
        <v>1.5984017750879338E-2</v>
      </c>
    </row>
    <row r="22" spans="8:35" x14ac:dyDescent="0.3">
      <c r="H22" s="2"/>
      <c r="I22" s="1" t="s">
        <v>50</v>
      </c>
      <c r="J22" s="1">
        <v>1</v>
      </c>
      <c r="K22" s="2"/>
      <c r="L22" s="1" t="s">
        <v>74</v>
      </c>
      <c r="M22" s="1" t="str">
        <f>IMPRODUCT(beta_b4,IMEXP(IMPRODUCT(Lambda_4,0)))</f>
        <v>-0.0624000000000008+0.657956107958577i</v>
      </c>
      <c r="N22" s="2"/>
      <c r="Q22" s="36" t="str">
        <f>IMSUM(wm,IMPRODUCT(w_a1,Cj_1,IMEXP(IMPRODUCT(Lambda_1,'Thin theory'!P22))),IMPRODUCT(w_a2,Cj_2,IMEXP(IMPRODUCT(Lambda_2,'Thin theory'!P22))),IMPRODUCT(w_a3,Cj_3,IMEXP(IMPRODUCT(Lambda_3,'Thin theory'!P22))),IMPRODUCT(w_a4,Cj_4,IMEXP(IMPRODUCT(Lambda_4,'Thin theory'!P22))))</f>
        <v>7.03046969616641E-06-7.18919213982087E-20i</v>
      </c>
      <c r="R22" s="36" t="str">
        <f>IMSUM(IMPRODUCT(w_b1,Cj_1,IMEXP(IMPRODUCT(Lambda_1,'Thin theory'!P22))),IMPRODUCT(w_b2,Cj_2,IMEXP(IMPRODUCT(Lambda_2,'Thin theory'!P22))),IMPRODUCT(w_b3,Cj_3,IMEXP(IMPRODUCT(Lambda_3,'Thin theory'!P22))),IMPRODUCT(w_b4,Cj_4,IMEXP(IMPRODUCT(Lambda_4,'Thin theory'!P22))))</f>
        <v>1.36588053947266E-06-2.59933235688663E-20i</v>
      </c>
      <c r="S22" s="36" t="str">
        <f>IMSUM(IMPRODUCT(beta_a1,Cj_1,IMEXP(IMPRODUCT(Lambda_1,'Thin theory'!P22))),IMPRODUCT(beta_a2,Cj_2,IMEXP(IMPRODUCT(Lambda_2,'Thin theory'!P22))),IMPRODUCT(beta_a3,Cj_3,IMEXP(IMPRODUCT(Lambda_3,'Thin theory'!P22))),IMPRODUCT(beta_a4,Cj_4,IMEXP(IMPRODUCT(Lambda_4,'Thin theory'!P22))))</f>
        <v>0.0000015084105515358-2.00640929380862E-20i</v>
      </c>
      <c r="T22" s="36" t="str">
        <f>IMSUM(IMPRODUCT(beta_b1,Cj_1,IMEXP(IMPRODUCT(Lambda_1,'Thin theory'!P22))),IMPRODUCT(beta_b2,Cj_2,IMEXP(IMPRODUCT(Lambda_2,'Thin theory'!P22))),IMPRODUCT(beta_b3,Cj_3,IMEXP(IMPRODUCT(Lambda_3,'Thin theory'!P22))),IMPRODUCT(beta_b4,Cj_4,IMEXP(IMPRODUCT(Lambda_4,'Thin theory'!P22))))</f>
        <v>-1.19518074766479E-06+1.59348073202215E-20i</v>
      </c>
      <c r="U22" s="36" t="str">
        <f>IMSUM(IMPRODUCT(Lambda_1,beta_b1,Cj_1,IMEXP(IMPRODUCT(Lambda_1,'Thin theory'!P22))),IMPRODUCT(Lambda_2,beta_b2,Cj_2,IMEXP(IMPRODUCT(Lambda_2,'Thin theory'!P22))),IMPRODUCT(Lambda_3,beta_b3,Cj_3,IMEXP(IMPRODUCT(Lambda_3,'Thin theory'!P22))),IMPRODUCT(Lambda_4,beta_b4,Cj_4,IMEXP(IMPRODUCT(Lambda_4,'Thin theory'!P22))))</f>
        <v>4.98855042220982E-07+2.08052467669338E-20i</v>
      </c>
      <c r="V22" s="36" t="str">
        <f>IMSUM(IMPRODUCT(-1,uc),Nz/Cs*'Thin theory'!P22,IMPRODUCT(-nu/rad,IMSUM(wm*'Thin theory'!P22,IMPRODUCT(IMDIV(w_a1,Lambda_1),Cj_1,IMEXP(IMPRODUCT(Lambda_1,'Thin theory'!P22))),IMPRODUCT(IMDIV(w_a2,Lambda_2),Cj_2,IMEXP(IMPRODUCT(Lambda_2,'Thin theory'!P22))),IMPRODUCT(IMDIV(w_a3,Lambda_3),Cj_3,IMEXP(IMPRODUCT(Lambda_3,'Thin theory'!P22))),IMPRODUCT(IMDIV(w_a4,Lambda_4),Cj_4,IMEXP(IMPRODUCT(Lambda_4,'Thin theory'!P22))))))</f>
        <v>0.0000441026864914283+3.608759635385E-19i</v>
      </c>
      <c r="W22" s="36" t="str">
        <f t="shared" si="0"/>
        <v>-4.97182818176999E-06+4.31351528389252E-21i</v>
      </c>
      <c r="X22" s="41">
        <f t="shared" si="11"/>
        <v>4.4102686491428298E-5</v>
      </c>
      <c r="Y22" s="41">
        <f t="shared" si="12"/>
        <v>7.0304696961664098E-6</v>
      </c>
      <c r="Z22" s="38">
        <f t="shared" si="1"/>
        <v>-1.0000000000000011</v>
      </c>
      <c r="AA22" s="38">
        <f t="shared" si="2"/>
        <v>-1.8781212153343971E-2</v>
      </c>
      <c r="AB22" s="38">
        <f t="shared" si="3"/>
        <v>-2.1889757283237912E-2</v>
      </c>
      <c r="AC22" s="38">
        <f t="shared" si="4"/>
        <v>-6.5669271849713735E-3</v>
      </c>
      <c r="AD22" s="38">
        <f t="shared" si="5"/>
        <v>-1.1313385436994285</v>
      </c>
      <c r="AE22" s="38">
        <f t="shared" si="6"/>
        <v>-1.0000000000000011</v>
      </c>
      <c r="AF22" s="38">
        <f t="shared" si="7"/>
        <v>-0.86866145630057368</v>
      </c>
      <c r="AG22" s="38">
        <f t="shared" si="8"/>
        <v>-5.8182775263172212E-2</v>
      </c>
      <c r="AH22" s="38">
        <f t="shared" si="9"/>
        <v>-1.8781212153343971E-2</v>
      </c>
      <c r="AI22" s="38">
        <f t="shared" si="10"/>
        <v>2.0620350956484273E-2</v>
      </c>
    </row>
    <row r="23" spans="8:35" x14ac:dyDescent="0.3">
      <c r="H23" s="2"/>
      <c r="I23" s="1" t="s">
        <v>51</v>
      </c>
      <c r="J23" s="1" t="str">
        <f>Lambda_3</f>
        <v>-0.601376947377571+0.547041344723748i</v>
      </c>
      <c r="K23" s="2"/>
      <c r="L23" s="1" t="s">
        <v>76</v>
      </c>
      <c r="M23" s="1" t="str">
        <f>IMPRODUCT(Lambda_1,beta_b1,IMEXP(IMPRODUCT(Lambda_1,0)))</f>
        <v>-0.397455115583224+0.361544255801794i</v>
      </c>
      <c r="N23" s="2"/>
      <c r="Q23" s="36" t="str">
        <f>IMSUM(wm,IMPRODUCT(w_a1,Cj_1,IMEXP(IMPRODUCT(Lambda_1,'Thin theory'!P23))),IMPRODUCT(w_a2,Cj_2,IMEXP(IMPRODUCT(Lambda_2,'Thin theory'!P23))),IMPRODUCT(w_a3,Cj_3,IMEXP(IMPRODUCT(Lambda_3,'Thin theory'!P23))),IMPRODUCT(w_a4,Cj_4,IMEXP(IMPRODUCT(Lambda_4,'Thin theory'!P23))))</f>
        <v>7.17549981276033E-06-7.42212620031581E-20i</v>
      </c>
      <c r="R23" s="36" t="str">
        <f>IMSUM(IMPRODUCT(w_b1,Cj_1,IMEXP(IMPRODUCT(Lambda_1,'Thin theory'!P23))),IMPRODUCT(w_b2,Cj_2,IMEXP(IMPRODUCT(Lambda_2,'Thin theory'!P23))),IMPRODUCT(w_b3,Cj_3,IMEXP(IMPRODUCT(Lambda_3,'Thin theory'!P23))),IMPRODUCT(w_b4,Cj_4,IMEXP(IMPRODUCT(Lambda_4,'Thin theory'!P23))))</f>
        <v>1.22989517782189E-06-2.54639279768324E-20i</v>
      </c>
      <c r="S23" s="36" t="str">
        <f>IMSUM(IMPRODUCT(beta_a1,Cj_1,IMEXP(IMPRODUCT(Lambda_1,'Thin theory'!P23))),IMPRODUCT(beta_a2,Cj_2,IMEXP(IMPRODUCT(Lambda_2,'Thin theory'!P23))),IMPRODUCT(beta_a3,Cj_3,IMEXP(IMPRODUCT(Lambda_3,'Thin theory'!P23))),IMPRODUCT(beta_a4,Cj_4,IMEXP(IMPRODUCT(Lambda_4,'Thin theory'!P23))))</f>
        <v>1.37794709092595E-06-1.86347248395946E-20i</v>
      </c>
      <c r="T23" s="36" t="str">
        <f>IMSUM(IMPRODUCT(beta_b1,Cj_1,IMEXP(IMPRODUCT(Lambda_1,'Thin theory'!P23))),IMPRODUCT(beta_b2,Cj_2,IMEXP(IMPRODUCT(Lambda_2,'Thin theory'!P23))),IMPRODUCT(beta_b3,Cj_3,IMEXP(IMPRODUCT(Lambda_3,'Thin theory'!P23))),IMPRODUCT(beta_b4,Cj_4,IMEXP(IMPRODUCT(Lambda_4,'Thin theory'!P23))))</f>
        <v>-0.0000011382606840252+1.81847385863658E-20i</v>
      </c>
      <c r="U23" s="36" t="str">
        <f>IMSUM(IMPRODUCT(Lambda_1,beta_b1,Cj_1,IMEXP(IMPRODUCT(Lambda_1,'Thin theory'!P23))),IMPRODUCT(Lambda_2,beta_b2,Cj_2,IMEXP(IMPRODUCT(Lambda_2,'Thin theory'!P23))),IMPRODUCT(Lambda_3,beta_b3,Cj_3,IMEXP(IMPRODUCT(Lambda_3,'Thin theory'!P23))),IMPRODUCT(Lambda_4,beta_b4,Cj_4,IMEXP(IMPRODUCT(Lambda_4,'Thin theory'!P23))))</f>
        <v>5.18181695864202E-07+2.47227741479849E-20i</v>
      </c>
      <c r="V23" s="36" t="str">
        <f>IMSUM(IMPRODUCT(-1,uc),Nz/Cs*'Thin theory'!P23,IMPRODUCT(-nu/rad,IMSUM(wm*'Thin theory'!P23,IMPRODUCT(IMDIV(w_a1,Lambda_1),Cj_1,IMEXP(IMPRODUCT(Lambda_1,'Thin theory'!P23))),IMPRODUCT(IMDIV(w_a2,Lambda_2),Cj_2,IMEXP(IMPRODUCT(Lambda_2,'Thin theory'!P23))),IMPRODUCT(IMDIV(w_a3,Lambda_3),Cj_3,IMEXP(IMPRODUCT(Lambda_3,'Thin theory'!P23))),IMPRODUCT(IMDIV(w_a4,Lambda_4),Cj_4,IMEXP(IMPRODUCT(Lambda_4,'Thin theory'!P23))))))</f>
        <v>0.0000435463242571692+3.61041134963215E-19i</v>
      </c>
      <c r="W23" s="36" t="str">
        <f t="shared" si="0"/>
        <v>-4.98052998876562E-06+4.45327572018949E-21i</v>
      </c>
      <c r="X23" s="41">
        <f t="shared" si="11"/>
        <v>4.3546324257169197E-5</v>
      </c>
      <c r="Y23" s="41">
        <f t="shared" si="12"/>
        <v>7.1754998127603297E-6</v>
      </c>
      <c r="Z23" s="38">
        <f t="shared" si="1"/>
        <v>-1</v>
      </c>
      <c r="AA23" s="38">
        <f t="shared" si="2"/>
        <v>-1.2980007489586866E-2</v>
      </c>
      <c r="AB23" s="38">
        <f t="shared" si="3"/>
        <v>-2.0847265275186811E-2</v>
      </c>
      <c r="AC23" s="38">
        <f t="shared" si="4"/>
        <v>-6.2541795825560428E-3</v>
      </c>
      <c r="AD23" s="38">
        <f t="shared" si="5"/>
        <v>-1.1250835916511208</v>
      </c>
      <c r="AE23" s="38">
        <f t="shared" si="6"/>
        <v>-1</v>
      </c>
      <c r="AF23" s="38">
        <f t="shared" si="7"/>
        <v>-0.87491640834887918</v>
      </c>
      <c r="AG23" s="38">
        <f t="shared" si="8"/>
        <v>-5.0505084984923121E-2</v>
      </c>
      <c r="AH23" s="38">
        <f t="shared" si="9"/>
        <v>-1.2980007489586866E-2</v>
      </c>
      <c r="AI23" s="38">
        <f t="shared" si="10"/>
        <v>2.4545070005749389E-2</v>
      </c>
    </row>
    <row r="24" spans="8:35" x14ac:dyDescent="0.3">
      <c r="H24" s="2"/>
      <c r="I24" s="1" t="s">
        <v>52</v>
      </c>
      <c r="J24" s="1" t="str">
        <f>IMDIV(Lambda_3,IMSUM(1,IMPRODUCT(-1,Lambda_3,Lambda_3,(D/k/G/t))))</f>
        <v>-0.487818342925221+0.650339703524261i</v>
      </c>
      <c r="K24" s="2"/>
      <c r="L24" s="1" t="s">
        <v>77</v>
      </c>
      <c r="M24" s="1" t="str">
        <f>IMPRODUCT(Lambda_2,beta_b2,IMEXP(IMPRODUCT(Lambda_2,0)))</f>
        <v>-0.397455115583224-0.361544255801794i</v>
      </c>
      <c r="N24" s="2"/>
      <c r="Q24" s="36" t="str">
        <f>IMSUM(wm,IMPRODUCT(w_a1,Cj_1,IMEXP(IMPRODUCT(Lambda_1,'Thin theory'!P24))),IMPRODUCT(w_a2,Cj_2,IMEXP(IMPRODUCT(Lambda_2,'Thin theory'!P24))),IMPRODUCT(w_a3,Cj_3,IMEXP(IMPRODUCT(Lambda_3,'Thin theory'!P24))),IMPRODUCT(w_a4,Cj_4,IMEXP(IMPRODUCT(Lambda_4,'Thin theory'!P24))))</f>
        <v>7.30579538341427E-06-7.73976355553617E-20i</v>
      </c>
      <c r="R24" s="36" t="str">
        <f>IMSUM(IMPRODUCT(w_b1,Cj_1,IMEXP(IMPRODUCT(Lambda_1,'Thin theory'!P24))),IMPRODUCT(w_b2,Cj_2,IMEXP(IMPRODUCT(Lambda_2,'Thin theory'!P24))),IMPRODUCT(w_b3,Cj_3,IMEXP(IMPRODUCT(Lambda_3,'Thin theory'!P24))),IMPRODUCT(w_b4,Cj_4,IMEXP(IMPRODUCT(Lambda_4,'Thin theory'!P24))))</f>
        <v>1.10229981838746E-06-2.45110159111713E-20i</v>
      </c>
      <c r="S24" s="36" t="str">
        <f>IMSUM(IMPRODUCT(beta_a1,Cj_1,IMEXP(IMPRODUCT(Lambda_1,'Thin theory'!P24))),IMPRODUCT(beta_a2,Cj_2,IMEXP(IMPRODUCT(Lambda_2,'Thin theory'!P24))),IMPRODUCT(beta_a3,Cj_3,IMEXP(IMPRODUCT(Lambda_3,'Thin theory'!P24))),IMPRODUCT(beta_a4,Cj_4,IMEXP(IMPRODUCT(Lambda_4,'Thin theory'!P24))))</f>
        <v>1.25395390489408E-06-1.68877193858826E-20i</v>
      </c>
      <c r="T24" s="36" t="str">
        <f>IMSUM(IMPRODUCT(beta_b1,Cj_1,IMEXP(IMPRODUCT(Lambda_1,'Thin theory'!P24))),IMPRODUCT(beta_b2,Cj_2,IMEXP(IMPRODUCT(Lambda_2,'Thin theory'!P24))),IMPRODUCT(beta_b3,Cj_3,IMEXP(IMPRODUCT(Lambda_3,'Thin theory'!P24))),IMPRODUCT(beta_b4,Cj_4,IMEXP(IMPRODUCT(Lambda_4,'Thin theory'!P24))))</f>
        <v>-1.07956214516294E-06+2.17846286121965E-20i</v>
      </c>
      <c r="U24" s="36" t="str">
        <f>IMSUM(IMPRODUCT(Lambda_1,beta_b1,Cj_1,IMEXP(IMPRODUCT(Lambda_1,'Thin theory'!P24))),IMPRODUCT(Lambda_2,beta_b2,Cj_2,IMEXP(IMPRODUCT(Lambda_2,'Thin theory'!P24))),IMPRODUCT(Lambda_3,beta_b3,Cj_3,IMEXP(IMPRODUCT(Lambda_3,'Thin theory'!P24))),IMPRODUCT(Lambda_4,beta_b4,Cj_4,IMEXP(IMPRODUCT(Lambda_4,'Thin theory'!P24))))</f>
        <v>5.3078930277315E-07+2.78462081409851E-20i</v>
      </c>
      <c r="V24" s="36" t="str">
        <f>IMSUM(IMPRODUCT(-1,uc),Nz/Cs*'Thin theory'!P24,IMPRODUCT(-nu/rad,IMSUM(wm*'Thin theory'!P24,IMPRODUCT(IMDIV(w_a1,Lambda_1),Cj_1,IMEXP(IMPRODUCT(Lambda_1,'Thin theory'!P24))),IMPRODUCT(IMDIV(w_a2,Lambda_2),Cj_2,IMEXP(IMPRODUCT(Lambda_2,'Thin theory'!P24))),IMPRODUCT(IMDIV(w_a3,Lambda_3),Cj_3,IMEXP(IMPRODUCT(Lambda_3,'Thin theory'!P24))),IMPRODUCT(IMDIV(w_a4,Lambda_4),Cj_4,IMEXP(IMPRODUCT(Lambda_4,'Thin theory'!P24))))))</f>
        <v>0.0000429890390769301+3.61530296490254E-19i</v>
      </c>
      <c r="W24" s="36" t="str">
        <f t="shared" si="0"/>
        <v>-4.98834772300486E-06+4.6438581333217E-21i</v>
      </c>
      <c r="X24" s="41">
        <f t="shared" si="11"/>
        <v>4.2989039076930098E-5</v>
      </c>
      <c r="Y24" s="41">
        <f t="shared" si="12"/>
        <v>7.3057953834142697E-6</v>
      </c>
      <c r="Z24" s="38">
        <f t="shared" si="1"/>
        <v>-1.0000000000000009</v>
      </c>
      <c r="AA24" s="38">
        <f t="shared" si="2"/>
        <v>-7.7681846634294642E-3</v>
      </c>
      <c r="AB24" s="38">
        <f t="shared" si="3"/>
        <v>-1.9772200460859705E-2</v>
      </c>
      <c r="AC24" s="38">
        <f t="shared" si="4"/>
        <v>-5.9316601382579113E-3</v>
      </c>
      <c r="AD24" s="38">
        <f t="shared" si="5"/>
        <v>-1.1186332027651591</v>
      </c>
      <c r="AE24" s="38">
        <f t="shared" si="6"/>
        <v>-1.0000000000000009</v>
      </c>
      <c r="AF24" s="38">
        <f t="shared" si="7"/>
        <v>-0.88136679723484268</v>
      </c>
      <c r="AG24" s="38">
        <f t="shared" si="8"/>
        <v>-4.3358145492976931E-2</v>
      </c>
      <c r="AH24" s="38">
        <f t="shared" si="9"/>
        <v>-7.7681846634294642E-3</v>
      </c>
      <c r="AI24" s="38">
        <f t="shared" si="10"/>
        <v>2.7821776166118004E-2</v>
      </c>
    </row>
    <row r="25" spans="8:35" x14ac:dyDescent="0.3">
      <c r="H25" s="2"/>
      <c r="I25" s="1" t="s">
        <v>53</v>
      </c>
      <c r="J25" s="1" t="str">
        <f>IMDIV(IMPRODUCT(Lambda_3,Lambda_3),IMSUM(1,IMPRODUCT(-1,Lambda_3,Lambda_3,(D/k/G/t))))</f>
        <v>-0.0624000000000008-0.657956107958577i</v>
      </c>
      <c r="K25" s="2"/>
      <c r="L25" s="1" t="s">
        <v>78</v>
      </c>
      <c r="M25" s="1" t="str">
        <f>IMPRODUCT(Lambda_3,beta_b3,IMEXP(IMPRODUCT(Lambda_3,0)))</f>
        <v>0.397455115583224+0.361544255801794i</v>
      </c>
      <c r="N25" s="2"/>
      <c r="Q25" s="36" t="str">
        <f>IMSUM(wm,IMPRODUCT(w_a1,Cj_1,IMEXP(IMPRODUCT(Lambda_1,'Thin theory'!P25))),IMPRODUCT(w_a2,Cj_2,IMEXP(IMPRODUCT(Lambda_2,'Thin theory'!P25))),IMPRODUCT(w_a3,Cj_3,IMEXP(IMPRODUCT(Lambda_3,'Thin theory'!P25))),IMPRODUCT(w_a4,Cj_4,IMEXP(IMPRODUCT(Lambda_4,'Thin theory'!P25))))</f>
        <v>7.42229278149741E-06-8.04681299891585E-20i</v>
      </c>
      <c r="R25" s="36" t="str">
        <f>IMSUM(IMPRODUCT(w_b1,Cj_1,IMEXP(IMPRODUCT(Lambda_1,'Thin theory'!P25))),IMPRODUCT(w_b2,Cj_2,IMEXP(IMPRODUCT(Lambda_2,'Thin theory'!P25))),IMPRODUCT(w_b3,Cj_3,IMEXP(IMPRODUCT(Lambda_3,'Thin theory'!P25))),IMPRODUCT(w_b4,Cj_4,IMEXP(IMPRODUCT(Lambda_4,'Thin theory'!P25))))</f>
        <v>9.83053727849948E-07-2.32934060494933E-20i</v>
      </c>
      <c r="S25" s="36" t="str">
        <f>IMSUM(IMPRODUCT(beta_a1,Cj_1,IMEXP(IMPRODUCT(Lambda_1,'Thin theory'!P25))),IMPRODUCT(beta_a2,Cj_2,IMEXP(IMPRODUCT(Lambda_2,'Thin theory'!P25))),IMPRODUCT(beta_a3,Cj_3,IMEXP(IMPRODUCT(Lambda_3,'Thin theory'!P25))),IMPRODUCT(beta_a4,Cj_4,IMEXP(IMPRODUCT(Lambda_4,'Thin theory'!P25))))</f>
        <v>0.000001136589314233-1.3711345833679E-20i</v>
      </c>
      <c r="T25" s="36" t="str">
        <f>IMSUM(IMPRODUCT(beta_b1,Cj_1,IMEXP(IMPRODUCT(Lambda_1,'Thin theory'!P25))),IMPRODUCT(beta_b2,Cj_2,IMEXP(IMPRODUCT(Lambda_2,'Thin theory'!P25))),IMPRODUCT(beta_b3,Cj_3,IMEXP(IMPRODUCT(Lambda_3,'Thin theory'!P25))),IMPRODUCT(beta_b4,Cj_4,IMEXP(IMPRODUCT(Lambda_4,'Thin theory'!P25))))</f>
        <v>-1.01979697111282E-06+2.45904252499764E-20i</v>
      </c>
      <c r="U25" s="36" t="str">
        <f>IMSUM(IMPRODUCT(Lambda_1,beta_b1,Cj_1,IMEXP(IMPRODUCT(Lambda_1,'Thin theory'!P25))),IMPRODUCT(Lambda_2,beta_b2,Cj_2,IMEXP(IMPRODUCT(Lambda_2,'Thin theory'!P25))),IMPRODUCT(Lambda_3,beta_b3,Cj_3,IMEXP(IMPRODUCT(Lambda_3,'Thin theory'!P25))),IMPRODUCT(Lambda_4,beta_b4,Cj_4,IMEXP(IMPRODUCT(Lambda_4,'Thin theory'!P25))))</f>
        <v>5.37374552340664E-07+3.21872519956634E-20i</v>
      </c>
      <c r="V25" s="36" t="str">
        <f>IMSUM(IMPRODUCT(-1,uc),Nz/Cs*'Thin theory'!P25,IMPRODUCT(-nu/rad,IMSUM(wm*'Thin theory'!P25,IMPRODUCT(IMDIV(w_a1,Lambda_1),Cj_1,IMEXP(IMPRODUCT(Lambda_1,'Thin theory'!P25))),IMPRODUCT(IMDIV(w_a2,Lambda_2),Cj_2,IMEXP(IMPRODUCT(Lambda_2,'Thin theory'!P25))),IMPRODUCT(IMDIV(w_a3,Lambda_3),Cj_3,IMEXP(IMPRODUCT(Lambda_3,'Thin theory'!P25))),IMPRODUCT(IMDIV(w_a4,Lambda_4),Cj_4,IMEXP(IMPRODUCT(Lambda_4,'Thin theory'!P25))))))</f>
        <v>0.0000424309266498034+3.62051221752815E-19i</v>
      </c>
      <c r="W25" s="36" t="str">
        <f t="shared" si="0"/>
        <v>-4.99533756688985E-06+4.82808779934951E-21i</v>
      </c>
      <c r="X25" s="41">
        <f t="shared" si="11"/>
        <v>4.2430926649803397E-5</v>
      </c>
      <c r="Y25" s="41">
        <f t="shared" si="12"/>
        <v>7.42229278149741E-6</v>
      </c>
      <c r="Z25" s="38">
        <f t="shared" si="1"/>
        <v>-1.0000000000000011</v>
      </c>
      <c r="AA25" s="38">
        <f t="shared" si="2"/>
        <v>-3.1082887401039289E-3</v>
      </c>
      <c r="AB25" s="38">
        <f t="shared" si="3"/>
        <v>-1.8677600203531503E-2</v>
      </c>
      <c r="AC25" s="38">
        <f t="shared" si="4"/>
        <v>-5.6032800610594504E-3</v>
      </c>
      <c r="AD25" s="38">
        <f t="shared" si="5"/>
        <v>-1.11206560122119</v>
      </c>
      <c r="AE25" s="38">
        <f t="shared" si="6"/>
        <v>-1.0000000000000011</v>
      </c>
      <c r="AF25" s="38">
        <f t="shared" si="7"/>
        <v>-0.88793439877881208</v>
      </c>
      <c r="AG25" s="38">
        <f t="shared" si="8"/>
        <v>-3.6727969106460631E-2</v>
      </c>
      <c r="AH25" s="38">
        <f t="shared" si="9"/>
        <v>-3.1082887401039289E-3</v>
      </c>
      <c r="AI25" s="38">
        <f t="shared" si="10"/>
        <v>3.0511391626252771E-2</v>
      </c>
    </row>
    <row r="26" spans="8:35" x14ac:dyDescent="0.3">
      <c r="H26" s="2"/>
      <c r="I26" s="54" t="s">
        <v>39</v>
      </c>
      <c r="J26" s="95"/>
      <c r="K26" s="2"/>
      <c r="L26" s="1" t="s">
        <v>79</v>
      </c>
      <c r="M26" s="1" t="str">
        <f>IMPRODUCT(Lambda_4,beta_b4,IMEXP(IMPRODUCT(Lambda_4,0)))</f>
        <v>0.397455115583224-0.361544255801794i</v>
      </c>
      <c r="N26" s="2"/>
      <c r="Q26" s="36" t="str">
        <f>IMSUM(wm,IMPRODUCT(w_a1,Cj_1,IMEXP(IMPRODUCT(Lambda_1,'Thin theory'!P26))),IMPRODUCT(w_a2,Cj_2,IMEXP(IMPRODUCT(Lambda_2,'Thin theory'!P26))),IMPRODUCT(w_a3,Cj_3,IMEXP(IMPRODUCT(Lambda_3,'Thin theory'!P26))),IMPRODUCT(w_a4,Cj_4,IMEXP(IMPRODUCT(Lambda_4,'Thin theory'!P26))))</f>
        <v>7.52592026558728E-06-8.24798332388875E-20i</v>
      </c>
      <c r="R26" s="36" t="str">
        <f>IMSUM(IMPRODUCT(w_b1,Cj_1,IMEXP(IMPRODUCT(Lambda_1,'Thin theory'!P26))),IMPRODUCT(w_b2,Cj_2,IMEXP(IMPRODUCT(Lambda_2,'Thin theory'!P26))),IMPRODUCT(w_b3,Cj_3,IMEXP(IMPRODUCT(Lambda_3,'Thin theory'!P26))),IMPRODUCT(w_b4,Cj_4,IMEXP(IMPRODUCT(Lambda_4,'Thin theory'!P26))))</f>
        <v>8.72053862711974E-07-2.16522797141881E-20i</v>
      </c>
      <c r="S26" s="36" t="str">
        <f>IMSUM(IMPRODUCT(beta_a1,Cj_1,IMEXP(IMPRODUCT(Lambda_1,'Thin theory'!P26))),IMPRODUCT(beta_a2,Cj_2,IMEXP(IMPRODUCT(Lambda_2,'Thin theory'!P26))),IMPRODUCT(beta_a3,Cj_3,IMEXP(IMPRODUCT(Lambda_3,'Thin theory'!P26))),IMPRODUCT(beta_a4,Cj_4,IMEXP(IMPRODUCT(Lambda_4,'Thin theory'!P26))))</f>
        <v>1.02593631279408E-06-1.00055766894414E-20i</v>
      </c>
      <c r="T26" s="36" t="str">
        <f>IMSUM(IMPRODUCT(beta_b1,Cj_1,IMEXP(IMPRODUCT(Lambda_1,'Thin theory'!P26))),IMPRODUCT(beta_b2,Cj_2,IMEXP(IMPRODUCT(Lambda_2,'Thin theory'!P26))),IMPRODUCT(beta_b3,Cj_3,IMEXP(IMPRODUCT(Lambda_3,'Thin theory'!P26))),IMPRODUCT(beta_b4,Cj_4,IMEXP(IMPRODUCT(Lambda_4,'Thin theory'!P26))))</f>
        <v>-9.59601660174019E-07+2.85013351861271E-20i</v>
      </c>
      <c r="U26" s="36" t="str">
        <f>IMSUM(IMPRODUCT(Lambda_1,beta_b1,Cj_1,IMEXP(IMPRODUCT(Lambda_1,'Thin theory'!P26))),IMPRODUCT(Lambda_2,beta_b2,Cj_2,IMEXP(IMPRODUCT(Lambda_2,'Thin theory'!P26))),IMPRODUCT(Lambda_3,beta_b3,Cj_3,IMEXP(IMPRODUCT(Lambda_3,'Thin theory'!P26))),IMPRODUCT(Lambda_4,beta_b4,Cj_4,IMEXP(IMPRODUCT(Lambda_4,'Thin theory'!P26))))</f>
        <v>5.38588575287362E-07+3.57342024622908E-20i</v>
      </c>
      <c r="V26" s="36" t="str">
        <f>IMSUM(IMPRODUCT(-1,uc),Nz/Cs*'Thin theory'!P26,IMPRODUCT(-nu/rad,IMSUM(wm*'Thin theory'!P26,IMPRODUCT(IMDIV(w_a1,Lambda_1),Cj_1,IMEXP(IMPRODUCT(Lambda_1,'Thin theory'!P26))),IMPRODUCT(IMDIV(w_a2,Lambda_2),Cj_2,IMEXP(IMPRODUCT(Lambda_2,'Thin theory'!P26))),IMPRODUCT(IMDIV(w_a3,Lambda_3),Cj_3,IMEXP(IMPRODUCT(Lambda_3,'Thin theory'!P26))),IMPRODUCT(IMDIV(w_a4,Lambda_4),Cj_4,IMEXP(IMPRODUCT(Lambda_4,'Thin theory'!P26))))))</f>
        <v>0.0000418720764168223+3.62584852509586E-19i</v>
      </c>
      <c r="W26" s="36" t="str">
        <f t="shared" si="0"/>
        <v>-5.00155521593524E-06+4.94878999433325E-21i</v>
      </c>
      <c r="X26" s="41">
        <f t="shared" si="11"/>
        <v>4.1872076416822301E-5</v>
      </c>
      <c r="Y26" s="41">
        <f t="shared" si="12"/>
        <v>7.5259202655872796E-6</v>
      </c>
      <c r="Z26" s="38">
        <f t="shared" si="1"/>
        <v>-1.0000000000000007</v>
      </c>
      <c r="AA26" s="38">
        <f t="shared" si="2"/>
        <v>1.0368106234910138E-3</v>
      </c>
      <c r="AB26" s="38">
        <f t="shared" si="3"/>
        <v>-1.7575121981209141E-2</v>
      </c>
      <c r="AC26" s="38">
        <f t="shared" si="4"/>
        <v>-5.2725365943627417E-3</v>
      </c>
      <c r="AD26" s="38">
        <f t="shared" si="5"/>
        <v>-1.1054507318872555</v>
      </c>
      <c r="AE26" s="38">
        <f t="shared" si="6"/>
        <v>-1.0000000000000007</v>
      </c>
      <c r="AF26" s="38">
        <f t="shared" si="7"/>
        <v>-0.89454926811274582</v>
      </c>
      <c r="AG26" s="38">
        <f t="shared" si="8"/>
        <v>-3.0598408942685437E-2</v>
      </c>
      <c r="AH26" s="38">
        <f t="shared" si="9"/>
        <v>1.0368106234910138E-3</v>
      </c>
      <c r="AI26" s="38">
        <f t="shared" si="10"/>
        <v>3.2672030189667467E-2</v>
      </c>
    </row>
    <row r="27" spans="8:35" x14ac:dyDescent="0.3">
      <c r="H27" s="2"/>
      <c r="I27" s="1" t="s">
        <v>54</v>
      </c>
      <c r="J27" s="1">
        <v>1</v>
      </c>
      <c r="K27" s="2"/>
      <c r="L27" s="54" t="s">
        <v>75</v>
      </c>
      <c r="M27" s="95"/>
      <c r="N27" s="2"/>
      <c r="Q27" s="36" t="str">
        <f>IMSUM(wm,IMPRODUCT(w_a1,Cj_1,IMEXP(IMPRODUCT(Lambda_1,'Thin theory'!P27))),IMPRODUCT(w_a2,Cj_2,IMEXP(IMPRODUCT(Lambda_2,'Thin theory'!P27))),IMPRODUCT(w_a3,Cj_3,IMEXP(IMPRODUCT(Lambda_3,'Thin theory'!P27))),IMPRODUCT(w_a4,Cj_4,IMEXP(IMPRODUCT(Lambda_4,'Thin theory'!P27))))</f>
        <v>7.61759146519974E-06-8.41738991333961E-20i</v>
      </c>
      <c r="R27" s="36" t="str">
        <f>IMSUM(IMPRODUCT(w_b1,Cj_1,IMEXP(IMPRODUCT(Lambda_1,'Thin theory'!P27))),IMPRODUCT(w_b2,Cj_2,IMEXP(IMPRODUCT(Lambda_2,'Thin theory'!P27))),IMPRODUCT(w_b3,Cj_3,IMEXP(IMPRODUCT(Lambda_3,'Thin theory'!P27))),IMPRODUCT(w_b4,Cj_4,IMEXP(IMPRODUCT(Lambda_4,'Thin theory'!P27))))</f>
        <v>7.69142849306192E-07-1.94288182276455E-20i</v>
      </c>
      <c r="S27" s="36" t="str">
        <f>IMSUM(IMPRODUCT(beta_a1,Cj_1,IMEXP(IMPRODUCT(Lambda_1,'Thin theory'!P27))),IMPRODUCT(beta_a2,Cj_2,IMEXP(IMPRODUCT(Lambda_2,'Thin theory'!P27))),IMPRODUCT(beta_a3,Cj_3,IMEXP(IMPRODUCT(Lambda_3,'Thin theory'!P27))),IMPRODUCT(beta_a4,Cj_4,IMEXP(IMPRODUCT(Lambda_4,'Thin theory'!P27))))</f>
        <v>9.22010707205815E-07-6.7762635780344E-21i</v>
      </c>
      <c r="T27" s="36" t="str">
        <f>IMSUM(IMPRODUCT(beta_b1,Cj_1,IMEXP(IMPRODUCT(Lambda_1,'Thin theory'!P27))),IMPRODUCT(beta_b2,Cj_2,IMEXP(IMPRODUCT(Lambda_2,'Thin theory'!P27))),IMPRODUCT(beta_b3,Cj_3,IMEXP(IMPRODUCT(Lambda_3,'Thin theory'!P27))),IMPRODUCT(beta_b4,Cj_4,IMEXP(IMPRODUCT(Lambda_4,'Thin theory'!P27))))</f>
        <v>-8.99542434239619E-07+3.27001039754463E-20i</v>
      </c>
      <c r="U27" s="36" t="str">
        <f>IMSUM(IMPRODUCT(Lambda_1,beta_b1,Cj_1,IMEXP(IMPRODUCT(Lambda_1,'Thin theory'!P27))),IMPRODUCT(Lambda_2,beta_b2,Cj_2,IMEXP(IMPRODUCT(Lambda_2,'Thin theory'!P27))),IMPRODUCT(Lambda_3,beta_b3,Cj_3,IMEXP(IMPRODUCT(Lambda_3,'Thin theory'!P27))),IMPRODUCT(Lambda_4,beta_b4,Cj_4,IMEXP(IMPRODUCT(Lambda_4,'Thin theory'!P27))))</f>
        <v>5.35037502648677E-07+3.92811529289182E-20i</v>
      </c>
      <c r="V27" s="36" t="str">
        <f>IMSUM(IMPRODUCT(-1,uc),Nz/Cs*'Thin theory'!P27,IMPRODUCT(-nu/rad,IMSUM(wm*'Thin theory'!P27,IMPRODUCT(IMDIV(w_a1,Lambda_1),Cj_1,IMEXP(IMPRODUCT(Lambda_1,'Thin theory'!P27))),IMPRODUCT(IMDIV(w_a2,Lambda_2),Cj_2,IMEXP(IMPRODUCT(Lambda_2,'Thin theory'!P27))),IMPRODUCT(IMDIV(w_a3,Lambda_3),Cj_3,IMEXP(IMPRODUCT(Lambda_3,'Thin theory'!P27))),IMPRODUCT(IMDIV(w_a4,Lambda_4),Cj_4,IMEXP(IMPRODUCT(Lambda_4,'Thin theory'!P27))))))</f>
        <v>0.0000413125716377442+3.63137541507669E-19i</v>
      </c>
      <c r="W27" s="36" t="str">
        <f t="shared" si="0"/>
        <v>-5.00705548791198E-06+5.05043394800377E-21i</v>
      </c>
      <c r="X27" s="41">
        <f t="shared" si="11"/>
        <v>4.13125716377442E-5</v>
      </c>
      <c r="Y27" s="41">
        <f t="shared" si="12"/>
        <v>7.6175914651997401E-6</v>
      </c>
      <c r="Z27" s="38">
        <f t="shared" si="1"/>
        <v>-0.999999999999999</v>
      </c>
      <c r="AA27" s="38">
        <f t="shared" si="2"/>
        <v>4.7036586079899365E-3</v>
      </c>
      <c r="AB27" s="38">
        <f t="shared" si="3"/>
        <v>-1.6475136158234781E-2</v>
      </c>
      <c r="AC27" s="38">
        <f t="shared" si="4"/>
        <v>-4.9425408474704337E-3</v>
      </c>
      <c r="AD27" s="38">
        <f t="shared" si="5"/>
        <v>-1.0988508169494078</v>
      </c>
      <c r="AE27" s="38">
        <f t="shared" si="6"/>
        <v>-0.999999999999999</v>
      </c>
      <c r="AF27" s="38">
        <f t="shared" si="7"/>
        <v>-0.90114918305059033</v>
      </c>
      <c r="AG27" s="38">
        <f t="shared" si="8"/>
        <v>-2.4951586476832668E-2</v>
      </c>
      <c r="AH27" s="38">
        <f t="shared" si="9"/>
        <v>4.7036586079899365E-3</v>
      </c>
      <c r="AI27" s="38">
        <f t="shared" si="10"/>
        <v>3.435890369281254E-2</v>
      </c>
    </row>
    <row r="28" spans="8:35" x14ac:dyDescent="0.3">
      <c r="H28" s="2"/>
      <c r="I28" s="1" t="s">
        <v>55</v>
      </c>
      <c r="J28" s="1" t="str">
        <f>Lambda_4</f>
        <v>-0.601376947377571-0.547041344723748i</v>
      </c>
      <c r="K28" s="2"/>
      <c r="L28" s="1" t="s">
        <v>80</v>
      </c>
      <c r="M28" s="1" t="str">
        <f>IMPRODUCT(w_a1,IMEXP(IMPRODUCT(Lambda_1,L)))</f>
        <v>820.222678882527-138.330011837523i</v>
      </c>
      <c r="N28" s="2"/>
      <c r="Q28" s="36" t="str">
        <f>IMSUM(wm,IMPRODUCT(w_a1,Cj_1,IMEXP(IMPRODUCT(Lambda_1,'Thin theory'!P28))),IMPRODUCT(w_a2,Cj_2,IMEXP(IMPRODUCT(Lambda_2,'Thin theory'!P28))),IMPRODUCT(w_a3,Cj_3,IMEXP(IMPRODUCT(Lambda_3,'Thin theory'!P28))),IMPRODUCT(w_a4,Cj_4,IMEXP(IMPRODUCT(Lambda_4,'Thin theory'!P28))))</f>
        <v>0.0000076981997223471-8.57620859094979E-20i</v>
      </c>
      <c r="R28" s="36" t="str">
        <f>IMSUM(IMPRODUCT(w_b1,Cj_1,IMEXP(IMPRODUCT(Lambda_1,'Thin theory'!P28))),IMPRODUCT(w_b2,Cj_2,IMEXP(IMPRODUCT(Lambda_2,'Thin theory'!P28))),IMPRODUCT(w_b3,Cj_3,IMEXP(IMPRODUCT(Lambda_3,'Thin theory'!P28))),IMPRODUCT(w_b4,Cj_4,IMEXP(IMPRODUCT(Lambda_4,'Thin theory'!P28))))</f>
        <v>6.7411631677713E-07-1.5723049083408E-20i</v>
      </c>
      <c r="S28" s="36" t="str">
        <f>IMSUM(IMPRODUCT(beta_a1,Cj_1,IMEXP(IMPRODUCT(Lambda_1,'Thin theory'!P28))),IMPRODUCT(beta_a2,Cj_2,IMEXP(IMPRODUCT(Lambda_2,'Thin theory'!P28))),IMPRODUCT(beta_a3,Cj_3,IMEXP(IMPRODUCT(Lambda_3,'Thin theory'!P28))),IMPRODUCT(beta_a4,Cj_4,IMEXP(IMPRODUCT(Lambda_4,'Thin theory'!P28))))</f>
        <v>8.24768694405442E-07-4.02340649945793E-21i</v>
      </c>
      <c r="T28" s="36" t="str">
        <f>IMSUM(IMPRODUCT(beta_b1,Cj_1,IMEXP(IMPRODUCT(Lambda_1,'Thin theory'!P28))),IMPRODUCT(beta_b2,Cj_2,IMEXP(IMPRODUCT(Lambda_2,'Thin theory'!P28))),IMPRODUCT(beta_b3,Cj_3,IMEXP(IMPRODUCT(Lambda_3,'Thin theory'!P28))),IMPRODUCT(beta_b4,Cj_4,IMEXP(IMPRODUCT(Lambda_4,'Thin theory'!P28))))</f>
        <v>-8.40120224640815E-07+3.74613555813015E-20i</v>
      </c>
      <c r="U28" s="36" t="str">
        <f>IMSUM(IMPRODUCT(Lambda_1,beta_b1,Cj_1,IMEXP(IMPRODUCT(Lambda_1,'Thin theory'!P28))),IMPRODUCT(Lambda_2,beta_b2,Cj_2,IMEXP(IMPRODUCT(Lambda_2,'Thin theory'!P28))),IMPRODUCT(Lambda_3,beta_b3,Cj_3,IMEXP(IMPRODUCT(Lambda_3,'Thin theory'!P28))),IMPRODUCT(Lambda_4,beta_b4,Cj_4,IMEXP(IMPRODUCT(Lambda_4,'Thin theory'!P28))))</f>
        <v>5.27283321699088E-07+4.39927736980202E-20i</v>
      </c>
      <c r="V28" s="36" t="str">
        <f>IMSUM(IMPRODUCT(-1,uc),Nz/Cs*'Thin theory'!P28,IMPRODUCT(-nu/rad,IMSUM(wm*'Thin theory'!P28,IMPRODUCT(IMDIV(w_a1,Lambda_1),Cj_1,IMEXP(IMPRODUCT(Lambda_1,'Thin theory'!P28))),IMPRODUCT(IMDIV(w_a2,Lambda_2),Cj_2,IMEXP(IMPRODUCT(Lambda_2,'Thin theory'!P28))),IMPRODUCT(IMDIV(w_a3,Lambda_3),Cj_3,IMEXP(IMPRODUCT(Lambda_3,'Thin theory'!P28))),IMPRODUCT(IMDIV(w_a4,Lambda_4),Cj_4,IMEXP(IMPRODUCT(Lambda_4,'Thin theory'!P28))))))</f>
        <v>0.0000407524895086235+3.6371564149417E-19i</v>
      </c>
      <c r="W28" s="36" t="str">
        <f t="shared" si="0"/>
        <v>-5.01189198334083E-06+5.14572515456987E-21i</v>
      </c>
      <c r="X28" s="41">
        <f t="shared" si="11"/>
        <v>4.0752489508623501E-5</v>
      </c>
      <c r="Y28" s="41">
        <f t="shared" si="12"/>
        <v>7.6981997223470996E-6</v>
      </c>
      <c r="Z28" s="38">
        <f t="shared" si="1"/>
        <v>-1.0000000000000009</v>
      </c>
      <c r="AA28" s="38">
        <f t="shared" si="2"/>
        <v>7.9279888938837348E-3</v>
      </c>
      <c r="AB28" s="38">
        <f t="shared" si="3"/>
        <v>-1.5386817301113829E-2</v>
      </c>
      <c r="AC28" s="38">
        <f t="shared" si="4"/>
        <v>-4.6160451903341487E-3</v>
      </c>
      <c r="AD28" s="38">
        <f t="shared" si="5"/>
        <v>-1.0923209038066839</v>
      </c>
      <c r="AE28" s="38">
        <f t="shared" si="6"/>
        <v>-1.0000000000000009</v>
      </c>
      <c r="AF28" s="38">
        <f t="shared" si="7"/>
        <v>-0.90767909619331788</v>
      </c>
      <c r="AG28" s="38">
        <f t="shared" si="8"/>
        <v>-1.9768282248121157E-2</v>
      </c>
      <c r="AH28" s="38">
        <f t="shared" si="9"/>
        <v>7.9279888938837348E-3</v>
      </c>
      <c r="AI28" s="38">
        <f t="shared" si="10"/>
        <v>3.562426003588863E-2</v>
      </c>
    </row>
    <row r="29" spans="8:35" x14ac:dyDescent="0.3">
      <c r="H29" s="2"/>
      <c r="I29" s="1" t="s">
        <v>56</v>
      </c>
      <c r="J29" s="1" t="str">
        <f>IMDIV(Lambda_4,IMSUM(1,IMPRODUCT(-1,Lambda_4,Lambda_4,(D/k/G/t))))</f>
        <v>-0.487818342925221-0.650339703524261i</v>
      </c>
      <c r="K29" s="2"/>
      <c r="L29" s="1" t="s">
        <v>81</v>
      </c>
      <c r="M29" s="1" t="str">
        <f>IMPRODUCT(w_a2,IMEXP(IMPRODUCT(Lambda_2,L)))</f>
        <v>820.222678882527+138.330011837523i</v>
      </c>
      <c r="N29" s="2"/>
      <c r="Q29" s="36" t="str">
        <f>IMSUM(wm,IMPRODUCT(w_a1,Cj_1,IMEXP(IMPRODUCT(Lambda_1,'Thin theory'!P29))),IMPRODUCT(w_a2,Cj_2,IMEXP(IMPRODUCT(Lambda_2,'Thin theory'!P29))),IMPRODUCT(w_a3,Cj_3,IMEXP(IMPRODUCT(Lambda_3,'Thin theory'!P29))),IMPRODUCT(w_a4,Cj_4,IMEXP(IMPRODUCT(Lambda_4,'Thin theory'!P29))))</f>
        <v>7.76861321779686E-06-8.78796682776337E-20i</v>
      </c>
      <c r="R29" s="36" t="str">
        <f>IMSUM(IMPRODUCT(w_b1,Cj_1,IMEXP(IMPRODUCT(Lambda_1,'Thin theory'!P29))),IMPRODUCT(w_b2,Cj_2,IMEXP(IMPRODUCT(Lambda_2,'Thin theory'!P29))),IMPRODUCT(w_b3,Cj_3,IMEXP(IMPRODUCT(Lambda_3,'Thin theory'!P29))),IMPRODUCT(w_b4,Cj_4,IMEXP(IMPRODUCT(Lambda_4,'Thin theory'!P29))))</f>
        <v>5.86729605136555E-07-1.25466755312043E-20i</v>
      </c>
      <c r="S29" s="36" t="str">
        <f>IMSUM(IMPRODUCT(beta_a1,Cj_1,IMEXP(IMPRODUCT(Lambda_1,'Thin theory'!P29))),IMPRODUCT(beta_a2,Cj_2,IMEXP(IMPRODUCT(Lambda_2,'Thin theory'!P29))),IMPRODUCT(beta_a3,Cj_3,IMEXP(IMPRODUCT(Lambda_3,'Thin theory'!P29))),IMPRODUCT(beta_a4,Cj_4,IMEXP(IMPRODUCT(Lambda_4,'Thin theory'!P29))))</f>
        <v>7.34113887640946E-07+1.32348898008484E-21i</v>
      </c>
      <c r="T29" s="36" t="str">
        <f>IMSUM(IMPRODUCT(beta_b1,Cj_1,IMEXP(IMPRODUCT(Lambda_1,'Thin theory'!P29))),IMPRODUCT(beta_b2,Cj_2,IMEXP(IMPRODUCT(Lambda_2,'Thin theory'!P29))),IMPRODUCT(beta_b3,Cj_3,IMEXP(IMPRODUCT(Lambda_3,'Thin theory'!P29))),IMPRODUCT(beta_b4,Cj_4,IMEXP(IMPRODUCT(Lambda_4,'Thin theory'!P29))))</f>
        <v>-7.8177554757827E-07+4.24972311505243E-20i</v>
      </c>
      <c r="U29" s="36" t="str">
        <f>IMSUM(IMPRODUCT(Lambda_1,beta_b1,Cj_1,IMEXP(IMPRODUCT(Lambda_1,'Thin theory'!P29))),IMPRODUCT(Lambda_2,beta_b2,Cj_2,IMEXP(IMPRODUCT(Lambda_2,'Thin theory'!P29))),IMPRODUCT(Lambda_3,beta_b3,Cj_3,IMEXP(IMPRODUCT(Lambda_3,'Thin theory'!P29))),IMPRODUCT(Lambda_4,beta_b4,Cj_4,IMEXP(IMPRODUCT(Lambda_4,'Thin theory'!P29))))</f>
        <v>5.15844988765365E-07+4.88896829243341E-20i</v>
      </c>
      <c r="V29" s="36" t="str">
        <f>IMSUM(IMPRODUCT(-1,uc),Nz/Cs*'Thin theory'!P29,IMPRODUCT(-nu/rad,IMSUM(wm*'Thin theory'!P29,IMPRODUCT(IMDIV(w_a1,Lambda_1),Cj_1,IMEXP(IMPRODUCT(Lambda_1,'Thin theory'!P29))),IMPRODUCT(IMDIV(w_a2,Lambda_2),Cj_2,IMEXP(IMPRODUCT(Lambda_2,'Thin theory'!P29))),IMPRODUCT(IMDIV(w_a3,Lambda_3),Cj_3,IMEXP(IMPRODUCT(Lambda_3,'Thin theory'!P29))),IMPRODUCT(IMDIV(w_a4,Lambda_4),Cj_4,IMEXP(IMPRODUCT(Lambda_4,'Thin theory'!P29))))))</f>
        <v>0.0000401919013146697+3.64309623348432E-19i</v>
      </c>
      <c r="W29" s="36" t="str">
        <f t="shared" si="0"/>
        <v>-5.01611679306781E-06+5.27278009665802E-21i</v>
      </c>
      <c r="X29" s="41">
        <f t="shared" si="11"/>
        <v>4.0191901314669697E-5</v>
      </c>
      <c r="Y29" s="41">
        <f t="shared" si="12"/>
        <v>7.7686132177968594E-6</v>
      </c>
      <c r="Z29" s="38">
        <f t="shared" si="1"/>
        <v>-0.99999999999999956</v>
      </c>
      <c r="AA29" s="38">
        <f t="shared" si="2"/>
        <v>1.0744528711874477E-2</v>
      </c>
      <c r="AB29" s="38">
        <f t="shared" si="3"/>
        <v>-1.4318233472129488E-2</v>
      </c>
      <c r="AC29" s="38">
        <f t="shared" si="4"/>
        <v>-4.295470041638846E-3</v>
      </c>
      <c r="AD29" s="38">
        <f t="shared" si="5"/>
        <v>-1.0859094008327765</v>
      </c>
      <c r="AE29" s="38">
        <f t="shared" si="6"/>
        <v>-0.99999999999999956</v>
      </c>
      <c r="AF29" s="38">
        <f t="shared" si="7"/>
        <v>-0.91409059916722257</v>
      </c>
      <c r="AG29" s="38">
        <f t="shared" si="8"/>
        <v>-1.5028291537958599E-2</v>
      </c>
      <c r="AH29" s="38">
        <f t="shared" si="9"/>
        <v>1.0744528711874477E-2</v>
      </c>
      <c r="AI29" s="38">
        <f t="shared" si="10"/>
        <v>3.6517348961707552E-2</v>
      </c>
    </row>
    <row r="30" spans="8:35" x14ac:dyDescent="0.3">
      <c r="H30" s="2"/>
      <c r="I30" s="1" t="s">
        <v>57</v>
      </c>
      <c r="J30" s="1" t="str">
        <f>IMDIV(IMPRODUCT(Lambda_4,Lambda_4),IMSUM(1,IMPRODUCT(-1,Lambda_4,Lambda_4,(D/k/G/t))))</f>
        <v>-0.0624000000000008+0.657956107958577i</v>
      </c>
      <c r="K30" s="2"/>
      <c r="L30" s="1" t="s">
        <v>82</v>
      </c>
      <c r="M30" s="1" t="str">
        <f>IMPRODUCT(w_a3,IMEXP(IMPRODUCT(Lambda_3,L)))</f>
        <v>0.00118546345288907-0.000199927626598317i</v>
      </c>
      <c r="N30" s="2"/>
      <c r="Q30" s="36" t="str">
        <f>IMSUM(wm,IMPRODUCT(w_a1,Cj_1,IMEXP(IMPRODUCT(Lambda_1,'Thin theory'!P30))),IMPRODUCT(w_a2,Cj_2,IMEXP(IMPRODUCT(Lambda_2,'Thin theory'!P30))),IMPRODUCT(w_a3,Cj_3,IMEXP(IMPRODUCT(Lambda_3,'Thin theory'!P30))),IMPRODUCT(w_a4,Cj_4,IMEXP(IMPRODUCT(Lambda_4,'Thin theory'!P30))))</f>
        <v>7.82967081350416E-06-8.86208221064812E-20i</v>
      </c>
      <c r="R30" s="36" t="str">
        <f>IMSUM(IMPRODUCT(w_b1,Cj_1,IMEXP(IMPRODUCT(Lambda_1,'Thin theory'!P30))),IMPRODUCT(w_b2,Cj_2,IMEXP(IMPRODUCT(Lambda_2,'Thin theory'!P30))),IMPRODUCT(w_b3,Cj_3,IMEXP(IMPRODUCT(Lambda_3,'Thin theory'!P30))),IMPRODUCT(w_b4,Cj_4,IMEXP(IMPRODUCT(Lambda_4,'Thin theory'!P30))))</f>
        <v>5.06703872732137E-07-8.62914815015318E-21i</v>
      </c>
      <c r="S30" s="36" t="str">
        <f>IMSUM(IMPRODUCT(beta_a1,Cj_1,IMEXP(IMPRODUCT(Lambda_1,'Thin theory'!P30))),IMPRODUCT(beta_a2,Cj_2,IMEXP(IMPRODUCT(Lambda_2,'Thin theory'!P30))),IMPRODUCT(beta_a3,Cj_3,IMEXP(IMPRODUCT(Lambda_3,'Thin theory'!P30))),IMPRODUCT(beta_a4,Cj_4,IMEXP(IMPRODUCT(Lambda_4,'Thin theory'!P30))))</f>
        <v>6.49903804815514E-07+6.29980754520386E-21i</v>
      </c>
      <c r="T30" s="36" t="str">
        <f>IMSUM(IMPRODUCT(beta_b1,Cj_1,IMEXP(IMPRODUCT(Lambda_1,'Thin theory'!P30))),IMPRODUCT(beta_b2,Cj_2,IMEXP(IMPRODUCT(Lambda_2,'Thin theory'!P30))),IMPRODUCT(beta_b3,Cj_3,IMEXP(IMPRODUCT(Lambda_3,'Thin theory'!P30))),IMPRODUCT(beta_b4,Cj_4,IMEXP(IMPRODUCT(Lambda_4,'Thin theory'!P30))))</f>
        <v>-7.24893242498947E-07+4.81022069811837E-20i</v>
      </c>
      <c r="U30" s="36" t="str">
        <f>IMSUM(IMPRODUCT(Lambda_1,beta_b1,Cj_1,IMEXP(IMPRODUCT(Lambda_1,'Thin theory'!P30))),IMPRODUCT(Lambda_2,beta_b2,Cj_2,IMEXP(IMPRODUCT(Lambda_2,'Thin theory'!P30))),IMPRODUCT(Lambda_3,beta_b3,Cj_3,IMEXP(IMPRODUCT(Lambda_3,'Thin theory'!P30))),IMPRODUCT(Lambda_4,beta_b4,Cj_4,IMEXP(IMPRODUCT(Lambda_4,'Thin theory'!P30))))</f>
        <v>5.01199762291819E-07+5.27807405257836E-20i</v>
      </c>
      <c r="V30" s="36" t="str">
        <f>IMSUM(IMPRODUCT(-1,uc),Nz/Cs*'Thin theory'!P30,IMPRODUCT(-nu/rad,IMSUM(wm*'Thin theory'!P30,IMPRODUCT(IMDIV(w_a1,Lambda_1),Cj_1,IMEXP(IMPRODUCT(Lambda_1,'Thin theory'!P30))),IMPRODUCT(IMDIV(w_a2,Lambda_2),Cj_2,IMEXP(IMPRODUCT(Lambda_2,'Thin theory'!P30))),IMPRODUCT(IMDIV(w_a3,Lambda_3),Cj_3,IMEXP(IMPRODUCT(Lambda_3,'Thin theory'!P30))),IMPRODUCT(IMDIV(w_a4,Lambda_4),Cj_4,IMEXP(IMPRODUCT(Lambda_4,'Thin theory'!P30))))))</f>
        <v>0.0000396308726133616+3.64909957949799E-19i</v>
      </c>
      <c r="W30" s="36" t="str">
        <f t="shared" si="0"/>
        <v>-5.01978024881025E-06+5.31724932638887E-21i</v>
      </c>
      <c r="X30" s="41">
        <f t="shared" si="11"/>
        <v>3.9630872613361599E-5</v>
      </c>
      <c r="Y30" s="41">
        <f t="shared" si="12"/>
        <v>7.8296708135041596E-6</v>
      </c>
      <c r="Z30" s="38">
        <f t="shared" si="1"/>
        <v>-1</v>
      </c>
      <c r="AA30" s="38">
        <f t="shared" si="2"/>
        <v>1.3186832540166378E-2</v>
      </c>
      <c r="AB30" s="38">
        <f t="shared" si="3"/>
        <v>-1.3276433012801226E-2</v>
      </c>
      <c r="AC30" s="38">
        <f t="shared" si="4"/>
        <v>-3.9829299038403676E-3</v>
      </c>
      <c r="AD30" s="38">
        <f t="shared" si="5"/>
        <v>-1.0796585980768074</v>
      </c>
      <c r="AE30" s="38">
        <f t="shared" si="6"/>
        <v>-1</v>
      </c>
      <c r="AF30" s="38">
        <f t="shared" si="7"/>
        <v>-0.92034140192319258</v>
      </c>
      <c r="AG30" s="38">
        <f t="shared" si="8"/>
        <v>-1.071074688287583E-2</v>
      </c>
      <c r="AH30" s="38">
        <f t="shared" si="9"/>
        <v>1.3186832540166378E-2</v>
      </c>
      <c r="AI30" s="38">
        <f t="shared" si="10"/>
        <v>3.7084411963208587E-2</v>
      </c>
    </row>
    <row r="31" spans="8:35" x14ac:dyDescent="0.3">
      <c r="H31" s="2"/>
      <c r="I31" s="2"/>
      <c r="J31" s="2"/>
      <c r="K31" s="2"/>
      <c r="L31" s="1" t="s">
        <v>83</v>
      </c>
      <c r="M31" s="1" t="str">
        <f>IMPRODUCT(w_a4,IMEXP(IMPRODUCT(Lambda_4,L)))</f>
        <v>0.00118546345288907+0.000199927626598317i</v>
      </c>
      <c r="N31" s="2"/>
      <c r="Q31" s="36" t="str">
        <f>IMSUM(wm,IMPRODUCT(w_a1,Cj_1,IMEXP(IMPRODUCT(Lambda_1,'Thin theory'!P31))),IMPRODUCT(w_a2,Cj_2,IMEXP(IMPRODUCT(Lambda_2,'Thin theory'!P31))),IMPRODUCT(w_a3,Cj_3,IMEXP(IMPRODUCT(Lambda_3,'Thin theory'!P31))),IMPRODUCT(w_a4,Cj_4,IMEXP(IMPRODUCT(Lambda_4,'Thin theory'!P31))))</f>
        <v>7.88217854551749E-06-8.98913715273626E-20i</v>
      </c>
      <c r="R31" s="36" t="str">
        <f>IMSUM(IMPRODUCT(w_b1,Cj_1,IMEXP(IMPRODUCT(Lambda_1,'Thin theory'!P31))),IMPRODUCT(w_b2,Cj_2,IMEXP(IMPRODUCT(Lambda_2,'Thin theory'!P31))),IMPRODUCT(w_b3,Cj_3,IMEXP(IMPRODUCT(Lambda_3,'Thin theory'!P31))),IMPRODUCT(w_b4,Cj_4,IMEXP(IMPRODUCT(Lambda_4,'Thin theory'!P31))))</f>
        <v>4.33731629288994E-07-4.18222517706811E-21i</v>
      </c>
      <c r="S31" s="36" t="str">
        <f>IMSUM(IMPRODUCT(beta_a1,Cj_1,IMEXP(IMPRODUCT(Lambda_1,'Thin theory'!P31))),IMPRODUCT(beta_a2,Cj_2,IMEXP(IMPRODUCT(Lambda_2,'Thin theory'!P31))),IMPRODUCT(beta_a3,Cj_3,IMEXP(IMPRODUCT(Lambda_3,'Thin theory'!P31))),IMPRODUCT(beta_a4,Cj_4,IMEXP(IMPRODUCT(Lambda_4,'Thin theory'!P31))))</f>
        <v>5.71955835802939E-07+1.18584612615602E-20i</v>
      </c>
      <c r="T31" s="36" t="str">
        <f>IMSUM(IMPRODUCT(beta_b1,Cj_1,IMEXP(IMPRODUCT(Lambda_1,'Thin theory'!P31))),IMPRODUCT(beta_b2,Cj_2,IMEXP(IMPRODUCT(Lambda_2,'Thin theory'!P31))),IMPRODUCT(beta_b3,Cj_3,IMEXP(IMPRODUCT(Lambda_3,'Thin theory'!P31))),IMPRODUCT(beta_b4,Cj_4,IMEXP(IMPRODUCT(Lambda_4,'Thin theory'!P31))))</f>
        <v>-6.69807050688056E-07+5.43027528528812E-20i</v>
      </c>
      <c r="U31" s="36" t="str">
        <f>IMSUM(IMPRODUCT(Lambda_1,beta_b1,Cj_1,IMEXP(IMPRODUCT(Lambda_1,'Thin theory'!P31))),IMPRODUCT(Lambda_2,beta_b2,Cj_2,IMEXP(IMPRODUCT(Lambda_2,'Thin theory'!P31))),IMPRODUCT(Lambda_3,beta_b3,Cj_3,IMEXP(IMPRODUCT(Lambda_3,'Thin theory'!P31))),IMPRODUCT(Lambda_4,beta_b4,Cj_4,IMEXP(IMPRODUCT(Lambda_4,'Thin theory'!P31))))</f>
        <v>4.83784722798808E-07+5.68041470252415E-20i</v>
      </c>
      <c r="V31" s="36" t="str">
        <f>IMSUM(IMPRODUCT(-1,uc),Nz/Cs*'Thin theory'!P31,IMPRODUCT(-nu/rad,IMSUM(wm*'Thin theory'!P31,IMPRODUCT(IMDIV(w_a1,Lambda_1),Cj_1,IMEXP(IMPRODUCT(Lambda_1,'Thin theory'!P31))),IMPRODUCT(IMDIV(w_a2,Lambda_2),Cj_2,IMEXP(IMPRODUCT(Lambda_2,'Thin theory'!P31))),IMPRODUCT(IMDIV(w_a3,Lambda_3),Cj_3,IMEXP(IMPRODUCT(Lambda_3,'Thin theory'!P31))),IMPRODUCT(IMDIV(w_a4,Lambda_4),Cj_4,IMEXP(IMPRODUCT(Lambda_4,'Thin theory'!P31))))))</f>
        <v>0.0000390694634432321+3.65522998045374E-19i</v>
      </c>
      <c r="W31" s="36" t="str">
        <f t="shared" si="0"/>
        <v>-5.02293071273105E-06+5.39348229164176E-21i</v>
      </c>
      <c r="X31" s="41">
        <f t="shared" si="11"/>
        <v>3.9069463443232102E-5</v>
      </c>
      <c r="Y31" s="41">
        <f t="shared" si="12"/>
        <v>7.8821785455174906E-6</v>
      </c>
      <c r="Z31" s="38">
        <f t="shared" si="1"/>
        <v>-1</v>
      </c>
      <c r="AA31" s="38">
        <f t="shared" si="2"/>
        <v>1.5287141820699637E-2</v>
      </c>
      <c r="AB31" s="38">
        <f t="shared" si="3"/>
        <v>-1.2267528400880145E-2</v>
      </c>
      <c r="AC31" s="38">
        <f t="shared" si="4"/>
        <v>-3.6802585202640433E-3</v>
      </c>
      <c r="AD31" s="38">
        <f t="shared" si="5"/>
        <v>-1.0736051704052809</v>
      </c>
      <c r="AE31" s="38">
        <f t="shared" si="6"/>
        <v>-1</v>
      </c>
      <c r="AF31" s="38">
        <f t="shared" si="7"/>
        <v>-0.92639482959471908</v>
      </c>
      <c r="AG31" s="38">
        <f t="shared" si="8"/>
        <v>-6.794409300884624E-3</v>
      </c>
      <c r="AH31" s="38">
        <f t="shared" si="9"/>
        <v>1.5287141820699637E-2</v>
      </c>
      <c r="AI31" s="38">
        <f t="shared" si="10"/>
        <v>3.7368692942283899E-2</v>
      </c>
    </row>
    <row r="32" spans="8:35" x14ac:dyDescent="0.3">
      <c r="H32" s="2"/>
      <c r="I32" s="2"/>
      <c r="J32" s="2"/>
      <c r="K32" s="2"/>
      <c r="L32" s="1" t="s">
        <v>84</v>
      </c>
      <c r="M32" s="1" t="str">
        <f>IMPRODUCT(w_b1,IMEXP(IMPRODUCT(Lambda_1,L)))</f>
        <v>568.935246487478+365.50723697926i</v>
      </c>
      <c r="N32" s="2"/>
      <c r="Q32" s="36" t="str">
        <f>IMSUM(wm,IMPRODUCT(w_a1,Cj_1,IMEXP(IMPRODUCT(Lambda_1,'Thin theory'!P32))),IMPRODUCT(w_a2,Cj_2,IMEXP(IMPRODUCT(Lambda_2,'Thin theory'!P32))),IMPRODUCT(w_a3,Cj_3,IMEXP(IMPRODUCT(Lambda_3,'Thin theory'!P32))),IMPRODUCT(w_a4,Cj_4,IMEXP(IMPRODUCT(Lambda_4,'Thin theory'!P32))))</f>
        <v>7.92690670466595E-06-9.06325253562101E-20i</v>
      </c>
      <c r="R32" s="36" t="str">
        <f>IMSUM(IMPRODUCT(w_b1,Cj_1,IMEXP(IMPRODUCT(Lambda_1,'Thin theory'!P32))),IMPRODUCT(w_b2,Cj_2,IMEXP(IMPRODUCT(Lambda_2,'Thin theory'!P32))),IMPRODUCT(w_b3,Cj_3,IMEXP(IMPRODUCT(Lambda_3,'Thin theory'!P32))),IMPRODUCT(w_b4,Cj_4,IMEXP(IMPRODUCT(Lambda_4,'Thin theory'!P32))))</f>
        <v>3.67481722127295E-07+1.58818677610181E-22i</v>
      </c>
      <c r="S32" s="36" t="str">
        <f>IMSUM(IMPRODUCT(beta_a1,Cj_1,IMEXP(IMPRODUCT(Lambda_1,'Thin theory'!P32))),IMPRODUCT(beta_a2,Cj_2,IMEXP(IMPRODUCT(Lambda_2,'Thin theory'!P32))),IMPRODUCT(beta_a3,Cj_3,IMEXP(IMPRODUCT(Lambda_3,'Thin theory'!P32))),IMPRODUCT(beta_a4,Cj_4,IMEXP(IMPRODUCT(Lambda_4,'Thin theory'!P32))))</f>
        <v>5.0005270770203E-07+1.83700270435776E-20i</v>
      </c>
      <c r="T32" s="36" t="str">
        <f>IMSUM(IMPRODUCT(beta_b1,Cj_1,IMEXP(IMPRODUCT(Lambda_1,'Thin theory'!P32))),IMPRODUCT(beta_b2,Cj_2,IMEXP(IMPRODUCT(Lambda_2,'Thin theory'!P32))),IMPRODUCT(beta_b3,Cj_3,IMEXP(IMPRODUCT(Lambda_3,'Thin theory'!P32))),IMPRODUCT(beta_b4,Cj_4,IMEXP(IMPRODUCT(Lambda_4,'Thin theory'!P32))))</f>
        <v>-6.16804014898963E-07+6.09996070921105E-20i</v>
      </c>
      <c r="U32" s="36" t="str">
        <f>IMSUM(IMPRODUCT(Lambda_1,beta_b1,Cj_1,IMEXP(IMPRODUCT(Lambda_1,'Thin theory'!P32))),IMPRODUCT(Lambda_2,beta_b2,Cj_2,IMEXP(IMPRODUCT(Lambda_2,'Thin theory'!P32))),IMPRODUCT(Lambda_3,beta_b3,Cj_3,IMEXP(IMPRODUCT(Lambda_3,'Thin theory'!P32))),IMPRODUCT(Lambda_4,beta_b4,Cj_4,IMEXP(IMPRODUCT(Lambda_4,'Thin theory'!P32))))</f>
        <v>4.63998449511573E-07+6.18863447087673E-20i</v>
      </c>
      <c r="V32" s="36" t="str">
        <f>IMSUM(IMPRODUCT(-1,uc),Nz/Cs*'Thin theory'!P32,IMPRODUCT(-nu/rad,IMSUM(wm*'Thin theory'!P32,IMPRODUCT(IMDIV(w_a1,Lambda_1),Cj_1,IMEXP(IMPRODUCT(Lambda_1,'Thin theory'!P32))),IMPRODUCT(IMDIV(w_a2,Lambda_2),Cj_2,IMEXP(IMPRODUCT(Lambda_2,'Thin theory'!P32))),IMPRODUCT(IMDIV(w_a3,Lambda_3),Cj_3,IMEXP(IMPRODUCT(Lambda_3,'Thin theory'!P32))),IMPRODUCT(IMDIV(w_a4,Lambda_4),Cj_4,IMEXP(IMPRODUCT(Lambda_4,'Thin theory'!P32))))))</f>
        <v>0.0000385077285541748+3.6607886341701E-19i</v>
      </c>
      <c r="W32" s="36" t="str">
        <f t="shared" si="0"/>
        <v>-5.02561440227996E-06+5.43795152137261E-21i</v>
      </c>
      <c r="X32" s="41">
        <f t="shared" si="11"/>
        <v>3.8507728554174803E-5</v>
      </c>
      <c r="Y32" s="41">
        <f t="shared" si="12"/>
        <v>7.9269067046659501E-6</v>
      </c>
      <c r="Z32" s="38">
        <f t="shared" si="1"/>
        <v>-1.0000000000000007</v>
      </c>
      <c r="AA32" s="38">
        <f t="shared" si="2"/>
        <v>1.7076268186637818E-2</v>
      </c>
      <c r="AB32" s="38">
        <f t="shared" si="3"/>
        <v>-1.1296776829651337E-2</v>
      </c>
      <c r="AC32" s="38">
        <f t="shared" si="4"/>
        <v>-3.3890330488954008E-3</v>
      </c>
      <c r="AD32" s="38">
        <f t="shared" si="5"/>
        <v>-1.0677806609779088</v>
      </c>
      <c r="AE32" s="38">
        <f t="shared" si="6"/>
        <v>-1.0000000000000007</v>
      </c>
      <c r="AF32" s="38">
        <f t="shared" si="7"/>
        <v>-0.93221933902209264</v>
      </c>
      <c r="AG32" s="38">
        <f t="shared" si="8"/>
        <v>-3.2579301067345856E-3</v>
      </c>
      <c r="AH32" s="38">
        <f t="shared" si="9"/>
        <v>1.7076268186637818E-2</v>
      </c>
      <c r="AI32" s="38">
        <f t="shared" si="10"/>
        <v>3.7410466480010222E-2</v>
      </c>
    </row>
    <row r="33" spans="8:35" x14ac:dyDescent="0.3">
      <c r="H33" s="2"/>
      <c r="I33" s="2"/>
      <c r="J33" s="2"/>
      <c r="K33" s="2"/>
      <c r="L33" s="1" t="s">
        <v>85</v>
      </c>
      <c r="M33" s="1" t="str">
        <f>IMPRODUCT(w_b2,IMEXP(IMPRODUCT(Lambda_2,L)))</f>
        <v>568.935246487478-365.50723697926i</v>
      </c>
      <c r="N33" s="2"/>
      <c r="Q33" s="36" t="str">
        <f>IMSUM(wm,IMPRODUCT(w_a1,Cj_1,IMEXP(IMPRODUCT(Lambda_1,'Thin theory'!P33))),IMPRODUCT(w_a2,Cj_2,IMEXP(IMPRODUCT(Lambda_2,'Thin theory'!P33))),IMPRODUCT(w_a3,Cj_3,IMEXP(IMPRODUCT(Lambda_3,'Thin theory'!P33))),IMPRODUCT(w_a4,Cj_4,IMEXP(IMPRODUCT(Lambda_4,'Thin theory'!P33))))</f>
        <v>7.96458744548745E-06-8.9679613290549E-20i</v>
      </c>
      <c r="R33" s="36" t="str">
        <f>IMSUM(IMPRODUCT(w_b1,Cj_1,IMEXP(IMPRODUCT(Lambda_1,'Thin theory'!P33))),IMPRODUCT(w_b2,Cj_2,IMEXP(IMPRODUCT(Lambda_2,'Thin theory'!P33))),IMPRODUCT(w_b3,Cj_3,IMEXP(IMPRODUCT(Lambda_3,'Thin theory'!P33))),IMPRODUCT(w_b4,Cj_4,IMEXP(IMPRODUCT(Lambda_4,'Thin theory'!P33))))</f>
        <v>3.07603804267641E-07+6.24686798600047E-21i</v>
      </c>
      <c r="S33" s="36" t="str">
        <f>IMSUM(IMPRODUCT(beta_a1,Cj_1,IMEXP(IMPRODUCT(Lambda_1,'Thin theory'!P33))),IMPRODUCT(beta_a2,Cj_2,IMEXP(IMPRODUCT(Lambda_2,'Thin theory'!P33))),IMPRODUCT(beta_a3,Cj_3,IMEXP(IMPRODUCT(Lambda_3,'Thin theory'!P33))),IMPRODUCT(beta_a4,Cj_4,IMEXP(IMPRODUCT(Lambda_4,'Thin theory'!P33))))</f>
        <v>4.33947468959508E-07+2.56227466544426E-20i</v>
      </c>
      <c r="T33" s="36" t="str">
        <f>IMSUM(IMPRODUCT(beta_b1,Cj_1,IMEXP(IMPRODUCT(Lambda_1,'Thin theory'!P33))),IMPRODUCT(beta_b2,Cj_2,IMEXP(IMPRODUCT(Lambda_2,'Thin theory'!P33))),IMPRODUCT(beta_b3,Cj_3,IMEXP(IMPRODUCT(Lambda_3,'Thin theory'!P33))),IMPRODUCT(beta_b4,Cj_4,IMEXP(IMPRODUCT(Lambda_4,'Thin theory'!P33))))</f>
        <v>-5.66128684054434E-07+6.81067429151661E-20i</v>
      </c>
      <c r="U33" s="36" t="str">
        <f>IMSUM(IMPRODUCT(Lambda_1,beta_b1,Cj_1,IMEXP(IMPRODUCT(Lambda_1,'Thin theory'!P33))),IMPRODUCT(Lambda_2,beta_b2,Cj_2,IMEXP(IMPRODUCT(Lambda_2,'Thin theory'!P33))),IMPRODUCT(Lambda_3,beta_b3,Cj_3,IMEXP(IMPRODUCT(Lambda_3,'Thin theory'!P33))),IMPRODUCT(Lambda_4,beta_b4,Cj_4,IMEXP(IMPRODUCT(Lambda_4,'Thin theory'!P33))))</f>
        <v>4.42202826421533E-07+6.60023954368312E-20i</v>
      </c>
      <c r="V33" s="36" t="str">
        <f>IMSUM(IMPRODUCT(-1,uc),Nz/Cs*'Thin theory'!P33,IMPRODUCT(-nu/rad,IMSUM(wm*'Thin theory'!P33,IMPRODUCT(IMDIV(w_a1,Lambda_1),Cj_1,IMEXP(IMPRODUCT(Lambda_1,'Thin theory'!P33))),IMPRODUCT(IMDIV(w_a2,Lambda_2),Cj_2,IMEXP(IMPRODUCT(Lambda_2,'Thin theory'!P33))),IMPRODUCT(IMDIV(w_a3,Lambda_3),Cj_3,IMEXP(IMPRODUCT(Lambda_3,'Thin theory'!P33))),IMPRODUCT(IMDIV(w_a4,Lambda_4),Cj_4,IMEXP(IMPRODUCT(Lambda_4,'Thin theory'!P33))))))</f>
        <v>0.0000379457176555293+3.66758607357181E-19i</v>
      </c>
      <c r="W33" s="36" t="str">
        <f t="shared" si="0"/>
        <v>-5.02787524672925E-06+5.38077679743294E-21i</v>
      </c>
      <c r="X33" s="41">
        <f t="shared" si="11"/>
        <v>3.7945717655529299E-5</v>
      </c>
      <c r="Y33" s="41">
        <f t="shared" si="12"/>
        <v>7.9645874454874506E-6</v>
      </c>
      <c r="Z33" s="38">
        <f t="shared" si="1"/>
        <v>-1.0000000000000004</v>
      </c>
      <c r="AA33" s="38">
        <f t="shared" si="2"/>
        <v>1.8583497819497852E-2</v>
      </c>
      <c r="AB33" s="38">
        <f t="shared" si="3"/>
        <v>-1.0368657217114175E-2</v>
      </c>
      <c r="AC33" s="38">
        <f t="shared" si="4"/>
        <v>-3.1105971651342527E-3</v>
      </c>
      <c r="AD33" s="38">
        <f t="shared" si="5"/>
        <v>-1.0622119433026855</v>
      </c>
      <c r="AE33" s="38">
        <f t="shared" si="6"/>
        <v>-1.0000000000000004</v>
      </c>
      <c r="AF33" s="38">
        <f t="shared" si="7"/>
        <v>-0.93778805669731535</v>
      </c>
      <c r="AG33" s="38">
        <f t="shared" si="8"/>
        <v>-8.0085171307663072E-5</v>
      </c>
      <c r="AH33" s="38">
        <f t="shared" si="9"/>
        <v>1.8583497819497852E-2</v>
      </c>
      <c r="AI33" s="38">
        <f t="shared" si="10"/>
        <v>3.7247080810303368E-2</v>
      </c>
    </row>
    <row r="34" spans="8:35" x14ac:dyDescent="0.3">
      <c r="H34" s="2"/>
      <c r="I34" s="2"/>
      <c r="J34" s="2"/>
      <c r="K34" s="2"/>
      <c r="L34" s="1" t="s">
        <v>86</v>
      </c>
      <c r="M34" s="1" t="str">
        <f>IMPRODUCT(w_b3,IMEXP(IMPRODUCT(Lambda_3,L)))</f>
        <v>-0.000603541714824333+0.000768729387169433i</v>
      </c>
      <c r="N34" s="2"/>
      <c r="Q34" s="36" t="str">
        <f>IMSUM(wm,IMPRODUCT(w_a1,Cj_1,IMEXP(IMPRODUCT(Lambda_1,'Thin theory'!P34))),IMPRODUCT(w_a2,Cj_2,IMEXP(IMPRODUCT(Lambda_2,'Thin theory'!P34))),IMPRODUCT(w_a3,Cj_3,IMEXP(IMPRODUCT(Lambda_3,'Thin theory'!P34))),IMPRODUCT(w_a4,Cj_4,IMEXP(IMPRODUCT(Lambda_4,'Thin theory'!P34))))</f>
        <v>7.99591286711539E-06-8.91502176985151E-20i</v>
      </c>
      <c r="R34" s="36" t="str">
        <f>IMSUM(IMPRODUCT(w_b1,Cj_1,IMEXP(IMPRODUCT(Lambda_1,'Thin theory'!P34))),IMPRODUCT(w_b2,Cj_2,IMEXP(IMPRODUCT(Lambda_2,'Thin theory'!P34))),IMPRODUCT(w_b3,Cj_3,IMEXP(IMPRODUCT(Lambda_3,'Thin theory'!P34))),IMPRODUCT(w_b4,Cj_4,IMEXP(IMPRODUCT(Lambda_4,'Thin theory'!P34))))</f>
        <v>2.53732313948657E-07+1.31290106824417E-20i</v>
      </c>
      <c r="S34" s="36" t="str">
        <f>IMSUM(IMPRODUCT(beta_a1,Cj_1,IMEXP(IMPRODUCT(Lambda_1,'Thin theory'!P34))),IMPRODUCT(beta_a2,Cj_2,IMEXP(IMPRODUCT(Lambda_2,'Thin theory'!P34))),IMPRODUCT(beta_a3,Cj_3,IMEXP(IMPRODUCT(Lambda_3,'Thin theory'!P34))),IMPRODUCT(beta_a4,Cj_4,IMEXP(IMPRODUCT(Lambda_4,'Thin theory'!P34))))</f>
        <v>3.7336801491175E-07+3.25578289100872E-20i</v>
      </c>
      <c r="T34" s="36" t="str">
        <f>IMSUM(IMPRODUCT(beta_b1,Cj_1,IMEXP(IMPRODUCT(Lambda_1,'Thin theory'!P34))),IMPRODUCT(beta_b2,Cj_2,IMEXP(IMPRODUCT(Lambda_2,'Thin theory'!P34))),IMPRODUCT(beta_b3,Cj_3,IMEXP(IMPRODUCT(Lambda_3,'Thin theory'!P34))),IMPRODUCT(beta_b4,Cj_4,IMEXP(IMPRODUCT(Lambda_4,'Thin theory'!P34))))</f>
        <v>-5.1798710993845E-07+7.518740895862E-20i</v>
      </c>
      <c r="U34" s="36" t="str">
        <f>IMSUM(IMPRODUCT(Lambda_1,beta_b1,Cj_1,IMEXP(IMPRODUCT(Lambda_1,'Thin theory'!P34))),IMPRODUCT(Lambda_2,beta_b2,Cj_2,IMEXP(IMPRODUCT(Lambda_2,'Thin theory'!P34))),IMPRODUCT(Lambda_3,beta_b3,Cj_3,IMEXP(IMPRODUCT(Lambda_3,'Thin theory'!P34))),IMPRODUCT(Lambda_4,beta_b4,Cj_4,IMEXP(IMPRODUCT(Lambda_4,'Thin theory'!P34))))</f>
        <v>4.18724953370824E-07+7.03037346221069E-20i</v>
      </c>
      <c r="V34" s="36" t="str">
        <f>IMSUM(IMPRODUCT(-1,uc),Nz/Cs*'Thin theory'!P34,IMPRODUCT(-nu/rad,IMSUM(wm*'Thin theory'!P34,IMPRODUCT(IMDIV(w_a1,Lambda_1),Cj_1,IMEXP(IMPRODUCT(Lambda_1,'Thin theory'!P34))),IMPRODUCT(IMDIV(w_a2,Lambda_2),Cj_2,IMEXP(IMPRODUCT(Lambda_2,'Thin theory'!P34))),IMPRODUCT(IMDIV(w_a3,Lambda_3),Cj_3,IMEXP(IMPRODUCT(Lambda_3,'Thin theory'!P34))),IMPRODUCT(IMDIV(w_a4,Lambda_4),Cj_4,IMEXP(IMPRODUCT(Lambda_4,'Thin theory'!P34))))))</f>
        <v>0.0000373834756785924+3.67316060915593E-19i</v>
      </c>
      <c r="W34" s="36" t="str">
        <f t="shared" ref="W34:W65" si="13">IMSUM(Nz/Cs,IMPRODUCT(-nu/rad,Q34))</f>
        <v>-5.02975477202692E-06+5.34901306191091E-21i</v>
      </c>
      <c r="X34" s="41">
        <f t="shared" si="11"/>
        <v>3.7383475678592399E-5</v>
      </c>
      <c r="Y34" s="41">
        <f t="shared" si="12"/>
        <v>7.9959128671153906E-6</v>
      </c>
      <c r="Z34" s="38">
        <f t="shared" ref="Z34:Z65" si="14">Cs*(IMREAL(W34)+nu/rad*IMREAL(Q34))</f>
        <v>-0.99999999999999911</v>
      </c>
      <c r="AA34" s="38">
        <f t="shared" ref="AA34:AA65" si="15">Cs*(IMREAL(Q34)/rad+nu*IMREAL(W34))</f>
        <v>1.9836514684615874E-2</v>
      </c>
      <c r="AB34" s="38">
        <f t="shared" ref="AB34:AB65" si="16">D*IMREAL(T34)</f>
        <v>-9.4869434054661184E-3</v>
      </c>
      <c r="AC34" s="38">
        <f t="shared" ref="AC34:AC65" si="17">nu*AB34</f>
        <v>-2.8460830216398354E-3</v>
      </c>
      <c r="AD34" s="38">
        <f t="shared" ref="AD34:AD65" si="18">Z34/t+6*AB34/t/t</f>
        <v>-1.0569216604327958</v>
      </c>
      <c r="AE34" s="38">
        <f t="shared" ref="AE34:AE65" si="19">Z34/t</f>
        <v>-0.99999999999999911</v>
      </c>
      <c r="AF34" s="38">
        <f t="shared" ref="AF34:AF65" si="20">Z34/t-6*AB34/t/t</f>
        <v>-0.94307833956720244</v>
      </c>
      <c r="AG34" s="38">
        <f t="shared" ref="AG34:AG65" si="21">AA34/t+6*AC34/t/t</f>
        <v>2.7600165547768604E-3</v>
      </c>
      <c r="AH34" s="38">
        <f t="shared" ref="AH34:AH65" si="22">AA34/t</f>
        <v>1.9836514684615874E-2</v>
      </c>
      <c r="AI34" s="38">
        <f t="shared" ref="AI34:AI65" si="23">AA34/t-6*AC34/t/t</f>
        <v>3.6913012814454887E-2</v>
      </c>
    </row>
    <row r="35" spans="8:35" x14ac:dyDescent="0.3">
      <c r="H35" s="2"/>
      <c r="I35" s="2"/>
      <c r="J35" s="2"/>
      <c r="K35" s="2"/>
      <c r="L35" s="1" t="s">
        <v>87</v>
      </c>
      <c r="M35" s="1" t="str">
        <f>IMPRODUCT(w_b4,IMEXP(IMPRODUCT(Lambda_4,L)))</f>
        <v>-0.000603541714824333-0.000768729387169433i</v>
      </c>
      <c r="N35" s="2"/>
      <c r="Q35" s="36" t="str">
        <f>IMSUM(wm,IMPRODUCT(w_a1,Cj_1,IMEXP(IMPRODUCT(Lambda_1,'Thin theory'!P35))),IMPRODUCT(w_a2,Cj_2,IMEXP(IMPRODUCT(Lambda_2,'Thin theory'!P35))),IMPRODUCT(w_a3,Cj_3,IMEXP(IMPRODUCT(Lambda_3,'Thin theory'!P35))),IMPRODUCT(w_a4,Cj_4,IMEXP(IMPRODUCT(Lambda_4,'Thin theory'!P35))))</f>
        <v>8.02153351317526E-06-8.66091188567522E-20i</v>
      </c>
      <c r="R35" s="36" t="str">
        <f>IMSUM(IMPRODUCT(w_b1,Cj_1,IMEXP(IMPRODUCT(Lambda_1,'Thin theory'!P35))),IMPRODUCT(w_b2,Cj_2,IMEXP(IMPRODUCT(Lambda_2,'Thin theory'!P35))),IMPRODUCT(w_b3,Cj_3,IMEXP(IMPRODUCT(Lambda_3,'Thin theory'!P35))),IMPRODUCT(w_b4,Cj_4,IMEXP(IMPRODUCT(Lambda_4,'Thin theory'!P35))))</f>
        <v>2.05489995634683E-07+2.09640654445439E-20i</v>
      </c>
      <c r="S35" s="36" t="str">
        <f>IMSUM(IMPRODUCT(beta_a1,Cj_1,IMEXP(IMPRODUCT(Lambda_1,'Thin theory'!P35))),IMPRODUCT(beta_a2,Cj_2,IMEXP(IMPRODUCT(Lambda_2,'Thin theory'!P35))),IMPRODUCT(beta_a3,Cj_3,IMEXP(IMPRODUCT(Lambda_3,'Thin theory'!P35))),IMPRODUCT(beta_a4,Cj_4,IMEXP(IMPRODUCT(Lambda_4,'Thin theory'!P35))))</f>
        <v>3.18021178611293E-07+4.27222242771388E-20i</v>
      </c>
      <c r="T35" s="36" t="str">
        <f>IMSUM(IMPRODUCT(beta_b1,Cj_1,IMEXP(IMPRODUCT(Lambda_1,'Thin theory'!P35))),IMPRODUCT(beta_b2,Cj_2,IMEXP(IMPRODUCT(Lambda_2,'Thin theory'!P35))),IMPRODUCT(beta_b3,Cj_3,IMEXP(IMPRODUCT(Lambda_3,'Thin theory'!P35))),IMPRODUCT(beta_b4,Cj_4,IMEXP(IMPRODUCT(Lambda_4,'Thin theory'!P35))))</f>
        <v>-4.72550625376051E-07+8.35121546433537E-20i</v>
      </c>
      <c r="U35" s="36" t="str">
        <f>IMSUM(IMPRODUCT(Lambda_1,beta_b1,Cj_1,IMEXP(IMPRODUCT(Lambda_1,'Thin theory'!P35))),IMPRODUCT(Lambda_2,beta_b2,Cj_2,IMEXP(IMPRODUCT(Lambda_2,'Thin theory'!P35))),IMPRODUCT(Lambda_3,beta_b3,Cj_3,IMEXP(IMPRODUCT(Lambda_3,'Thin theory'!P35))),IMPRODUCT(Lambda_4,beta_b4,Cj_4,IMEXP(IMPRODUCT(Lambda_4,'Thin theory'!P35))))</f>
        <v>3.93859140418138E-07+7.45918389175818E-20i</v>
      </c>
      <c r="V35" s="36" t="str">
        <f>IMSUM(IMPRODUCT(-1,uc),Nz/Cs*'Thin theory'!P35,IMPRODUCT(-nu/rad,IMSUM(wm*'Thin theory'!P35,IMPRODUCT(IMDIV(w_a1,Lambda_1),Cj_1,IMEXP(IMPRODUCT(Lambda_1,'Thin theory'!P35))),IMPRODUCT(IMDIV(w_a2,Lambda_2),Cj_2,IMEXP(IMPRODUCT(Lambda_2,'Thin theory'!P35))),IMPRODUCT(IMDIV(w_a3,Lambda_3),Cj_3,IMEXP(IMPRODUCT(Lambda_3,'Thin theory'!P35))),IMPRODUCT(IMDIV(w_a4,Lambda_4),Cj_4,IMEXP(IMPRODUCT(Lambda_4,'Thin theory'!P35))))))</f>
        <v>0.0000368210430505701+3.67927512824392E-19i</v>
      </c>
      <c r="W35" s="36" t="str">
        <f t="shared" si="13"/>
        <v>-5.03129201079052E-06+5.19654713140513E-21i</v>
      </c>
      <c r="X35" s="41">
        <f t="shared" si="11"/>
        <v>3.6821043050570099E-5</v>
      </c>
      <c r="Y35" s="41">
        <f t="shared" si="12"/>
        <v>8.0215335131752597E-6</v>
      </c>
      <c r="Z35" s="38">
        <f t="shared" si="14"/>
        <v>-1.0000000000000009</v>
      </c>
      <c r="AA35" s="38">
        <f t="shared" si="15"/>
        <v>2.0861340527010139E-2</v>
      </c>
      <c r="AB35" s="38">
        <f t="shared" si="16"/>
        <v>-8.6547733585357316E-3</v>
      </c>
      <c r="AC35" s="38">
        <f t="shared" si="17"/>
        <v>-2.5964320075607195E-3</v>
      </c>
      <c r="AD35" s="38">
        <f t="shared" si="18"/>
        <v>-1.0519286401512153</v>
      </c>
      <c r="AE35" s="38">
        <f t="shared" si="19"/>
        <v>-1.0000000000000009</v>
      </c>
      <c r="AF35" s="38">
        <f t="shared" si="20"/>
        <v>-0.94807135984878654</v>
      </c>
      <c r="AG35" s="38">
        <f t="shared" si="21"/>
        <v>5.2827484816458225E-3</v>
      </c>
      <c r="AH35" s="38">
        <f t="shared" si="22"/>
        <v>2.0861340527010139E-2</v>
      </c>
      <c r="AI35" s="38">
        <f t="shared" si="23"/>
        <v>3.6439932572374455E-2</v>
      </c>
    </row>
    <row r="36" spans="8:35" x14ac:dyDescent="0.3">
      <c r="H36" s="2"/>
      <c r="I36" s="2"/>
      <c r="J36" s="2"/>
      <c r="K36" s="2"/>
      <c r="L36" s="1" t="s">
        <v>88</v>
      </c>
      <c r="M36" s="1" t="str">
        <f>IMPRODUCT(beta_a1,IMEXP(IMPRODUCT(Lambda_1,L)))</f>
        <v>490.081166929082+465.943456656931i</v>
      </c>
      <c r="N36" s="2"/>
      <c r="Q36" s="36" t="str">
        <f>IMSUM(wm,IMPRODUCT(w_a1,Cj_1,IMEXP(IMPRODUCT(Lambda_1,'Thin theory'!P36))),IMPRODUCT(w_a2,Cj_2,IMEXP(IMPRODUCT(Lambda_2,'Thin theory'!P36))),IMPRODUCT(w_a3,Cj_3,IMEXP(IMPRODUCT(Lambda_3,'Thin theory'!P36))),IMPRODUCT(w_a4,Cj_4,IMEXP(IMPRODUCT(Lambda_4,'Thin theory'!P36))))</f>
        <v>8.04205724112595E-06-8.3220987067735E-20i</v>
      </c>
      <c r="R36" s="36" t="str">
        <f>IMSUM(IMPRODUCT(w_b1,Cj_1,IMEXP(IMPRODUCT(Lambda_1,'Thin theory'!P36))),IMPRODUCT(w_b2,Cj_2,IMEXP(IMPRODUCT(Lambda_2,'Thin theory'!P36))),IMPRODUCT(w_b3,Cj_3,IMEXP(IMPRODUCT(Lambda_3,'Thin theory'!P36))),IMPRODUCT(w_b4,Cj_4,IMEXP(IMPRODUCT(Lambda_4,'Thin theory'!P36))))</f>
        <v>1.62490992919783E-07+2.96990927131039E-20i</v>
      </c>
      <c r="S36" s="36" t="str">
        <f>IMSUM(IMPRODUCT(beta_a1,Cj_1,IMEXP(IMPRODUCT(Lambda_1,'Thin theory'!P36))),IMPRODUCT(beta_a2,Cj_2,IMEXP(IMPRODUCT(Lambda_2,'Thin theory'!P36))),IMPRODUCT(beta_a3,Cj_3,IMEXP(IMPRODUCT(Lambda_3,'Thin theory'!P36))),IMPRODUCT(beta_a4,Cj_4,IMEXP(IMPRODUCT(Lambda_4,'Thin theory'!P36))))</f>
        <v>2.67596411847602E-07+5.26219218481734E-20i</v>
      </c>
      <c r="T36" s="36" t="str">
        <f>IMSUM(IMPRODUCT(beta_b1,Cj_1,IMEXP(IMPRODUCT(Lambda_1,'Thin theory'!P36))),IMPRODUCT(beta_b2,Cj_2,IMEXP(IMPRODUCT(Lambda_2,'Thin theory'!P36))),IMPRODUCT(beta_b3,Cj_3,IMEXP(IMPRODUCT(Lambda_3,'Thin theory'!P36))),IMPRODUCT(beta_b4,Cj_4,IMEXP(IMPRODUCT(Lambda_4,'Thin theory'!P36))))</f>
        <v>-4.29959395688111E-07+9.22207121323119E-20i</v>
      </c>
      <c r="U36" s="36" t="str">
        <f>IMSUM(IMPRODUCT(Lambda_1,beta_b1,Cj_1,IMEXP(IMPRODUCT(Lambda_1,'Thin theory'!P36))),IMPRODUCT(Lambda_2,beta_b2,Cj_2,IMEXP(IMPRODUCT(Lambda_2,'Thin theory'!P36))),IMPRODUCT(Lambda_3,beta_b3,Cj_3,IMEXP(IMPRODUCT(Lambda_3,'Thin theory'!P36))),IMPRODUCT(Lambda_4,beta_b4,Cj_4,IMEXP(IMPRODUCT(Lambda_4,'Thin theory'!P36))))</f>
        <v>3.67868966247365E-07+7.86946547558448E-20i</v>
      </c>
      <c r="V36" s="36" t="str">
        <f>IMSUM(IMPRODUCT(-1,uc),Nz/Cs*'Thin theory'!P36,IMPRODUCT(-nu/rad,IMSUM(wm*'Thin theory'!P36,IMPRODUCT(IMDIV(w_a1,Lambda_1),Cj_1,IMEXP(IMPRODUCT(Lambda_1,'Thin theory'!P36))),IMPRODUCT(IMDIV(w_a2,Lambda_2),Cj_2,IMEXP(IMPRODUCT(Lambda_2,'Thin theory'!P36))),IMPRODUCT(IMDIV(w_a3,Lambda_3),Cj_3,IMEXP(IMPRODUCT(Lambda_3,'Thin theory'!P36))),IMPRODUCT(IMDIV(w_a4,Lambda_4),Cj_4,IMEXP(IMPRODUCT(Lambda_4,'Thin theory'!P36))))))</f>
        <v>0.0000362584559773256+3.68467496328267E-19i</v>
      </c>
      <c r="W36" s="36" t="str">
        <f t="shared" si="13"/>
        <v>-5.03252343446756E-06+4.9932592240641E-21i</v>
      </c>
      <c r="X36" s="41">
        <f t="shared" si="11"/>
        <v>3.6258455977325597E-5</v>
      </c>
      <c r="Y36" s="41">
        <f t="shared" si="12"/>
        <v>8.0420572411259494E-6</v>
      </c>
      <c r="Z36" s="38">
        <f t="shared" si="14"/>
        <v>-1.0000000000000007</v>
      </c>
      <c r="AA36" s="38">
        <f t="shared" si="15"/>
        <v>2.1682289645037739E-2</v>
      </c>
      <c r="AB36" s="38">
        <f t="shared" si="16"/>
        <v>-7.87471420674196E-3</v>
      </c>
      <c r="AC36" s="38">
        <f t="shared" si="17"/>
        <v>-2.3624142620225878E-3</v>
      </c>
      <c r="AD36" s="38">
        <f t="shared" si="18"/>
        <v>-1.0472482852404523</v>
      </c>
      <c r="AE36" s="38">
        <f t="shared" si="19"/>
        <v>-1.0000000000000007</v>
      </c>
      <c r="AF36" s="38">
        <f t="shared" si="20"/>
        <v>-0.9527517147595489</v>
      </c>
      <c r="AG36" s="38">
        <f t="shared" si="21"/>
        <v>7.5078040729022119E-3</v>
      </c>
      <c r="AH36" s="38">
        <f t="shared" si="22"/>
        <v>2.1682289645037739E-2</v>
      </c>
      <c r="AI36" s="38">
        <f t="shared" si="23"/>
        <v>3.5856775217173266E-2</v>
      </c>
    </row>
    <row r="37" spans="8:35" x14ac:dyDescent="0.3">
      <c r="H37" s="2"/>
      <c r="I37" s="2"/>
      <c r="J37" s="2"/>
      <c r="K37" s="2"/>
      <c r="L37" s="1" t="s">
        <v>89</v>
      </c>
      <c r="M37" s="1" t="str">
        <f>IMPRODUCT(beta_a2,IMEXP(IMPRODUCT(Lambda_2,L)))</f>
        <v>490.081166929082-465.943456656931i</v>
      </c>
      <c r="N37" s="2"/>
      <c r="Q37" s="36" t="str">
        <f>IMSUM(wm,IMPRODUCT(w_a1,Cj_1,IMEXP(IMPRODUCT(Lambda_1,'Thin theory'!P37))),IMPRODUCT(w_a2,Cj_2,IMEXP(IMPRODUCT(Lambda_2,'Thin theory'!P37))),IMPRODUCT(w_a3,Cj_3,IMEXP(IMPRODUCT(Lambda_3,'Thin theory'!P37))),IMPRODUCT(w_a4,Cj_4,IMEXP(IMPRODUCT(Lambda_4,'Thin theory'!P37))))</f>
        <v>8.05804841488917E-06-8.08916464627857E-20i</v>
      </c>
      <c r="R37" s="36" t="str">
        <f>IMSUM(IMPRODUCT(w_b1,Cj_1,IMEXP(IMPRODUCT(Lambda_1,'Thin theory'!P37))),IMPRODUCT(w_b2,Cj_2,IMEXP(IMPRODUCT(Lambda_2,'Thin theory'!P37))),IMPRODUCT(w_b3,Cj_3,IMEXP(IMPRODUCT(Lambda_3,'Thin theory'!P37))),IMPRODUCT(w_b4,Cj_4,IMEXP(IMPRODUCT(Lambda_4,'Thin theory'!P37))))</f>
        <v>1.24343543869542E-07+3.95987902841385E-20i</v>
      </c>
      <c r="S37" s="36" t="str">
        <f>IMSUM(IMPRODUCT(beta_a1,Cj_1,IMEXP(IMPRODUCT(Lambda_1,'Thin theory'!P37))),IMPRODUCT(beta_a2,Cj_2,IMEXP(IMPRODUCT(Lambda_2,'Thin theory'!P37))),IMPRODUCT(beta_a3,Cj_3,IMEXP(IMPRODUCT(Lambda_3,'Thin theory'!P37))),IMPRODUCT(beta_a4,Cj_4,IMEXP(IMPRODUCT(Lambda_4,'Thin theory'!P37))))</f>
        <v>2.21769082074655E-07+6.35274710440725E-20i</v>
      </c>
      <c r="T37" s="36" t="str">
        <f>IMSUM(IMPRODUCT(beta_b1,Cj_1,IMEXP(IMPRODUCT(Lambda_1,'Thin theory'!P37))),IMPRODUCT(beta_b2,Cj_2,IMEXP(IMPRODUCT(Lambda_2,'Thin theory'!P37))),IMPRODUCT(beta_b3,Cj_3,IMEXP(IMPRODUCT(Lambda_3,'Thin theory'!P37))),IMPRODUCT(beta_b4,Cj_4,IMEXP(IMPRODUCT(Lambda_4,'Thin theory'!P37))))</f>
        <v>-3.90325737226702E-07+1.01379255874499E-19i</v>
      </c>
      <c r="U37" s="36" t="str">
        <f>IMSUM(IMPRODUCT(Lambda_1,beta_b1,Cj_1,IMEXP(IMPRODUCT(Lambda_1,'Thin theory'!P37))),IMPRODUCT(Lambda_2,beta_b2,Cj_2,IMEXP(IMPRODUCT(Lambda_2,'Thin theory'!P37))),IMPRODUCT(Lambda_3,beta_b3,Cj_3,IMEXP(IMPRODUCT(Lambda_3,'Thin theory'!P37))),IMPRODUCT(Lambda_4,beta_b4,Cj_4,IMEXP(IMPRODUCT(Lambda_4,'Thin theory'!P37))))</f>
        <v>3.40989383717896E-07+8.26982089206015E-20i</v>
      </c>
      <c r="V37" s="36" t="str">
        <f>IMSUM(IMPRODUCT(-1,uc),Nz/Cs*'Thin theory'!P37,IMPRODUCT(-nu/rad,IMSUM(wm*'Thin theory'!P37,IMPRODUCT(IMDIV(w_a1,Lambda_1),Cj_1,IMEXP(IMPRODUCT(Lambda_1,'Thin theory'!P37))),IMPRODUCT(IMDIV(w_a2,Lambda_2),Cj_2,IMEXP(IMPRODUCT(Lambda_2,'Thin theory'!P37))),IMPRODUCT(IMDIV(w_a3,Lambda_3),Cj_3,IMEXP(IMPRODUCT(Lambda_3,'Thin theory'!P37))),IMPRODUCT(IMDIV(w_a4,Lambda_4),Cj_4,IMEXP(IMPRODUCT(Lambda_4,'Thin theory'!P37))))))</f>
        <v>0.0000356957467326032+3.69032096727171E-19i</v>
      </c>
      <c r="W37" s="36" t="str">
        <f t="shared" si="13"/>
        <v>-5.03348290489335E-06+4.85349878776714E-21i</v>
      </c>
      <c r="X37" s="41">
        <f t="shared" si="11"/>
        <v>3.5695746732603198E-5</v>
      </c>
      <c r="Y37" s="41">
        <f t="shared" si="12"/>
        <v>8.0580484148891697E-6</v>
      </c>
      <c r="Z37" s="38">
        <f t="shared" si="14"/>
        <v>-1</v>
      </c>
      <c r="AA37" s="38">
        <f t="shared" si="15"/>
        <v>2.2321936595566784E-2</v>
      </c>
      <c r="AB37" s="38">
        <f t="shared" si="16"/>
        <v>-7.1488230261300733E-3</v>
      </c>
      <c r="AC37" s="38">
        <f t="shared" si="17"/>
        <v>-2.1446469078390219E-3</v>
      </c>
      <c r="AD37" s="38">
        <f t="shared" si="18"/>
        <v>-1.0428929381567804</v>
      </c>
      <c r="AE37" s="38">
        <f t="shared" si="19"/>
        <v>-1</v>
      </c>
      <c r="AF37" s="38">
        <f t="shared" si="20"/>
        <v>-0.95710706184321959</v>
      </c>
      <c r="AG37" s="38">
        <f t="shared" si="21"/>
        <v>9.4540551485326526E-3</v>
      </c>
      <c r="AH37" s="38">
        <f t="shared" si="22"/>
        <v>2.2321936595566784E-2</v>
      </c>
      <c r="AI37" s="38">
        <f t="shared" si="23"/>
        <v>3.5189818042600914E-2</v>
      </c>
    </row>
    <row r="38" spans="8:35" x14ac:dyDescent="0.3">
      <c r="H38" s="2"/>
      <c r="I38" s="2"/>
      <c r="J38" s="2"/>
      <c r="K38" s="2"/>
      <c r="L38" s="1" t="s">
        <v>90</v>
      </c>
      <c r="M38" s="1" t="str">
        <f>IMPRODUCT(beta_a3,IMEXP(IMPRODUCT(Lambda_3,L)))</f>
        <v>-0.000448269943778498+0.000868482314002888i</v>
      </c>
      <c r="N38" s="2"/>
      <c r="Q38" s="36" t="str">
        <f>IMSUM(wm,IMPRODUCT(w_a1,Cj_1,IMEXP(IMPRODUCT(Lambda_1,'Thin theory'!P38))),IMPRODUCT(w_a2,Cj_2,IMEXP(IMPRODUCT(Lambda_2,'Thin theory'!P38))),IMPRODUCT(w_a3,Cj_3,IMEXP(IMPRODUCT(Lambda_3,'Thin theory'!P38))),IMPRODUCT(w_a4,Cj_4,IMEXP(IMPRODUCT(Lambda_4,'Thin theory'!P38))))</f>
        <v>0.0000080700273780248-7.52800531872259E-20i</v>
      </c>
      <c r="R38" s="36" t="str">
        <f>IMSUM(IMPRODUCT(w_b1,Cj_1,IMEXP(IMPRODUCT(Lambda_1,'Thin theory'!P38))),IMPRODUCT(w_b2,Cj_2,IMEXP(IMPRODUCT(Lambda_2,'Thin theory'!P38))),IMPRODUCT(w_b3,Cj_3,IMEXP(IMPRODUCT(Lambda_3,'Thin theory'!P38))),IMPRODUCT(w_b4,Cj_4,IMEXP(IMPRODUCT(Lambda_4,'Thin theory'!P38))))</f>
        <v>9.06523093134082E-08+5.05043394800377E-20i</v>
      </c>
      <c r="S38" s="36" t="str">
        <f>IMSUM(IMPRODUCT(beta_a1,Cj_1,IMEXP(IMPRODUCT(Lambda_1,'Thin theory'!P38))),IMPRODUCT(beta_a2,Cj_2,IMEXP(IMPRODUCT(Lambda_2,'Thin theory'!P38))),IMPRODUCT(beta_a3,Cj_3,IMEXP(IMPRODUCT(Lambda_3,'Thin theory'!P38))),IMPRODUCT(beta_a4,Cj_4,IMEXP(IMPRODUCT(Lambda_4,'Thin theory'!P38))))</f>
        <v>1.80203411549433E-07+7.45388993583784E-20i</v>
      </c>
      <c r="T38" s="36" t="str">
        <f>IMSUM(IMPRODUCT(beta_b1,Cj_1,IMEXP(IMPRODUCT(Lambda_1,'Thin theory'!P38))),IMPRODUCT(beta_b2,Cj_2,IMEXP(IMPRODUCT(Lambda_2,'Thin theory'!P38))),IMPRODUCT(beta_b3,Cj_3,IMEXP(IMPRODUCT(Lambda_3,'Thin theory'!P38))),IMPRODUCT(beta_b4,Cj_4,IMEXP(IMPRODUCT(Lambda_4,'Thin theory'!P38))))</f>
        <v>-3.53737198563283E-07+1.10881906751508E-19i</v>
      </c>
      <c r="U38" s="36" t="str">
        <f>IMSUM(IMPRODUCT(Lambda_1,beta_b1,Cj_1,IMEXP(IMPRODUCT(Lambda_1,'Thin theory'!P38))),IMPRODUCT(Lambda_2,beta_b2,Cj_2,IMEXP(IMPRODUCT(Lambda_2,'Thin theory'!P38))),IMPRODUCT(Lambda_3,beta_b3,Cj_3,IMEXP(IMPRODUCT(Lambda_3,'Thin theory'!P38))),IMPRODUCT(Lambda_4,beta_b4,Cj_4,IMEXP(IMPRODUCT(Lambda_4,'Thin theory'!P38))))</f>
        <v>3.13428857826085E-07+8.65991926894016E-20i</v>
      </c>
      <c r="V38" s="36" t="str">
        <f>IMSUM(IMPRODUCT(-1,uc),Nz/Cs*'Thin theory'!P38,IMPRODUCT(-nu/rad,IMSUM(wm*'Thin theory'!P38,IMPRODUCT(IMDIV(w_a1,Lambda_1),Cj_1,IMEXP(IMPRODUCT(Lambda_1,'Thin theory'!P38))),IMPRODUCT(IMDIV(w_a2,Lambda_2),Cj_2,IMEXP(IMPRODUCT(Lambda_2,'Thin theory'!P38))),IMPRODUCT(IMDIV(w_a3,Lambda_3),Cj_3,IMEXP(IMPRODUCT(Lambda_3,'Thin theory'!P38))),IMPRODUCT(IMDIV(w_a4,Lambda_4),Cj_4,IMEXP(IMPRODUCT(Lambda_4,'Thin theory'!P38))))))</f>
        <v>0.0000351329439517046+3.69553021989732E-19i</v>
      </c>
      <c r="W38" s="36" t="str">
        <f t="shared" si="13"/>
        <v>-5.03420164268149E-06+4.51680319123355E-21i</v>
      </c>
      <c r="X38" s="41">
        <f t="shared" si="11"/>
        <v>3.5132943951704598E-5</v>
      </c>
      <c r="Y38" s="41">
        <f t="shared" si="12"/>
        <v>8.0700273780248001E-6</v>
      </c>
      <c r="Z38" s="38">
        <f t="shared" si="14"/>
        <v>-1.0000000000000004</v>
      </c>
      <c r="AA38" s="38">
        <f t="shared" si="15"/>
        <v>2.2801095120991849E-2</v>
      </c>
      <c r="AB38" s="38">
        <f t="shared" si="16"/>
        <v>-6.4787032703897979E-3</v>
      </c>
      <c r="AC38" s="38">
        <f t="shared" si="17"/>
        <v>-1.9436109811169393E-3</v>
      </c>
      <c r="AD38" s="38">
        <f t="shared" si="18"/>
        <v>-1.0388722196223392</v>
      </c>
      <c r="AE38" s="38">
        <f t="shared" si="19"/>
        <v>-1.0000000000000004</v>
      </c>
      <c r="AF38" s="38">
        <f t="shared" si="20"/>
        <v>-0.96112778037766167</v>
      </c>
      <c r="AG38" s="38">
        <f t="shared" si="21"/>
        <v>1.1139429234290213E-2</v>
      </c>
      <c r="AH38" s="38">
        <f t="shared" si="22"/>
        <v>2.2801095120991849E-2</v>
      </c>
      <c r="AI38" s="38">
        <f t="shared" si="23"/>
        <v>3.4462761007693486E-2</v>
      </c>
    </row>
    <row r="39" spans="8:35" x14ac:dyDescent="0.3">
      <c r="H39" s="2"/>
      <c r="I39" s="2"/>
      <c r="J39" s="2"/>
      <c r="K39" s="2"/>
      <c r="L39" s="1" t="s">
        <v>91</v>
      </c>
      <c r="M39" s="1" t="str">
        <f>IMPRODUCT(beta_a4,IMEXP(IMPRODUCT(Lambda_4,L)))</f>
        <v>-0.000448269943778498-0.000868482314002888i</v>
      </c>
      <c r="N39" s="2"/>
      <c r="Q39" s="36" t="str">
        <f>IMSUM(wm,IMPRODUCT(w_a1,Cj_1,IMEXP(IMPRODUCT(Lambda_1,'Thin theory'!P39))),IMPRODUCT(w_a2,Cj_2,IMEXP(IMPRODUCT(Lambda_2,'Thin theory'!P39))),IMPRODUCT(w_a3,Cj_3,IMEXP(IMPRODUCT(Lambda_3,'Thin theory'!P39))),IMPRODUCT(w_a4,Cj_4,IMEXP(IMPRODUCT(Lambda_4,'Thin theory'!P39))))</f>
        <v>8.07847016811339E-06-6.93772923360475E-20i</v>
      </c>
      <c r="R39" s="36" t="str">
        <f>IMSUM(IMPRODUCT(w_b1,Cj_1,IMEXP(IMPRODUCT(Lambda_1,'Thin theory'!P39))),IMPRODUCT(w_b2,Cj_2,IMEXP(IMPRODUCT(Lambda_2,'Thin theory'!P39))),IMPRODUCT(w_b3,Cj_3,IMEXP(IMPRODUCT(Lambda_3,'Thin theory'!P39))),IMPRODUCT(w_b4,Cj_4,IMEXP(IMPRODUCT(Lambda_4,'Thin theory'!P39))))</f>
        <v>6.10203644348392E-08+6.26804380968182E-20i</v>
      </c>
      <c r="S39" s="36" t="str">
        <f>IMSUM(IMPRODUCT(beta_a1,Cj_1,IMEXP(IMPRODUCT(Lambda_1,'Thin theory'!P39))),IMPRODUCT(beta_a2,Cj_2,IMEXP(IMPRODUCT(Lambda_2,'Thin theory'!P39))),IMPRODUCT(beta_a3,Cj_3,IMEXP(IMPRODUCT(Lambda_3,'Thin theory'!P39))),IMPRODUCT(beta_a4,Cj_4,IMEXP(IMPRODUCT(Lambda_4,'Thin theory'!P39))))</f>
        <v>1.42555085392455E-07+8.85678825472778E-20i</v>
      </c>
      <c r="T39" s="36" t="str">
        <f>IMSUM(IMPRODUCT(beta_b1,Cj_1,IMEXP(IMPRODUCT(Lambda_1,'Thin theory'!P39))),IMPRODUCT(beta_b2,Cj_2,IMEXP(IMPRODUCT(Lambda_2,'Thin theory'!P39))),IMPRODUCT(beta_b3,Cj_3,IMEXP(IMPRODUCT(Lambda_3,'Thin theory'!P39))),IMPRODUCT(beta_b4,Cj_4,IMEXP(IMPRODUCT(Lambda_4,'Thin theory'!P39))))</f>
        <v>-3.20259401435413E-07+1.2088748344095E-19i</v>
      </c>
      <c r="U39" s="36" t="str">
        <f>IMSUM(IMPRODUCT(Lambda_1,beta_b1,Cj_1,IMEXP(IMPRODUCT(Lambda_1,'Thin theory'!P39))),IMPRODUCT(Lambda_2,beta_b2,Cj_2,IMEXP(IMPRODUCT(Lambda_2,'Thin theory'!P39))),IMPRODUCT(Lambda_3,beta_b3,Cj_3,IMEXP(IMPRODUCT(Lambda_3,'Thin theory'!P39))),IMPRODUCT(Lambda_4,beta_b4,Cj_4,IMEXP(IMPRODUCT(Lambda_4,'Thin theory'!P39))))</f>
        <v>2.85371523351655E-07+9.00485358437477E-20i</v>
      </c>
      <c r="V39" s="36" t="str">
        <f>IMSUM(IMPRODUCT(-1,uc),Nz/Cs*'Thin theory'!P39,IMPRODUCT(-nu/rad,IMSUM(wm*'Thin theory'!P39,IMPRODUCT(IMDIV(w_a1,Lambda_1),Cj_1,IMEXP(IMPRODUCT(Lambda_1,'Thin theory'!P39))),IMPRODUCT(IMDIV(w_a2,Lambda_2),Cj_2,IMEXP(IMPRODUCT(Lambda_2,'Thin theory'!P39))),IMPRODUCT(IMDIV(w_a3,Lambda_3),Cj_3,IMEXP(IMPRODUCT(Lambda_3,'Thin theory'!P39))),IMPRODUCT(IMDIV(w_a4,Lambda_4),Cj_4,IMEXP(IMPRODUCT(Lambda_4,'Thin theory'!P39))))))</f>
        <v>0.0000345700729278689+3.70033249966156E-19i</v>
      </c>
      <c r="W39" s="36" t="str">
        <f t="shared" si="13"/>
        <v>-0.0000050347082100868+4.16263754016285E-21i</v>
      </c>
      <c r="X39" s="41">
        <f t="shared" si="11"/>
        <v>3.4570072927868899E-5</v>
      </c>
      <c r="Y39" s="41">
        <f t="shared" si="12"/>
        <v>8.0784701681133906E-6</v>
      </c>
      <c r="Z39" s="38">
        <f t="shared" si="14"/>
        <v>-0.99999999999999911</v>
      </c>
      <c r="AA39" s="38">
        <f t="shared" si="15"/>
        <v>2.3138806724535887E-2</v>
      </c>
      <c r="AB39" s="38">
        <f t="shared" si="16"/>
        <v>-5.8655568028463919E-3</v>
      </c>
      <c r="AC39" s="38">
        <f t="shared" si="17"/>
        <v>-1.7596670408539174E-3</v>
      </c>
      <c r="AD39" s="38">
        <f t="shared" si="18"/>
        <v>-1.0351933408170775</v>
      </c>
      <c r="AE39" s="38">
        <f t="shared" si="19"/>
        <v>-0.99999999999999911</v>
      </c>
      <c r="AF39" s="38">
        <f t="shared" si="20"/>
        <v>-0.96480665918292075</v>
      </c>
      <c r="AG39" s="38">
        <f t="shared" si="21"/>
        <v>1.2580804479412382E-2</v>
      </c>
      <c r="AH39" s="38">
        <f t="shared" si="22"/>
        <v>2.3138806724535887E-2</v>
      </c>
      <c r="AI39" s="38">
        <f t="shared" si="23"/>
        <v>3.3696808969659389E-2</v>
      </c>
    </row>
    <row r="40" spans="8:35" x14ac:dyDescent="0.3">
      <c r="H40" s="2"/>
      <c r="I40" s="2"/>
      <c r="J40" s="2"/>
      <c r="K40" s="2"/>
      <c r="L40" s="1" t="s">
        <v>92</v>
      </c>
      <c r="M40" s="1" t="str">
        <f>IMPRODUCT(beta_b1,IMEXP(IMPRODUCT(Lambda_1,L)))</f>
        <v>39.8331810402102+548.302314195567i</v>
      </c>
      <c r="N40" s="2"/>
      <c r="Q40" s="36" t="str">
        <f>IMSUM(wm,IMPRODUCT(w_a1,Cj_1,IMEXP(IMPRODUCT(Lambda_1,'Thin theory'!P40))),IMPRODUCT(w_a2,Cj_2,IMEXP(IMPRODUCT(Lambda_2,'Thin theory'!P40))),IMPRODUCT(w_a3,Cj_3,IMEXP(IMPRODUCT(Lambda_3,'Thin theory'!P40))),IMPRODUCT(w_a4,Cj_4,IMEXP(IMPRODUCT(Lambda_4,'Thin theory'!P40))))</f>
        <v>8.08380843638542E-06-6.10657815411147E-20i</v>
      </c>
      <c r="R40" s="36" t="str">
        <f>IMSUM(IMPRODUCT(w_b1,Cj_1,IMEXP(IMPRODUCT(Lambda_1,'Thin theory'!P40))),IMPRODUCT(w_b2,Cj_2,IMEXP(IMPRODUCT(Lambda_2,'Thin theory'!P40))),IMPRODUCT(w_b3,Cj_3,IMEXP(IMPRODUCT(Lambda_3,'Thin theory'!P40))),IMPRODUCT(w_b4,Cj_4,IMEXP(IMPRODUCT(Lambda_4,'Thin theory'!P40))))</f>
        <v>3.50508837293853E-08+7.49888856116073E-20i</v>
      </c>
      <c r="S40" s="36" t="str">
        <f>IMSUM(IMPRODUCT(beta_a1,Cj_1,IMEXP(IMPRODUCT(Lambda_1,'Thin theory'!P40))),IMPRODUCT(beta_a2,Cj_2,IMEXP(IMPRODUCT(Lambda_2,'Thin theory'!P40))),IMPRODUCT(beta_a3,Cj_3,IMEXP(IMPRODUCT(Lambda_3,'Thin theory'!P40))),IMPRODUCT(beta_a4,Cj_4,IMEXP(IMPRODUCT(Lambda_4,'Thin theory'!P40))))</f>
        <v>1.08473555529727E-07+1.01776302568525E-19i</v>
      </c>
      <c r="T40" s="36" t="str">
        <f>IMSUM(IMPRODUCT(beta_b1,Cj_1,IMEXP(IMPRODUCT(Lambda_1,'Thin theory'!P40))),IMPRODUCT(beta_b2,Cj_2,IMEXP(IMPRODUCT(Lambda_2,'Thin theory'!P40))),IMPRODUCT(beta_b3,Cj_3,IMEXP(IMPRODUCT(Lambda_3,'Thin theory'!P40))),IMPRODUCT(beta_b4,Cj_4,IMEXP(IMPRODUCT(Lambda_4,'Thin theory'!P40))))</f>
        <v>-2.89938639876105E-07+1.31316576604018E-19i</v>
      </c>
      <c r="U40" s="36" t="str">
        <f>IMSUM(IMPRODUCT(Lambda_1,beta_b1,Cj_1,IMEXP(IMPRODUCT(Lambda_1,'Thin theory'!P40))),IMPRODUCT(Lambda_2,beta_b2,Cj_2,IMEXP(IMPRODUCT(Lambda_2,'Thin theory'!P40))),IMPRODUCT(Lambda_3,beta_b3,Cj_3,IMEXP(IMPRODUCT(Lambda_3,'Thin theory'!P40))),IMPRODUCT(Lambda_4,beta_b4,Cj_4,IMEXP(IMPRODUCT(Lambda_4,'Thin theory'!P40))))</f>
        <v>2.56979351301195E-07+9.33225167082326E-20i</v>
      </c>
      <c r="V40" s="36" t="str">
        <f>IMSUM(IMPRODUCT(-1,uc),Nz/Cs*'Thin theory'!P40,IMPRODUCT(-nu/rad,IMSUM(wm*'Thin theory'!P40,IMPRODUCT(IMDIV(w_a1,Lambda_1),Cj_1,IMEXP(IMPRODUCT(Lambda_1,'Thin theory'!P40))),IMPRODUCT(IMDIV(w_a2,Lambda_2),Cj_2,IMEXP(IMPRODUCT(Lambda_2,'Thin theory'!P40))),IMPRODUCT(IMDIV(w_a3,Lambda_3),Cj_3,IMEXP(IMPRODUCT(Lambda_3,'Thin theory'!P40))),IMPRODUCT(IMDIV(w_a4,Lambda_4),Cj_4,IMEXP(IMPRODUCT(Lambda_4,'Thin theory'!P40))))))</f>
        <v>0.0000340071559098607+3.70475659244974E-19i</v>
      </c>
      <c r="W40" s="36" t="str">
        <f t="shared" si="13"/>
        <v>-5.03502850618313E-06+3.66394689246688E-21i</v>
      </c>
      <c r="X40" s="41">
        <f t="shared" si="11"/>
        <v>3.40071559098607E-5</v>
      </c>
      <c r="Y40" s="41">
        <f t="shared" si="12"/>
        <v>8.0838084363854204E-6</v>
      </c>
      <c r="Z40" s="38">
        <f t="shared" si="14"/>
        <v>-1.0000000000000011</v>
      </c>
      <c r="AA40" s="38">
        <f t="shared" si="15"/>
        <v>2.3352337455416528E-2</v>
      </c>
      <c r="AB40" s="38">
        <f t="shared" si="16"/>
        <v>-5.3102314995623632E-3</v>
      </c>
      <c r="AC40" s="38">
        <f t="shared" si="17"/>
        <v>-1.5930694498687088E-3</v>
      </c>
      <c r="AD40" s="38">
        <f t="shared" si="18"/>
        <v>-1.0318613889973753</v>
      </c>
      <c r="AE40" s="38">
        <f t="shared" si="19"/>
        <v>-1.0000000000000011</v>
      </c>
      <c r="AF40" s="38">
        <f t="shared" si="20"/>
        <v>-0.96813861100262688</v>
      </c>
      <c r="AG40" s="38">
        <f t="shared" si="21"/>
        <v>1.3793920756204276E-2</v>
      </c>
      <c r="AH40" s="38">
        <f t="shared" si="22"/>
        <v>2.3352337455416528E-2</v>
      </c>
      <c r="AI40" s="38">
        <f t="shared" si="23"/>
        <v>3.2910754154628782E-2</v>
      </c>
    </row>
    <row r="41" spans="8:35" x14ac:dyDescent="0.3">
      <c r="H41" s="2"/>
      <c r="I41" s="2"/>
      <c r="J41" s="2"/>
      <c r="K41" s="2"/>
      <c r="L41" s="1" t="s">
        <v>93</v>
      </c>
      <c r="M41" s="1" t="str">
        <f>IMPRODUCT(beta_b2,IMEXP(IMPRODUCT(Lambda_2,L)))</f>
        <v>39.8331810402102-548.302314195567i</v>
      </c>
      <c r="N41" s="2"/>
      <c r="Q41" s="36" t="str">
        <f>IMSUM(wm,IMPRODUCT(w_a1,Cj_1,IMEXP(IMPRODUCT(Lambda_1,'Thin theory'!P41))),IMPRODUCT(w_a2,Cj_2,IMEXP(IMPRODUCT(Lambda_2,'Thin theory'!P41))),IMPRODUCT(w_a3,Cj_3,IMEXP(IMPRODUCT(Lambda_3,'Thin theory'!P41))),IMPRODUCT(w_a4,Cj_4,IMEXP(IMPRODUCT(Lambda_4,'Thin theory'!P41))))</f>
        <v>8.08642953997893E-06-5.12190235292835E-20i</v>
      </c>
      <c r="R41" s="36" t="str">
        <f>IMSUM(IMPRODUCT(w_b1,Cj_1,IMEXP(IMPRODUCT(Lambda_1,'Thin theory'!P41))),IMPRODUCT(w_b2,Cj_2,IMEXP(IMPRODUCT(Lambda_2,'Thin theory'!P41))),IMPRODUCT(w_b3,Cj_3,IMEXP(IMPRODUCT(Lambda_3,'Thin theory'!P41))),IMPRODUCT(w_b4,Cj_4,IMEXP(IMPRODUCT(Lambda_4,'Thin theory'!P41))))</f>
        <v>1.23485490340175E-08+8.9600203951744E-20i</v>
      </c>
      <c r="S41" s="36" t="str">
        <f>IMSUM(IMPRODUCT(beta_a1,Cj_1,IMEXP(IMPRODUCT(Lambda_1,'Thin theory'!P41))),IMPRODUCT(beta_a2,Cj_2,IMEXP(IMPRODUCT(Lambda_2,'Thin theory'!P41))),IMPRODUCT(beta_a3,Cj_3,IMEXP(IMPRODUCT(Lambda_3,'Thin theory'!P41))),IMPRODUCT(beta_a4,Cj_4,IMEXP(IMPRODUCT(Lambda_4,'Thin theory'!P41))))</f>
        <v>7.7604067587001E-08+1.17208184076314E-19i</v>
      </c>
      <c r="T41" s="36" t="str">
        <f>IMSUM(IMPRODUCT(beta_b1,Cj_1,IMEXP(IMPRODUCT(Lambda_1,'Thin theory'!P41))),IMPRODUCT(beta_b2,Cj_2,IMEXP(IMPRODUCT(Lambda_2,'Thin theory'!P41))),IMPRODUCT(beta_b3,Cj_3,IMEXP(IMPRODUCT(Lambda_3,'Thin theory'!P41))),IMPRODUCT(beta_b4,Cj_4,IMEXP(IMPRODUCT(Lambda_4,'Thin theory'!P41))))</f>
        <v>-2.62804237072193E-07+1.40925106599434E-19i</v>
      </c>
      <c r="U41" s="36" t="str">
        <f>IMSUM(IMPRODUCT(Lambda_1,beta_b1,Cj_1,IMEXP(IMPRODUCT(Lambda_1,'Thin theory'!P41))),IMPRODUCT(Lambda_2,beta_b2,Cj_2,IMEXP(IMPRODUCT(Lambda_2,'Thin theory'!P41))),IMPRODUCT(Lambda_3,beta_b3,Cj_3,IMEXP(IMPRODUCT(Lambda_3,'Thin theory'!P41))),IMPRODUCT(Lambda_4,beta_b4,Cj_4,IMEXP(IMPRODUCT(Lambda_4,'Thin theory'!P41))))</f>
        <v>2.28394314935442E-07+9.60009275316793E-20i</v>
      </c>
      <c r="V41" s="36" t="str">
        <f>IMSUM(IMPRODUCT(-1,uc),Nz/Cs*'Thin theory'!P41,IMPRODUCT(-nu/rad,IMSUM(wm*'Thin theory'!P41,IMPRODUCT(IMDIV(w_a1,Lambda_1),Cj_1,IMEXP(IMPRODUCT(Lambda_1,'Thin theory'!P41))),IMPRODUCT(IMDIV(w_a2,Lambda_2),Cj_2,IMEXP(IMPRODUCT(Lambda_2,'Thin theory'!P41))),IMPRODUCT(IMDIV(w_a3,Lambda_3),Cj_3,IMEXP(IMPRODUCT(Lambda_3,'Thin theory'!P41))),IMPRODUCT(IMDIV(w_a4,Lambda_4),Cj_4,IMEXP(IMPRODUCT(Lambda_4,'Thin theory'!P41))))))</f>
        <v>0.0000334442123995014+3.70843423745315E-19i</v>
      </c>
      <c r="W41" s="36" t="str">
        <f t="shared" si="13"/>
        <v>-5.03518577239874E-06+3.07314141175701E-21i</v>
      </c>
      <c r="X41" s="41">
        <f t="shared" si="11"/>
        <v>3.3444212399501403E-5</v>
      </c>
      <c r="Y41" s="41">
        <f t="shared" si="12"/>
        <v>8.0864295399789303E-6</v>
      </c>
      <c r="Z41" s="38">
        <f t="shared" si="14"/>
        <v>-1.0000000000000009</v>
      </c>
      <c r="AA41" s="38">
        <f t="shared" si="15"/>
        <v>2.3457181599156929E-2</v>
      </c>
      <c r="AB41" s="38">
        <f t="shared" si="16"/>
        <v>-4.8132644152416304E-3</v>
      </c>
      <c r="AC41" s="38">
        <f t="shared" si="17"/>
        <v>-1.4439793245724891E-3</v>
      </c>
      <c r="AD41" s="38">
        <f t="shared" si="18"/>
        <v>-1.0288795864914506</v>
      </c>
      <c r="AE41" s="38">
        <f t="shared" si="19"/>
        <v>-1.0000000000000009</v>
      </c>
      <c r="AF41" s="38">
        <f t="shared" si="20"/>
        <v>-0.97112041350855116</v>
      </c>
      <c r="AG41" s="38">
        <f t="shared" si="21"/>
        <v>1.4793305651721995E-2</v>
      </c>
      <c r="AH41" s="38">
        <f t="shared" si="22"/>
        <v>2.3457181599156929E-2</v>
      </c>
      <c r="AI41" s="38">
        <f t="shared" si="23"/>
        <v>3.2121057546591864E-2</v>
      </c>
    </row>
    <row r="42" spans="8:35" x14ac:dyDescent="0.3">
      <c r="H42" s="2"/>
      <c r="I42" s="2"/>
      <c r="J42" s="2"/>
      <c r="K42" s="2"/>
      <c r="L42" s="1" t="s">
        <v>94</v>
      </c>
      <c r="M42" s="1" t="str">
        <f>IMPRODUCT(beta_b3,IMEXP(IMPRODUCT(Lambda_3,L)))</f>
        <v>-0.000205516522530303-0.000767507435690293i</v>
      </c>
      <c r="N42" s="2"/>
      <c r="Q42" s="36" t="str">
        <f>IMSUM(wm,IMPRODUCT(w_a1,Cj_1,IMEXP(IMPRODUCT(Lambda_1,'Thin theory'!P42))),IMPRODUCT(w_a2,Cj_2,IMEXP(IMPRODUCT(Lambda_2,'Thin theory'!P42))),IMPRODUCT(w_a3,Cj_3,IMEXP(IMPRODUCT(Lambda_3,'Thin theory'!P42))),IMPRODUCT(w_a4,Cj_4,IMEXP(IMPRODUCT(Lambda_4,'Thin theory'!P42))))</f>
        <v>8.08667677750447E-06-4.06575814682064E-20i</v>
      </c>
      <c r="R42" s="36" t="str">
        <f>IMSUM(IMPRODUCT(w_b1,Cj_1,IMEXP(IMPRODUCT(Lambda_1,'Thin theory'!P42))),IMPRODUCT(w_b2,Cj_2,IMEXP(IMPRODUCT(Lambda_2,'Thin theory'!P42))),IMPRODUCT(w_b3,Cj_3,IMEXP(IMPRODUCT(Lambda_3,'Thin theory'!P42))),IMPRODUCT(w_b4,Cj_4,IMEXP(IMPRODUCT(Lambda_4,'Thin theory'!P42))))</f>
        <v>-7.47929010464079E-09+1.05587950831169E-19i</v>
      </c>
      <c r="S42" s="36" t="str">
        <f>IMSUM(IMPRODUCT(beta_a1,Cj_1,IMEXP(IMPRODUCT(Lambda_1,'Thin theory'!P42))),IMPRODUCT(beta_a2,Cj_2,IMEXP(IMPRODUCT(Lambda_2,'Thin theory'!P42))),IMPRODUCT(beta_a3,Cj_3,IMEXP(IMPRODUCT(Lambda_3,'Thin theory'!P42))),IMPRODUCT(beta_a4,Cj_4,IMEXP(IMPRODUCT(Lambda_4,'Thin theory'!P42))))</f>
        <v>4.95894378036823E-08+1.33831205666179E-19i</v>
      </c>
      <c r="T42" s="36" t="str">
        <f>IMSUM(IMPRODUCT(beta_b1,Cj_1,IMEXP(IMPRODUCT(Lambda_1,'Thin theory'!P42))),IMPRODUCT(beta_b2,Cj_2,IMEXP(IMPRODUCT(Lambda_2,'Thin theory'!P42))),IMPRODUCT(beta_b3,Cj_3,IMEXP(IMPRODUCT(Lambda_3,'Thin theory'!P42))),IMPRODUCT(beta_b4,Cj_4,IMEXP(IMPRODUCT(Lambda_4,'Thin theory'!P42))))</f>
        <v>-2.38870660442076E-07+1.51804186015732E-19i</v>
      </c>
      <c r="U42" s="36" t="str">
        <f>IMSUM(IMPRODUCT(Lambda_1,beta_b1,Cj_1,IMEXP(IMPRODUCT(Lambda_1,'Thin theory'!P42))),IMPRODUCT(Lambda_2,beta_b2,Cj_2,IMEXP(IMPRODUCT(Lambda_2,'Thin theory'!P42))),IMPRODUCT(Lambda_3,beta_b3,Cj_3,IMEXP(IMPRODUCT(Lambda_3,'Thin theory'!P42))),IMPRODUCT(Lambda_4,beta_b4,Cj_4,IMEXP(IMPRODUCT(Lambda_4,'Thin theory'!P42))))</f>
        <v>1.9974054767913E-07+9.8398096946858E-20i</v>
      </c>
      <c r="V42" s="36" t="str">
        <f>IMSUM(IMPRODUCT(-1,uc),Nz/Cs*'Thin theory'!P42,IMPRODUCT(-nu/rad,IMSUM(wm*'Thin theory'!P42,IMPRODUCT(IMDIV(w_a1,Lambda_1),Cj_1,IMEXP(IMPRODUCT(Lambda_1,'Thin theory'!P42))),IMPRODUCT(IMDIV(w_a2,Lambda_2),Cj_2,IMEXP(IMPRODUCT(Lambda_2,'Thin theory'!P42))),IMPRODUCT(IMDIV(w_a3,Lambda_3),Cj_3,IMEXP(IMPRODUCT(Lambda_3,'Thin theory'!P42))),IMPRODUCT(IMDIV(w_a4,Lambda_4),Cj_4,IMEXP(IMPRODUCT(Lambda_4,'Thin theory'!P42))))))</f>
        <v>0.0000328812594480858+3.71161061100535E-19i</v>
      </c>
      <c r="W42" s="36" t="str">
        <f t="shared" si="13"/>
        <v>-5.03520060665027E-06+2.43945488809238E-21i</v>
      </c>
      <c r="X42" s="41">
        <f t="shared" si="11"/>
        <v>3.2881259448085797E-5</v>
      </c>
      <c r="Y42" s="41">
        <f t="shared" si="12"/>
        <v>8.0866767775044707E-6</v>
      </c>
      <c r="Z42" s="38">
        <f t="shared" si="14"/>
        <v>-1.0000000000000004</v>
      </c>
      <c r="AA42" s="38">
        <f t="shared" si="15"/>
        <v>2.3467071100178715E-2</v>
      </c>
      <c r="AB42" s="38">
        <f t="shared" si="16"/>
        <v>-4.3749205209171428E-3</v>
      </c>
      <c r="AC42" s="38">
        <f t="shared" si="17"/>
        <v>-1.3124761562751427E-3</v>
      </c>
      <c r="AD42" s="38">
        <f t="shared" si="18"/>
        <v>-1.0262495231255033</v>
      </c>
      <c r="AE42" s="38">
        <f t="shared" si="19"/>
        <v>-1.0000000000000004</v>
      </c>
      <c r="AF42" s="38">
        <f t="shared" si="20"/>
        <v>-0.97375047687449756</v>
      </c>
      <c r="AG42" s="38">
        <f t="shared" si="21"/>
        <v>1.5592214162527859E-2</v>
      </c>
      <c r="AH42" s="38">
        <f t="shared" si="22"/>
        <v>2.3467071100178715E-2</v>
      </c>
      <c r="AI42" s="38">
        <f t="shared" si="23"/>
        <v>3.1341928037829571E-2</v>
      </c>
    </row>
    <row r="43" spans="8:35" x14ac:dyDescent="0.3">
      <c r="H43" s="2"/>
      <c r="I43" s="2"/>
      <c r="J43" s="2"/>
      <c r="K43" s="2"/>
      <c r="L43" s="1" t="s">
        <v>95</v>
      </c>
      <c r="M43" s="1" t="str">
        <f>IMPRODUCT(beta_b4,IMEXP(IMPRODUCT(Lambda_4,L)))</f>
        <v>-0.000205516522530303+0.000767507435690293i</v>
      </c>
      <c r="N43" s="2"/>
      <c r="Q43" s="36" t="str">
        <f>IMSUM(wm,IMPRODUCT(w_a1,Cj_1,IMEXP(IMPRODUCT(Lambda_1,'Thin theory'!P43))),IMPRODUCT(w_a2,Cj_2,IMEXP(IMPRODUCT(Lambda_2,'Thin theory'!P43))),IMPRODUCT(w_a3,Cj_3,IMEXP(IMPRODUCT(Lambda_3,'Thin theory'!P43))),IMPRODUCT(w_a4,Cj_4,IMEXP(IMPRODUCT(Lambda_4,'Thin theory'!P43))))</f>
        <v>8.08484974184165E-06-2.8296194394214E-20i</v>
      </c>
      <c r="R43" s="36" t="str">
        <f>IMSUM(IMPRODUCT(w_b1,Cj_1,IMEXP(IMPRODUCT(Lambda_1,'Thin theory'!P43))),IMPRODUCT(w_b2,Cj_2,IMEXP(IMPRODUCT(Lambda_2,'Thin theory'!P43))),IMPRODUCT(w_b3,Cj_3,IMEXP(IMPRODUCT(Lambda_3,'Thin theory'!P43))),IMPRODUCT(w_b4,Cj_4,IMEXP(IMPRODUCT(Lambda_4,'Thin theory'!P43))))</f>
        <v>-2.48216749419664E-08+1.21999214184221E-19i</v>
      </c>
      <c r="S43" s="36" t="str">
        <f>IMSUM(IMPRODUCT(beta_a1,Cj_1,IMEXP(IMPRODUCT(Lambda_1,'Thin theory'!P43))),IMPRODUCT(beta_a2,Cj_2,IMEXP(IMPRODUCT(Lambda_2,'Thin theory'!P43))),IMPRODUCT(beta_a3,Cj_3,IMEXP(IMPRODUCT(Lambda_3,'Thin theory'!P43))),IMPRODUCT(beta_a4,Cj_4,IMEXP(IMPRODUCT(Lambda_4,'Thin theory'!P43))))</f>
        <v>2.40716069336703E-08+1.50480697035647E-19i</v>
      </c>
      <c r="T43" s="36" t="str">
        <f>IMSUM(IMPRODUCT(beta_b1,Cj_1,IMEXP(IMPRODUCT(Lambda_1,'Thin theory'!P43))),IMPRODUCT(beta_b2,Cj_2,IMEXP(IMPRODUCT(Lambda_2,'Thin theory'!P43))),IMPRODUCT(beta_b3,Cj_3,IMEXP(IMPRODUCT(Lambda_3,'Thin theory'!P43))),IMPRODUCT(beta_b4,Cj_4,IMEXP(IMPRODUCT(Lambda_4,'Thin theory'!P43))))</f>
        <v>-2.18139396207168E-07+1.63927345073309E-19i</v>
      </c>
      <c r="U43" s="36" t="str">
        <f>IMSUM(IMPRODUCT(Lambda_1,beta_b1,Cj_1,IMEXP(IMPRODUCT(Lambda_1,'Thin theory'!P43))),IMPRODUCT(Lambda_2,beta_b2,Cj_2,IMEXP(IMPRODUCT(Lambda_2,'Thin theory'!P43))),IMPRODUCT(Lambda_3,beta_b3,Cj_3,IMEXP(IMPRODUCT(Lambda_3,'Thin theory'!P43))),IMPRODUCT(Lambda_4,beta_b4,Cj_4,IMEXP(IMPRODUCT(Lambda_4,'Thin theory'!P43))))</f>
        <v>1.71126486564728E-07+9.99995186127606E-20i</v>
      </c>
      <c r="V43" s="36" t="str">
        <f>IMSUM(IMPRODUCT(-1,uc),Nz/Cs*'Thin theory'!P43,IMPRODUCT(-nu/rad,IMSUM(wm*'Thin theory'!P43,IMPRODUCT(IMDIV(w_a1,Lambda_1),Cj_1,IMEXP(IMPRODUCT(Lambda_1,'Thin theory'!P43))),IMPRODUCT(IMDIV(w_a2,Lambda_2),Cj_2,IMEXP(IMPRODUCT(Lambda_2,'Thin theory'!P43))),IMPRODUCT(IMDIV(w_a3,Lambda_3),Cj_3,IMEXP(IMPRODUCT(Lambda_3,'Thin theory'!P43))),IMPRODUCT(IMDIV(w_a4,Lambda_4),Cj_4,IMEXP(IMPRODUCT(Lambda_4,'Thin theory'!P43))))))</f>
        <v>0.0000323183119508105+3.71401274350421E-19i</v>
      </c>
      <c r="W43" s="36" t="str">
        <f t="shared" si="13"/>
        <v>-0.0000050350909845105+1.69777166365284E-21i</v>
      </c>
      <c r="X43" s="41">
        <f t="shared" si="11"/>
        <v>3.2318311950810498E-5</v>
      </c>
      <c r="Y43" s="41">
        <f t="shared" si="12"/>
        <v>8.08484974184165E-6</v>
      </c>
      <c r="Z43" s="38">
        <f t="shared" si="14"/>
        <v>-1</v>
      </c>
      <c r="AA43" s="38">
        <f t="shared" si="15"/>
        <v>2.3393989673665953E-2</v>
      </c>
      <c r="AB43" s="38">
        <f t="shared" si="16"/>
        <v>-3.9952270367613184E-3</v>
      </c>
      <c r="AC43" s="38">
        <f t="shared" si="17"/>
        <v>-1.1985681110283956E-3</v>
      </c>
      <c r="AD43" s="38">
        <f t="shared" si="18"/>
        <v>-1.0239713622205679</v>
      </c>
      <c r="AE43" s="38">
        <f t="shared" si="19"/>
        <v>-1</v>
      </c>
      <c r="AF43" s="38">
        <f t="shared" si="20"/>
        <v>-0.97602863777943205</v>
      </c>
      <c r="AG43" s="38">
        <f t="shared" si="21"/>
        <v>1.6202581007495581E-2</v>
      </c>
      <c r="AH43" s="38">
        <f t="shared" si="22"/>
        <v>2.3393989673665953E-2</v>
      </c>
      <c r="AI43" s="38">
        <f t="shared" si="23"/>
        <v>3.0585398339836325E-2</v>
      </c>
    </row>
    <row r="44" spans="8:35" x14ac:dyDescent="0.3">
      <c r="H44" s="2"/>
      <c r="I44" s="2"/>
      <c r="J44" s="2"/>
      <c r="K44" s="2"/>
      <c r="L44" s="1" t="s">
        <v>96</v>
      </c>
      <c r="M44" s="1" t="str">
        <f>IMPRODUCT(Lambda_1,beta_b1,IMEXP(IMPRODUCT(Lambda_1,L)))</f>
        <v>-275.989278454386+351.526768871849i</v>
      </c>
      <c r="N44" s="2"/>
      <c r="Q44" s="36" t="str">
        <f>IMSUM(wm,IMPRODUCT(w_a1,Cj_1,IMEXP(IMPRODUCT(Lambda_1,'Thin theory'!P44))),IMPRODUCT(w_a2,Cj_2,IMEXP(IMPRODUCT(Lambda_2,'Thin theory'!P44))),IMPRODUCT(w_a3,Cj_3,IMEXP(IMPRODUCT(Lambda_3,'Thin theory'!P44))),IMPRODUCT(w_a4,Cj_4,IMEXP(IMPRODUCT(Lambda_4,'Thin theory'!P44))))</f>
        <v>8.08120476728051E-06-1.38039900622849E-20i</v>
      </c>
      <c r="R44" s="36" t="str">
        <f>IMSUM(IMPRODUCT(w_b1,Cj_1,IMEXP(IMPRODUCT(Lambda_1,'Thin theory'!P44))),IMPRODUCT(w_b2,Cj_2,IMEXP(IMPRODUCT(Lambda_2,'Thin theory'!P44))),IMPRODUCT(w_b3,Cj_3,IMEXP(IMPRODUCT(Lambda_3,'Thin theory'!P44))),IMPRODUCT(w_b4,Cj_4,IMEXP(IMPRODUCT(Lambda_4,'Thin theory'!P44))))</f>
        <v>-4.00632866668423E-08+1.4179860932629E-19i</v>
      </c>
      <c r="S44" s="36" t="str">
        <f>IMSUM(IMPRODUCT(beta_a1,Cj_1,IMEXP(IMPRODUCT(Lambda_1,'Thin theory'!P44))),IMPRODUCT(beta_a2,Cj_2,IMEXP(IMPRODUCT(Lambda_2,'Thin theory'!P44))),IMPRODUCT(beta_a3,Cj_3,IMEXP(IMPRODUCT(Lambda_3,'Thin theory'!P44))),IMPRODUCT(beta_a4,Cj_4,IMEXP(IMPRODUCT(Lambda_4,'Thin theory'!P44))))</f>
        <v>6.92997920782995E-10+1.69618347687674E-19i</v>
      </c>
      <c r="T44" s="36" t="str">
        <f>IMSUM(IMPRODUCT(beta_b1,Cj_1,IMEXP(IMPRODUCT(Lambda_1,'Thin theory'!P44))),IMPRODUCT(beta_b2,Cj_2,IMEXP(IMPRODUCT(Lambda_2,'Thin theory'!P44))),IMPRODUCT(beta_b3,Cj_3,IMEXP(IMPRODUCT(Lambda_3,'Thin theory'!P44))),IMPRODUCT(beta_b4,Cj_4,IMEXP(IMPRODUCT(Lambda_4,'Thin theory'!P44))))</f>
        <v>-2.00600585372943E-07+1.74224089338369E-19i</v>
      </c>
      <c r="U44" s="36" t="str">
        <f>IMSUM(IMPRODUCT(Lambda_1,beta_b1,Cj_1,IMEXP(IMPRODUCT(Lambda_1,'Thin theory'!P44))),IMPRODUCT(Lambda_2,beta_b2,Cj_2,IMEXP(IMPRODUCT(Lambda_2,'Thin theory'!P44))),IMPRODUCT(Lambda_3,beta_b3,Cj_3,IMEXP(IMPRODUCT(Lambda_3,'Thin theory'!P44))),IMPRODUCT(Lambda_4,beta_b4,Cj_4,IMEXP(IMPRODUCT(Lambda_4,'Thin theory'!P44))))</f>
        <v>1.42646996056689E-07+1.01094705743781E-19i</v>
      </c>
      <c r="V44" s="36" t="str">
        <f>IMSUM(IMPRODUCT(-1,uc),Nz/Cs*'Thin theory'!P44,IMPRODUCT(-nu/rad,IMSUM(wm*'Thin theory'!P44,IMPRODUCT(IMDIV(w_a1,Lambda_1),Cj_1,IMEXP(IMPRODUCT(Lambda_1,'Thin theory'!P44))),IMPRODUCT(IMDIV(w_a2,Lambda_2),Cj_2,IMEXP(IMPRODUCT(Lambda_2,'Thin theory'!P44))),IMPRODUCT(IMDIV(w_a3,Lambda_3),Cj_3,IMEXP(IMPRODUCT(Lambda_3,'Thin theory'!P44))),IMPRODUCT(IMDIV(w_a4,Lambda_4),Cj_4,IMEXP(IMPRODUCT(Lambda_4,'Thin theory'!P44))))))</f>
        <v>0.0000317553829385086+3.71545402300352E-19i</v>
      </c>
      <c r="W44" s="36" t="str">
        <f t="shared" si="13"/>
        <v>-5.03487228603683E-06+8.28239403737094E-22i</v>
      </c>
      <c r="X44" s="41">
        <f t="shared" si="11"/>
        <v>3.1755382938508597E-5</v>
      </c>
      <c r="Y44" s="41">
        <f t="shared" si="12"/>
        <v>8.0812047672805101E-6</v>
      </c>
      <c r="Z44" s="38">
        <f t="shared" si="14"/>
        <v>-0.99999999999999989</v>
      </c>
      <c r="AA44" s="38">
        <f t="shared" si="15"/>
        <v>2.3248190691220402E-2</v>
      </c>
      <c r="AB44" s="38">
        <f t="shared" si="16"/>
        <v>-3.6740033951088462E-3</v>
      </c>
      <c r="AC44" s="38">
        <f t="shared" si="17"/>
        <v>-1.1022010185326538E-3</v>
      </c>
      <c r="AD44" s="38">
        <f t="shared" si="18"/>
        <v>-1.0220440203706529</v>
      </c>
      <c r="AE44" s="38">
        <f t="shared" si="19"/>
        <v>-0.99999999999999989</v>
      </c>
      <c r="AF44" s="38">
        <f t="shared" si="20"/>
        <v>-0.97795597962934677</v>
      </c>
      <c r="AG44" s="38">
        <f t="shared" si="21"/>
        <v>1.6634984580024478E-2</v>
      </c>
      <c r="AH44" s="38">
        <f t="shared" si="22"/>
        <v>2.3248190691220402E-2</v>
      </c>
      <c r="AI44" s="38">
        <f t="shared" si="23"/>
        <v>2.9861396802416326E-2</v>
      </c>
    </row>
    <row r="45" spans="8:35" x14ac:dyDescent="0.3">
      <c r="H45" s="2"/>
      <c r="I45" s="2"/>
      <c r="J45" s="2"/>
      <c r="K45" s="2"/>
      <c r="L45" s="1" t="s">
        <v>97</v>
      </c>
      <c r="M45" s="1" t="str">
        <f>IMPRODUCT(Lambda_2,beta_b2,IMEXP(IMPRODUCT(Lambda_2,L)))</f>
        <v>-275.989278454386-351.526768871849i</v>
      </c>
      <c r="N45" s="2"/>
      <c r="Q45" s="36" t="str">
        <f>IMSUM(wm,IMPRODUCT(w_a1,Cj_1,IMEXP(IMPRODUCT(Lambda_1,'Thin theory'!P45))),IMPRODUCT(w_a2,Cj_2,IMEXP(IMPRODUCT(Lambda_2,'Thin theory'!P45))),IMPRODUCT(w_a3,Cj_3,IMEXP(IMPRODUCT(Lambda_3,'Thin theory'!P45))),IMPRODUCT(w_a4,Cj_4,IMEXP(IMPRODUCT(Lambda_4,'Thin theory'!P45))))</f>
        <v>8.07595545125035E-06+3.08372932359769E-21i</v>
      </c>
      <c r="R45" s="36" t="str">
        <f>IMSUM(IMPRODUCT(w_b1,Cj_1,IMEXP(IMPRODUCT(Lambda_1,'Thin theory'!P45))),IMPRODUCT(w_b2,Cj_2,IMEXP(IMPRODUCT(Lambda_2,'Thin theory'!P45))),IMPRODUCT(w_b3,Cj_3,IMEXP(IMPRODUCT(Lambda_3,'Thin theory'!P45))),IMPRODUCT(w_b4,Cj_4,IMEXP(IMPRODUCT(Lambda_4,'Thin theory'!P45))))</f>
        <v>-5.35838584344743E-08+1.61121548435529E-19i</v>
      </c>
      <c r="S45" s="36" t="str">
        <f>IMSUM(IMPRODUCT(beta_a1,Cj_1,IMEXP(IMPRODUCT(Lambda_1,'Thin theory'!P45))),IMPRODUCT(beta_a2,Cj_2,IMEXP(IMPRODUCT(Lambda_2,'Thin theory'!P45))),IMPRODUCT(beta_a3,Cj_3,IMEXP(IMPRODUCT(Lambda_3,'Thin theory'!P45))),IMPRODUCT(beta_a4,Cj_4,IMEXP(IMPRODUCT(Lambda_4,'Thin theory'!P45))))</f>
        <v>-2.09022961076653E-08+1.90900050487438E-19i</v>
      </c>
      <c r="T45" s="36" t="str">
        <f>IMSUM(IMPRODUCT(beta_b1,Cj_1,IMEXP(IMPRODUCT(Lambda_1,'Thin theory'!P45))),IMPRODUCT(beta_b2,Cj_2,IMEXP(IMPRODUCT(Lambda_2,'Thin theory'!P45))),IMPRODUCT(beta_b3,Cj_3,IMEXP(IMPRODUCT(Lambda_3,'Thin theory'!P45))),IMPRODUCT(beta_b4,Cj_4,IMEXP(IMPRODUCT(Lambda_4,'Thin theory'!P45))))</f>
        <v>-1.86234423551901E-07+1.86400187955149E-19i</v>
      </c>
      <c r="U45" s="36" t="str">
        <f>IMSUM(IMPRODUCT(Lambda_1,beta_b1,Cj_1,IMEXP(IMPRODUCT(Lambda_1,'Thin theory'!P45))),IMPRODUCT(Lambda_2,beta_b2,Cj_2,IMEXP(IMPRODUCT(Lambda_2,'Thin theory'!P45))),IMPRODUCT(Lambda_3,beta_b3,Cj_3,IMEXP(IMPRODUCT(Lambda_3,'Thin theory'!P45))),IMPRODUCT(Lambda_4,beta_b4,Cj_4,IMEXP(IMPRODUCT(Lambda_4,'Thin theory'!P45))))</f>
        <v>1.14385468143831E-07+1.01299846535694E-19i</v>
      </c>
      <c r="V45" s="36" t="str">
        <f>IMSUM(IMPRODUCT(-1,uc),Nz/Cs*'Thin theory'!P45,IMPRODUCT(-nu/rad,IMSUM(wm*'Thin theory'!P45,IMPRODUCT(IMDIV(w_a1,Lambda_1),Cj_1,IMEXP(IMPRODUCT(Lambda_1,'Thin theory'!P45))),IMPRODUCT(IMDIV(w_a2,Lambda_2),Cj_2,IMEXP(IMPRODUCT(Lambda_2,'Thin theory'!P45))),IMPRODUCT(IMDIV(w_a3,Lambda_3),Cj_3,IMEXP(IMPRODUCT(Lambda_3,'Thin theory'!P45))),IMPRODUCT(IMDIV(w_a4,Lambda_4),Cj_4,IMEXP(IMPRODUCT(Lambda_4,'Thin theory'!P45))))))</f>
        <v>0.0000311924838661237+3.71581136502814E-19i</v>
      </c>
      <c r="W45" s="36" t="str">
        <f t="shared" si="13"/>
        <v>-5.03455732707502E-06-1.85023759415861E-22i</v>
      </c>
      <c r="X45" s="41">
        <f t="shared" si="11"/>
        <v>3.1192483866123698E-5</v>
      </c>
      <c r="Y45" s="41">
        <f t="shared" si="12"/>
        <v>8.0759554512503505E-6</v>
      </c>
      <c r="Z45" s="38">
        <f t="shared" si="14"/>
        <v>-0.99999999999999967</v>
      </c>
      <c r="AA45" s="38">
        <f t="shared" si="15"/>
        <v>2.3038218050014089E-2</v>
      </c>
      <c r="AB45" s="38">
        <f t="shared" si="16"/>
        <v>-3.4108868782399449E-3</v>
      </c>
      <c r="AC45" s="38">
        <f t="shared" si="17"/>
        <v>-1.0232660634719834E-3</v>
      </c>
      <c r="AD45" s="38">
        <f t="shared" si="18"/>
        <v>-1.0204653212694392</v>
      </c>
      <c r="AE45" s="38">
        <f t="shared" si="19"/>
        <v>-0.99999999999999967</v>
      </c>
      <c r="AF45" s="38">
        <f t="shared" si="20"/>
        <v>-0.97953467873055999</v>
      </c>
      <c r="AG45" s="38">
        <f t="shared" si="21"/>
        <v>1.6898621669182188E-2</v>
      </c>
      <c r="AH45" s="38">
        <f t="shared" si="22"/>
        <v>2.3038218050014089E-2</v>
      </c>
      <c r="AI45" s="38">
        <f t="shared" si="23"/>
        <v>2.9177814430845991E-2</v>
      </c>
    </row>
    <row r="46" spans="8:35" x14ac:dyDescent="0.3">
      <c r="H46" s="2"/>
      <c r="I46" s="2"/>
      <c r="J46" s="2"/>
      <c r="K46" s="2"/>
      <c r="L46" s="1" t="s">
        <v>98</v>
      </c>
      <c r="M46" s="1" t="str">
        <f>IMPRODUCT(Lambda_3,beta_b3,IMEXP(IMPRODUCT(Lambda_3,L)))</f>
        <v>0.000543451198660421+0.00034913524391709i</v>
      </c>
      <c r="N46" s="2"/>
      <c r="Q46" s="36" t="str">
        <f>IMSUM(wm,IMPRODUCT(w_a1,Cj_1,IMEXP(IMPRODUCT(Lambda_1,'Thin theory'!P46))),IMPRODUCT(w_a2,Cj_2,IMEXP(IMPRODUCT(Lambda_2,'Thin theory'!P46))),IMPRODUCT(w_a3,Cj_3,IMEXP(IMPRODUCT(Lambda_3,'Thin theory'!P46))),IMPRODUCT(w_a4,Cj_4,IMEXP(IMPRODUCT(Lambda_4,'Thin theory'!P46))))</f>
        <v>8.06927323394708E-06+2.23007893144296E-20i</v>
      </c>
      <c r="R46" s="36" t="str">
        <f>IMSUM(IMPRODUCT(w_b1,Cj_1,IMEXP(IMPRODUCT(Lambda_1,'Thin theory'!P46))),IMPRODUCT(w_b2,Cj_2,IMEXP(IMPRODUCT(Lambda_2,'Thin theory'!P46))),IMPRODUCT(w_b3,Cj_3,IMEXP(IMPRODUCT(Lambda_3,'Thin theory'!P46))),IMPRODUCT(w_b4,Cj_4,IMEXP(IMPRODUCT(Lambda_4,'Thin theory'!P46))))</f>
        <v>-6.57577231319949E-08+1.8282676770892E-19i</v>
      </c>
      <c r="S46" s="36" t="str">
        <f>IMSUM(IMPRODUCT(beta_a1,Cj_1,IMEXP(IMPRODUCT(Lambda_1,'Thin theory'!P46))),IMPRODUCT(beta_a2,Cj_2,IMEXP(IMPRODUCT(Lambda_2,'Thin theory'!P46))),IMPRODUCT(beta_a3,Cj_3,IMEXP(IMPRODUCT(Lambda_3,'Thin theory'!P46))),IMPRODUCT(beta_a4,Cj_4,IMEXP(IMPRODUCT(Lambda_4,'Thin theory'!P46))))</f>
        <v>-4.10674672813643E-08+2.1152000879716E-19i</v>
      </c>
      <c r="T46" s="36" t="str">
        <f>IMSUM(IMPRODUCT(beta_b1,Cj_1,IMEXP(IMPRODUCT(Lambda_1,'Thin theory'!P46))),IMPRODUCT(beta_b2,Cj_2,IMEXP(IMPRODUCT(Lambda_2,'Thin theory'!P46))),IMPRODUCT(beta_b3,Cj_3,IMEXP(IMPRODUCT(Lambda_3,'Thin theory'!P46))),IMPRODUCT(beta_b4,Cj_4,IMEXP(IMPRODUCT(Lambda_4,'Thin theory'!P46))))</f>
        <v>-1.75012327469583E-07+1.97702783845074E-19i</v>
      </c>
      <c r="U46" s="36" t="str">
        <f>IMSUM(IMPRODUCT(Lambda_1,beta_b1,Cj_1,IMEXP(IMPRODUCT(Lambda_1,'Thin theory'!P46))),IMPRODUCT(Lambda_2,beta_b2,Cj_2,IMEXP(IMPRODUCT(Lambda_2,'Thin theory'!P46))),IMPRODUCT(Lambda_3,beta_b3,Cj_3,IMEXP(IMPRODUCT(Lambda_3,'Thin theory'!P46))),IMPRODUCT(Lambda_4,beta_b4,Cj_4,IMEXP(IMPRODUCT(Lambda_4,'Thin theory'!P46))))</f>
        <v>8.64158954772068E-08+1.00796920723262E-19i</v>
      </c>
      <c r="V46" s="36" t="str">
        <f>IMSUM(IMPRODUCT(-1,uc),Nz/Cs*'Thin theory'!P46,IMPRODUCT(-nu/rad,IMSUM(wm*'Thin theory'!P46,IMPRODUCT(IMDIV(w_a1,Lambda_1),Cj_1,IMEXP(IMPRODUCT(Lambda_1,'Thin theory'!P46))),IMPRODUCT(IMDIV(w_a2,Lambda_2),Cj_2,IMEXP(IMPRODUCT(Lambda_2,'Thin theory'!P46))),IMPRODUCT(IMDIV(w_a3,Lambda_3),Cj_3,IMEXP(IMPRODUCT(Lambda_3,'Thin theory'!P46))),IMPRODUCT(IMDIV(w_a4,Lambda_4),Cj_4,IMEXP(IMPRODUCT(Lambda_4,'Thin theory'!P46))))))</f>
        <v>0.0000306296248974813+3.71497756697069E-19i</v>
      </c>
      <c r="W46" s="36" t="str">
        <f t="shared" si="13"/>
        <v>-5.03415639403683E-06-1.33804735886578E-21i</v>
      </c>
      <c r="X46" s="41">
        <f t="shared" si="11"/>
        <v>3.0629624897481303E-5</v>
      </c>
      <c r="Y46" s="41">
        <f t="shared" si="12"/>
        <v>8.06927323394708E-6</v>
      </c>
      <c r="Z46" s="38">
        <f t="shared" si="14"/>
        <v>-1.0000000000000011</v>
      </c>
      <c r="AA46" s="38">
        <f t="shared" si="15"/>
        <v>2.2770929357882868E-2</v>
      </c>
      <c r="AB46" s="38">
        <f t="shared" si="16"/>
        <v>-3.2053539829593955E-3</v>
      </c>
      <c r="AC46" s="38">
        <f t="shared" si="17"/>
        <v>-9.6160619488781861E-4</v>
      </c>
      <c r="AD46" s="38">
        <f t="shared" si="18"/>
        <v>-1.0192321238977575</v>
      </c>
      <c r="AE46" s="38">
        <f t="shared" si="19"/>
        <v>-1.0000000000000011</v>
      </c>
      <c r="AF46" s="38">
        <f t="shared" si="20"/>
        <v>-0.9807678761022447</v>
      </c>
      <c r="AG46" s="38">
        <f t="shared" si="21"/>
        <v>1.7001292188555957E-2</v>
      </c>
      <c r="AH46" s="38">
        <f t="shared" si="22"/>
        <v>2.2770929357882868E-2</v>
      </c>
      <c r="AI46" s="38">
        <f t="shared" si="23"/>
        <v>2.8540566527209779E-2</v>
      </c>
    </row>
    <row r="47" spans="8:35" x14ac:dyDescent="0.3">
      <c r="H47" s="2"/>
      <c r="I47" s="2"/>
      <c r="J47" s="2"/>
      <c r="K47" s="2"/>
      <c r="L47" s="1" t="s">
        <v>99</v>
      </c>
      <c r="M47" s="1" t="str">
        <f>IMPRODUCT(Lambda_4,beta_b4,IMEXP(IMPRODUCT(Lambda_4,L)))</f>
        <v>0.000543451198660421-0.00034913524391709i</v>
      </c>
      <c r="N47" s="2"/>
      <c r="Q47" s="36" t="str">
        <f>IMSUM(wm,IMPRODUCT(w_a1,Cj_1,IMEXP(IMPRODUCT(Lambda_1,'Thin theory'!P47))),IMPRODUCT(w_a2,Cj_2,IMEXP(IMPRODUCT(Lambda_2,'Thin theory'!P47))),IMPRODUCT(w_a3,Cj_3,IMEXP(IMPRODUCT(Lambda_3,'Thin theory'!P47))),IMPRODUCT(w_a4,Cj_4,IMEXP(IMPRODUCT(Lambda_4,'Thin theory'!P47))))</f>
        <v>8.06128802217683E-06+4.41979144899334E-20i</v>
      </c>
      <c r="R47" s="36" t="str">
        <f>IMSUM(IMPRODUCT(w_b1,Cj_1,IMEXP(IMPRODUCT(Lambda_1,'Thin theory'!P47))),IMPRODUCT(w_b2,Cj_2,IMEXP(IMPRODUCT(Lambda_2,'Thin theory'!P47))),IMPRODUCT(w_b3,Cj_3,IMEXP(IMPRODUCT(Lambda_3,'Thin theory'!P47))),IMPRODUCT(w_b4,Cj_4,IMEXP(IMPRODUCT(Lambda_4,'Thin theory'!P47))))</f>
        <v>-7.69534702562274E-08+2.06120173758414E-19i</v>
      </c>
      <c r="S47" s="36" t="str">
        <f>IMSUM(IMPRODUCT(beta_a1,Cj_1,IMEXP(IMPRODUCT(Lambda_1,'Thin theory'!P47))),IMPRODUCT(beta_a2,Cj_2,IMEXP(IMPRODUCT(Lambda_2,'Thin theory'!P47))),IMPRODUCT(beta_a3,Cj_3,IMEXP(IMPRODUCT(Lambda_3,'Thin theory'!P47))),IMPRODUCT(beta_a4,Cj_4,IMEXP(IMPRODUCT(Lambda_4,'Thin theory'!P47))))</f>
        <v>-6.01520659499065E-08+2.34389898373026E-19i</v>
      </c>
      <c r="T47" s="36" t="str">
        <f>IMSUM(IMPRODUCT(beta_b1,Cj_1,IMEXP(IMPRODUCT(Lambda_1,'Thin theory'!P47))),IMPRODUCT(beta_b2,Cj_2,IMEXP(IMPRODUCT(Lambda_2,'Thin theory'!P47))),IMPRODUCT(beta_b3,Cj_3,IMEXP(IMPRODUCT(Lambda_3,'Thin theory'!P47))),IMPRODUCT(beta_b4,Cj_4,IMEXP(IMPRODUCT(Lambda_4,'Thin theory'!P47))))</f>
        <v>-1.66897871312135E-07+2.08912735506393E-19i</v>
      </c>
      <c r="U47" s="36" t="str">
        <f>IMSUM(IMPRODUCT(Lambda_1,beta_b1,Cj_1,IMEXP(IMPRODUCT(Lambda_1,'Thin theory'!P47))),IMPRODUCT(Lambda_2,beta_b2,Cj_2,IMEXP(IMPRODUCT(Lambda_2,'Thin theory'!P47))),IMPRODUCT(Lambda_3,beta_b3,Cj_3,IMEXP(IMPRODUCT(Lambda_3,'Thin theory'!P47))),IMPRODUCT(Lambda_4,beta_b4,Cj_4,IMEXP(IMPRODUCT(Lambda_4,'Thin theory'!P47))))</f>
        <v>5.88049150721232E-08+9.91094722736536E-20i</v>
      </c>
      <c r="V47" s="36" t="str">
        <f>IMSUM(IMPRODUCT(-1,uc),Nz/Cs*'Thin theory'!P47,IMPRODUCT(-nu/rad,IMSUM(wm*'Thin theory'!P47,IMPRODUCT(IMDIV(w_a1,Lambda_1),Cj_1,IMEXP(IMPRODUCT(Lambda_1,'Thin theory'!P47))),IMPRODUCT(IMDIV(w_a2,Lambda_2),Cj_2,IMEXP(IMPRODUCT(Lambda_2,'Thin theory'!P47))),IMPRODUCT(IMDIV(w_a3,Lambda_3),Cj_3,IMEXP(IMPRODUCT(Lambda_3,'Thin theory'!P47))),IMPRODUCT(IMDIV(w_a4,Lambda_4),Cj_4,IMEXP(IMPRODUCT(Lambda_4,'Thin theory'!P47))))))</f>
        <v>0.0000300668151860178+3.71280969202131E-19i</v>
      </c>
      <c r="W47" s="36" t="str">
        <f t="shared" si="13"/>
        <v>-5.03367728133061E-06-2.651874869396E-21i</v>
      </c>
      <c r="X47" s="41">
        <f t="shared" si="11"/>
        <v>3.0066815186017799E-5</v>
      </c>
      <c r="Y47" s="41">
        <f t="shared" si="12"/>
        <v>8.0612880221768293E-6</v>
      </c>
      <c r="Z47" s="38">
        <f t="shared" si="14"/>
        <v>-1</v>
      </c>
      <c r="AA47" s="38">
        <f t="shared" si="15"/>
        <v>2.2451520887073143E-2</v>
      </c>
      <c r="AB47" s="38">
        <f t="shared" si="16"/>
        <v>-3.0567375698193223E-3</v>
      </c>
      <c r="AC47" s="38">
        <f t="shared" si="17"/>
        <v>-9.1702127094579668E-4</v>
      </c>
      <c r="AD47" s="38">
        <f t="shared" si="18"/>
        <v>-1.0183404254189159</v>
      </c>
      <c r="AE47" s="38">
        <f t="shared" si="19"/>
        <v>-1</v>
      </c>
      <c r="AF47" s="38">
        <f t="shared" si="20"/>
        <v>-0.9816595745810841</v>
      </c>
      <c r="AG47" s="38">
        <f t="shared" si="21"/>
        <v>1.6949393261398361E-2</v>
      </c>
      <c r="AH47" s="38">
        <f t="shared" si="22"/>
        <v>2.2451520887073143E-2</v>
      </c>
      <c r="AI47" s="38">
        <f t="shared" si="23"/>
        <v>2.7953648512747925E-2</v>
      </c>
    </row>
    <row r="48" spans="8:35" x14ac:dyDescent="0.3">
      <c r="H48" s="2"/>
      <c r="I48" s="2"/>
      <c r="J48" s="2"/>
      <c r="K48" s="2"/>
      <c r="L48" s="2"/>
      <c r="M48" s="2"/>
      <c r="N48" s="2"/>
      <c r="Q48" s="36" t="str">
        <f>IMSUM(wm,IMPRODUCT(w_a1,Cj_1,IMEXP(IMPRODUCT(Lambda_1,'Thin theory'!P48))),IMPRODUCT(w_a2,Cj_2,IMEXP(IMPRODUCT(Lambda_2,'Thin theory'!P48))),IMPRODUCT(w_a3,Cj_3,IMEXP(IMPRODUCT(Lambda_3,'Thin theory'!P48))),IMPRODUCT(w_a4,Cj_4,IMEXP(IMPRODUCT(Lambda_4,'Thin theory'!P48))))</f>
        <v>8.05208884667979E-06+6.84971721642911E-20i</v>
      </c>
      <c r="R48" s="36" t="str">
        <f>IMSUM(IMPRODUCT(w_b1,Cj_1,IMEXP(IMPRODUCT(Lambda_1,'Thin theory'!P48))),IMPRODUCT(w_b2,Cj_2,IMEXP(IMPRODUCT(Lambda_2,'Thin theory'!P48))),IMPRODUCT(w_b3,Cj_3,IMEXP(IMPRODUCT(Lambda_3,'Thin theory'!P48))),IMPRODUCT(w_b4,Cj_4,IMEXP(IMPRODUCT(Lambda_4,'Thin theory'!P48))))</f>
        <v>-8.75336858206769E-08+2.30988531694208E-19i</v>
      </c>
      <c r="S48" s="36" t="str">
        <f>IMSUM(IMPRODUCT(beta_a1,Cj_1,IMEXP(IMPRODUCT(Lambda_1,'Thin theory'!P48))),IMPRODUCT(beta_a2,Cj_2,IMEXP(IMPRODUCT(Lambda_2,'Thin theory'!P48))),IMPRODUCT(beta_a3,Cj_3,IMEXP(IMPRODUCT(Lambda_3,'Thin theory'!P48))),IMPRODUCT(beta_a4,Cj_4,IMEXP(IMPRODUCT(Lambda_4,'Thin theory'!P48))))</f>
        <v>-7.85011656238028E-08+2.58503867590172E-19i</v>
      </c>
      <c r="T48" s="36" t="str">
        <f>IMSUM(IMPRODUCT(beta_b1,Cj_1,IMEXP(IMPRODUCT(Lambda_1,'Thin theory'!P48))),IMPRODUCT(beta_b2,Cj_2,IMEXP(IMPRODUCT(Lambda_2,'Thin theory'!P48))),IMPRODUCT(beta_b3,Cj_3,IMEXP(IMPRODUCT(Lambda_3,'Thin theory'!P48))),IMPRODUCT(beta_b4,Cj_4,IMEXP(IMPRODUCT(Lambda_4,'Thin theory'!P48))))</f>
        <v>-1.61847496316726E-07+2.19818284702292E-19i</v>
      </c>
      <c r="U48" s="36" t="str">
        <f>IMSUM(IMPRODUCT(Lambda_1,beta_b1,Cj_1,IMEXP(IMPRODUCT(Lambda_1,'Thin theory'!P48))),IMPRODUCT(Lambda_2,beta_b2,Cj_2,IMEXP(IMPRODUCT(Lambda_2,'Thin theory'!P48))),IMPRODUCT(Lambda_3,beta_b3,Cj_3,IMEXP(IMPRODUCT(Lambda_3,'Thin theory'!P48))),IMPRODUCT(Lambda_4,beta_b4,Cj_4,IMEXP(IMPRODUCT(Lambda_4,'Thin theory'!P48))))</f>
        <v>3.16138206890595E-08+9.64029373093801E-20i</v>
      </c>
      <c r="V48" s="36" t="str">
        <f>IMSUM(IMPRODUCT(-1,uc),Nz/Cs*'Thin theory'!P48,IMPRODUCT(-nu/rad,IMSUM(wm*'Thin theory'!P48,IMPRODUCT(IMDIV(w_a1,Lambda_1),Cj_1,IMEXP(IMPRODUCT(Lambda_1,'Thin theory'!P48))),IMPRODUCT(IMDIV(w_a2,Lambda_2),Cj_2,IMEXP(IMPRODUCT(Lambda_2,'Thin theory'!P48))),IMPRODUCT(IMDIV(w_a3,Lambda_3),Cj_3,IMEXP(IMPRODUCT(Lambda_3,'Thin theory'!P48))),IMPRODUCT(IMDIV(w_a4,Lambda_4),Cj_4,IMEXP(IMPRODUCT(Lambda_4,'Thin theory'!P48))))))</f>
        <v>0.0000295040631512056+3.7091489215024E-19i</v>
      </c>
      <c r="W48" s="36" t="str">
        <f t="shared" si="13"/>
        <v>-5.03312533080079E-06-4.10983032985747E-21i</v>
      </c>
      <c r="X48" s="41">
        <f t="shared" si="11"/>
        <v>2.9504063151205599E-5</v>
      </c>
      <c r="Y48" s="41">
        <f t="shared" si="12"/>
        <v>8.0520888466797896E-6</v>
      </c>
      <c r="Z48" s="38">
        <f t="shared" si="14"/>
        <v>-1.0000000000000007</v>
      </c>
      <c r="AA48" s="38">
        <f t="shared" si="15"/>
        <v>2.2083553867191397E-2</v>
      </c>
      <c r="AB48" s="38">
        <f t="shared" si="16"/>
        <v>-2.9642398592806961E-3</v>
      </c>
      <c r="AC48" s="38">
        <f t="shared" si="17"/>
        <v>-8.8927195778420879E-4</v>
      </c>
      <c r="AD48" s="38">
        <f t="shared" si="18"/>
        <v>-1.0177854391556849</v>
      </c>
      <c r="AE48" s="38">
        <f t="shared" si="19"/>
        <v>-1.0000000000000007</v>
      </c>
      <c r="AF48" s="38">
        <f t="shared" si="20"/>
        <v>-0.98221456084431646</v>
      </c>
      <c r="AG48" s="38">
        <f t="shared" si="21"/>
        <v>1.6747922120486144E-2</v>
      </c>
      <c r="AH48" s="38">
        <f t="shared" si="22"/>
        <v>2.2083553867191397E-2</v>
      </c>
      <c r="AI48" s="38">
        <f t="shared" si="23"/>
        <v>2.7419185613896651E-2</v>
      </c>
    </row>
    <row r="49" spans="8:35" x14ac:dyDescent="0.3">
      <c r="H49" s="2"/>
      <c r="I49" s="2"/>
      <c r="J49" s="2"/>
      <c r="K49" s="2"/>
      <c r="L49" s="2"/>
      <c r="M49" s="2"/>
      <c r="N49" s="2"/>
      <c r="Q49" s="36" t="str">
        <f>IMSUM(wm,IMPRODUCT(w_a1,Cj_1,IMEXP(IMPRODUCT(Lambda_1,'Thin theory'!P49))),IMPRODUCT(w_a2,Cj_2,IMEXP(IMPRODUCT(Lambda_2,'Thin theory'!P49))),IMPRODUCT(w_a3,Cj_3,IMEXP(IMPRODUCT(Lambda_3,'Thin theory'!P49))),IMPRODUCT(w_a4,Cj_4,IMEXP(IMPRODUCT(Lambda_4,'Thin theory'!P49))))</f>
        <v>8.04172454508499E-06+9.57014881499351E-20i</v>
      </c>
      <c r="R49" s="36" t="str">
        <f>IMSUM(IMPRODUCT(w_b1,Cj_1,IMEXP(IMPRODUCT(Lambda_1,'Thin theory'!P49))),IMPRODUCT(w_b2,Cj_2,IMEXP(IMPRODUCT(Lambda_2,'Thin theory'!P49))),IMPRODUCT(w_b3,Cj_3,IMEXP(IMPRODUCT(Lambda_3,'Thin theory'!P49))),IMPRODUCT(w_b4,Cj_4,IMEXP(IMPRODUCT(Lambda_4,'Thin theory'!P49))))</f>
        <v>-9.78547497293441E-08+2.56995090152875E-19i</v>
      </c>
      <c r="S49" s="36" t="str">
        <f>IMSUM(IMPRODUCT(beta_a1,Cj_1,IMEXP(IMPRODUCT(Lambda_1,'Thin theory'!P49))),IMPRODUCT(beta_a2,Cj_2,IMEXP(IMPRODUCT(Lambda_2,'Thin theory'!P49))),IMPRODUCT(beta_a3,Cj_3,IMEXP(IMPRODUCT(Lambda_3,'Thin theory'!P49))),IMPRODUCT(beta_a4,Cj_4,IMEXP(IMPRODUCT(Lambda_4,'Thin theory'!P49))))</f>
        <v>-9.64545947402997E-08+2.83994265346606E-19i</v>
      </c>
      <c r="T49" s="36" t="str">
        <f>IMSUM(IMPRODUCT(beta_b1,Cj_1,IMEXP(IMPRODUCT(Lambda_1,'Thin theory'!P49))),IMPRODUCT(beta_b2,Cj_2,IMEXP(IMPRODUCT(Lambda_2,'Thin theory'!P49))),IMPRODUCT(beta_b3,Cj_3,IMEXP(IMPRODUCT(Lambda_3,'Thin theory'!P49))),IMPRODUCT(beta_b4,Cj_4,IMEXP(IMPRODUCT(Lambda_4,'Thin theory'!P49))))</f>
        <v>-1.59810997190252E-07+2.30406196542971E-19i</v>
      </c>
      <c r="U49" s="36" t="str">
        <f>IMSUM(IMPRODUCT(Lambda_1,beta_b1,Cj_1,IMEXP(IMPRODUCT(Lambda_1,'Thin theory'!P49))),IMPRODUCT(Lambda_2,beta_b2,Cj_2,IMEXP(IMPRODUCT(Lambda_2,'Thin theory'!P49))),IMPRODUCT(Lambda_3,beta_b3,Cj_3,IMEXP(IMPRODUCT(Lambda_3,'Thin theory'!P49))),IMPRODUCT(Lambda_4,beta_b4,Cj_4,IMEXP(IMPRODUCT(Lambda_4,'Thin theory'!P49))))</f>
        <v>4.9005424616558E-09+9.23993831446234E-20i</v>
      </c>
      <c r="V49" s="36" t="str">
        <f>IMSUM(IMPRODUCT(-1,uc),Nz/Cs*'Thin theory'!P49,IMPRODUCT(-nu/rad,IMSUM(wm*'Thin theory'!P49,IMPRODUCT(IMDIV(w_a1,Lambda_1),Cj_1,IMEXP(IMPRODUCT(Lambda_1,'Thin theory'!P49))),IMPRODUCT(IMDIV(w_a2,Lambda_2),Cj_2,IMEXP(IMPRODUCT(Lambda_2,'Thin theory'!P49))),IMPRODUCT(IMDIV(w_a3,Lambda_3),Cj_3,IMEXP(IMPRODUCT(Lambda_3,'Thin theory'!P49))),IMPRODUCT(IMDIV(w_a4,Lambda_4),Cj_4,IMEXP(IMPRODUCT(Lambda_4,'Thin theory'!P49))))))</f>
        <v>0.0000289413767504807+3.7036458543232E-19i</v>
      </c>
      <c r="W49" s="36" t="str">
        <f t="shared" si="13"/>
        <v>-0.0000050325034727051-5.74208928899611E-21i</v>
      </c>
      <c r="X49" s="41">
        <f t="shared" si="11"/>
        <v>2.89413767504807E-5</v>
      </c>
      <c r="Y49" s="41">
        <f t="shared" si="12"/>
        <v>8.0417245450849904E-6</v>
      </c>
      <c r="Z49" s="38">
        <f t="shared" si="14"/>
        <v>-1</v>
      </c>
      <c r="AA49" s="38">
        <f t="shared" si="15"/>
        <v>2.1668981803399569E-2</v>
      </c>
      <c r="AB49" s="38">
        <f t="shared" si="16"/>
        <v>-2.9269413404808061E-3</v>
      </c>
      <c r="AC49" s="38">
        <f t="shared" si="17"/>
        <v>-8.7808240214424182E-4</v>
      </c>
      <c r="AD49" s="38">
        <f t="shared" si="18"/>
        <v>-1.0175616480428848</v>
      </c>
      <c r="AE49" s="38">
        <f t="shared" si="19"/>
        <v>-1</v>
      </c>
      <c r="AF49" s="38">
        <f t="shared" si="20"/>
        <v>-0.98243835195711515</v>
      </c>
      <c r="AG49" s="38">
        <f t="shared" si="21"/>
        <v>1.6400487390534117E-2</v>
      </c>
      <c r="AH49" s="38">
        <f t="shared" si="22"/>
        <v>2.1668981803399569E-2</v>
      </c>
      <c r="AI49" s="38">
        <f t="shared" si="23"/>
        <v>2.6937476216265022E-2</v>
      </c>
    </row>
    <row r="50" spans="8:35" x14ac:dyDescent="0.3">
      <c r="H50" s="2"/>
      <c r="I50" s="2"/>
      <c r="J50" s="63" t="s">
        <v>109</v>
      </c>
      <c r="K50" s="63"/>
      <c r="L50" s="63"/>
      <c r="M50" s="63"/>
      <c r="N50" s="26" t="s">
        <v>110</v>
      </c>
      <c r="Q50" s="36" t="str">
        <f>IMSUM(wm,IMPRODUCT(w_a1,Cj_1,IMEXP(IMPRODUCT(Lambda_1,'Thin theory'!P50))),IMPRODUCT(w_a2,Cj_2,IMEXP(IMPRODUCT(Lambda_2,'Thin theory'!P50))),IMPRODUCT(w_a3,Cj_3,IMEXP(IMPRODUCT(Lambda_3,'Thin theory'!P50))),IMPRODUCT(w_a4,Cj_4,IMEXP(IMPRODUCT(Lambda_4,'Thin theory'!P50))))</f>
        <v>0.0000080302044654768+1.26012694516328E-19i</v>
      </c>
      <c r="R50" s="36" t="str">
        <f>IMSUM(IMPRODUCT(w_b1,Cj_1,IMEXP(IMPRODUCT(Lambda_1,'Thin theory'!P50))),IMPRODUCT(w_b2,Cj_2,IMEXP(IMPRODUCT(Lambda_2,'Thin theory'!P50))),IMPRODUCT(w_b3,Cj_3,IMEXP(IMPRODUCT(Lambda_3,'Thin theory'!P50))),IMPRODUCT(w_b4,Cj_4,IMEXP(IMPRODUCT(Lambda_4,'Thin theory'!P50))))</f>
        <v>-1.08266665553862E-07+2.84483956269237E-19i</v>
      </c>
      <c r="S50" s="36" t="str">
        <f>IMSUM(IMPRODUCT(beta_a1,Cj_1,IMEXP(IMPRODUCT(Lambda_1,'Thin theory'!P50))),IMPRODUCT(beta_a2,Cj_2,IMEXP(IMPRODUCT(Lambda_2,'Thin theory'!P50))),IMPRODUCT(beta_a3,Cj_3,IMEXP(IMPRODUCT(Lambda_3,'Thin theory'!P50))),IMPRODUCT(beta_a4,Cj_4,IMEXP(IMPRODUCT(Lambda_4,'Thin theory'!P50))))</f>
        <v>-1.14346210509831E-07+3.10000823805273E-19i</v>
      </c>
      <c r="T50" s="36" t="str">
        <f>IMSUM(IMPRODUCT(beta_b1,Cj_1,IMEXP(IMPRODUCT(Lambda_1,'Thin theory'!P50))),IMPRODUCT(beta_b2,Cj_2,IMEXP(IMPRODUCT(Lambda_2,'Thin theory'!P50))),IMPRODUCT(beta_b3,Cj_3,IMEXP(IMPRODUCT(Lambda_3,'Thin theory'!P50))),IMPRODUCT(beta_b4,Cj_4,IMEXP(IMPRODUCT(Lambda_4,'Thin theory'!P50))))</f>
        <v>-1.60731789082961E-07+2.40200014995598E-19i</v>
      </c>
      <c r="U50" s="36" t="str">
        <f>IMSUM(IMPRODUCT(Lambda_1,beta_b1,Cj_1,IMEXP(IMPRODUCT(Lambda_1,'Thin theory'!P50))),IMPRODUCT(Lambda_2,beta_b2,Cj_2,IMEXP(IMPRODUCT(Lambda_2,'Thin theory'!P50))),IMPRODUCT(Lambda_3,beta_b3,Cj_3,IMEXP(IMPRODUCT(Lambda_3,'Thin theory'!P50))),IMPRODUCT(Lambda_4,beta_b4,Cj_4,IMEXP(IMPRODUCT(Lambda_4,'Thin theory'!P50))))</f>
        <v>-2.12784073458934E-08+8.69929306609768E-20i</v>
      </c>
      <c r="V50" s="36" t="str">
        <f>IMSUM(IMPRODUCT(-1,uc),Nz/Cs*'Thin theory'!P50,IMPRODUCT(-nu/rad,IMSUM(wm*'Thin theory'!P50,IMPRODUCT(IMDIV(w_a1,Lambda_1),Cj_1,IMEXP(IMPRODUCT(Lambda_1,'Thin theory'!P50))),IMPRODUCT(IMDIV(w_a2,Lambda_2),Cj_2,IMEXP(IMPRODUCT(Lambda_2,'Thin theory'!P50))),IMPRODUCT(IMDIV(w_a3,Lambda_3),Cj_3,IMEXP(IMPRODUCT(Lambda_3,'Thin theory'!P50))),IMPRODUCT(IMDIV(w_a4,Lambda_4),Cj_4,IMEXP(IMPRODUCT(Lambda_4,'Thin theory'!P50))))))</f>
        <v>0.0000283787637465168+3.69612578993836E-19i</v>
      </c>
      <c r="W50" s="36" t="str">
        <f t="shared" si="13"/>
        <v>-5.03181226792861E-06-7.56076167097968E-21i</v>
      </c>
      <c r="X50" s="41">
        <f t="shared" si="11"/>
        <v>2.83787637465168E-5</v>
      </c>
      <c r="Y50" s="41">
        <f t="shared" si="12"/>
        <v>8.0302044654767993E-6</v>
      </c>
      <c r="Z50" s="38">
        <f t="shared" si="14"/>
        <v>-1.0000000000000004</v>
      </c>
      <c r="AA50" s="38">
        <f t="shared" si="15"/>
        <v>2.1208178619071812E-2</v>
      </c>
      <c r="AB50" s="38">
        <f t="shared" si="16"/>
        <v>-2.9438056608600913E-3</v>
      </c>
      <c r="AC50" s="38">
        <f t="shared" si="17"/>
        <v>-8.831416982580274E-4</v>
      </c>
      <c r="AD50" s="38">
        <f t="shared" si="18"/>
        <v>-1.017662833965161</v>
      </c>
      <c r="AE50" s="38">
        <f t="shared" si="19"/>
        <v>-1.0000000000000004</v>
      </c>
      <c r="AF50" s="38">
        <f t="shared" si="20"/>
        <v>-0.98233716603483989</v>
      </c>
      <c r="AG50" s="38">
        <f t="shared" si="21"/>
        <v>1.5909328429523646E-2</v>
      </c>
      <c r="AH50" s="38">
        <f t="shared" si="22"/>
        <v>2.1208178619071812E-2</v>
      </c>
      <c r="AI50" s="38">
        <f t="shared" si="23"/>
        <v>2.6507028808619978E-2</v>
      </c>
    </row>
    <row r="51" spans="8:35" x14ac:dyDescent="0.3">
      <c r="H51" s="73" t="s">
        <v>21</v>
      </c>
      <c r="I51" s="1" t="s">
        <v>128</v>
      </c>
      <c r="J51" s="1" t="str">
        <f>M7</f>
        <v>1</v>
      </c>
      <c r="K51" s="1" t="str">
        <f>M8</f>
        <v>1</v>
      </c>
      <c r="L51" s="1" t="str">
        <f>M9</f>
        <v>1</v>
      </c>
      <c r="M51" s="1" t="str">
        <f>M10</f>
        <v>1</v>
      </c>
      <c r="N51" s="3">
        <f>-wm</f>
        <v>-7.5000000000000002E-6</v>
      </c>
      <c r="Q51" s="36" t="str">
        <f>IMSUM(wm,IMPRODUCT(w_a1,Cj_1,IMEXP(IMPRODUCT(Lambda_1,'Thin theory'!P51))),IMPRODUCT(w_a2,Cj_2,IMEXP(IMPRODUCT(Lambda_2,'Thin theory'!P51))),IMPRODUCT(w_a3,Cj_3,IMEXP(IMPRODUCT(Lambda_3,'Thin theory'!P51))),IMPRODUCT(w_a4,Cj_4,IMEXP(IMPRODUCT(Lambda_4,'Thin theory'!P51))))</f>
        <v>8.01749918832904E-06+1.59449816417559E-19i</v>
      </c>
      <c r="R51" s="36" t="str">
        <f>IMSUM(IMPRODUCT(w_b1,Cj_1,IMEXP(IMPRODUCT(Lambda_1,'Thin theory'!P51))),IMPRODUCT(w_b2,Cj_2,IMEXP(IMPRODUCT(Lambda_2,'Thin theory'!P51))),IMPRODUCT(w_b3,Cj_3,IMEXP(IMPRODUCT(Lambda_3,'Thin theory'!P51))),IMPRODUCT(w_b4,Cj_4,IMEXP(IMPRODUCT(Lambda_4,'Thin theory'!P51))))</f>
        <v>-1.19112898124195E-07+3.14302162990549E-19i</v>
      </c>
      <c r="S51" s="36" t="str">
        <f>IMSUM(IMPRODUCT(beta_a1,Cj_1,IMEXP(IMPRODUCT(Lambda_1,'Thin theory'!P51))),IMPRODUCT(beta_a2,Cj_2,IMEXP(IMPRODUCT(Lambda_2,'Thin theory'!P51))),IMPRODUCT(beta_a3,Cj_3,IMEXP(IMPRODUCT(Lambda_3,'Thin theory'!P51))),IMPRODUCT(beta_a4,Cj_4,IMEXP(IMPRODUCT(Lambda_4,'Thin theory'!P51))))</f>
        <v>-1.32503190522105E-07+3.36391194068165E-19i</v>
      </c>
      <c r="T51" s="36" t="str">
        <f>IMSUM(IMPRODUCT(beta_b1,Cj_1,IMEXP(IMPRODUCT(Lambda_1,'Thin theory'!P51))),IMPRODUCT(beta_b2,Cj_2,IMEXP(IMPRODUCT(Lambda_2,'Thin theory'!P51))),IMPRODUCT(beta_b3,Cj_3,IMEXP(IMPRODUCT(Lambda_3,'Thin theory'!P51))),IMPRODUCT(beta_b4,Cj_4,IMEXP(IMPRODUCT(Lambda_4,'Thin theory'!P51))))</f>
        <v>-1.64546958957463E-07+2.49398263407188E-19i</v>
      </c>
      <c r="U51" s="36" t="str">
        <f>IMSUM(IMPRODUCT(Lambda_1,beta_b1,Cj_1,IMEXP(IMPRODUCT(Lambda_1,'Thin theory'!P51))),IMPRODUCT(Lambda_2,beta_b2,Cj_2,IMEXP(IMPRODUCT(Lambda_2,'Thin theory'!P51))),IMPRODUCT(Lambda_3,beta_b3,Cj_3,IMEXP(IMPRODUCT(Lambda_3,'Thin theory'!P51))),IMPRODUCT(Lambda_4,beta_b4,Cj_4,IMEXP(IMPRODUCT(Lambda_4,'Thin theory'!P51))))</f>
        <v>-4.68660233926856E-08+8.00049088461288E-20i</v>
      </c>
      <c r="V51" s="36" t="str">
        <f>IMSUM(IMPRODUCT(-1,uc),Nz/Cs*'Thin theory'!P51,IMPRODUCT(-nu/rad,IMSUM(wm*'Thin theory'!P51,IMPRODUCT(IMDIV(w_a1,Lambda_1),Cj_1,IMEXP(IMPRODUCT(Lambda_1,'Thin theory'!P51))),IMPRODUCT(IMDIV(w_a2,Lambda_2),Cj_2,IMEXP(IMPRODUCT(Lambda_2,'Thin theory'!P51))),IMPRODUCT(IMDIV(w_a3,Lambda_3),Cj_3,IMEXP(IMPRODUCT(Lambda_3,'Thin theory'!P51))),IMPRODUCT(IMDIV(w_a4,Lambda_4),Cj_4,IMEXP(IMPRODUCT(Lambda_4,'Thin theory'!P51))))))</f>
        <v>0.0000278162319697179+3.68653314181071E-19i</v>
      </c>
      <c r="W51" s="36" t="str">
        <f t="shared" si="13"/>
        <v>-5.03104995129974E-06-9.56698898505354E-21i</v>
      </c>
      <c r="X51" s="41">
        <f t="shared" si="11"/>
        <v>2.7816231969717899E-5</v>
      </c>
      <c r="Y51" s="41">
        <f t="shared" si="12"/>
        <v>8.0174991883290392E-6</v>
      </c>
      <c r="Z51" s="38">
        <f t="shared" si="14"/>
        <v>-0.99999999999999933</v>
      </c>
      <c r="AA51" s="38">
        <f t="shared" si="15"/>
        <v>2.0699967533161764E-2</v>
      </c>
      <c r="AB51" s="38">
        <f t="shared" si="16"/>
        <v>-3.0136805669865015E-3</v>
      </c>
      <c r="AC51" s="38">
        <f t="shared" si="17"/>
        <v>-9.0410417009595043E-4</v>
      </c>
      <c r="AD51" s="38">
        <f t="shared" si="18"/>
        <v>-1.0180820834019184</v>
      </c>
      <c r="AE51" s="38">
        <f t="shared" si="19"/>
        <v>-0.99999999999999933</v>
      </c>
      <c r="AF51" s="38">
        <f t="shared" si="20"/>
        <v>-0.98191791659808036</v>
      </c>
      <c r="AG51" s="38">
        <f t="shared" si="21"/>
        <v>1.5275342512586061E-2</v>
      </c>
      <c r="AH51" s="38">
        <f t="shared" si="22"/>
        <v>2.0699967533161764E-2</v>
      </c>
      <c r="AI51" s="38">
        <f t="shared" si="23"/>
        <v>2.6124592553737468E-2</v>
      </c>
    </row>
    <row r="52" spans="8:35" x14ac:dyDescent="0.3">
      <c r="H52" s="73"/>
      <c r="I52" s="1" t="s">
        <v>129</v>
      </c>
      <c r="J52" s="1" t="str">
        <f>M19</f>
        <v>-0.0624000000000008+0.657956107958577i</v>
      </c>
      <c r="K52" s="1" t="str">
        <f>M20</f>
        <v>-0.0624000000000008-0.657956107958577i</v>
      </c>
      <c r="L52" s="1" t="str">
        <f>M21</f>
        <v>-0.0624000000000008-0.657956107958577i</v>
      </c>
      <c r="M52" s="1" t="str">
        <f>M22</f>
        <v>-0.0624000000000008+0.657956107958577i</v>
      </c>
      <c r="N52" s="3">
        <f>0</f>
        <v>0</v>
      </c>
      <c r="Q52" s="36" t="str">
        <f>IMSUM(wm,IMPRODUCT(w_a1,Cj_1,IMEXP(IMPRODUCT(Lambda_1,'Thin theory'!P52))),IMPRODUCT(w_a2,Cj_2,IMEXP(IMPRODUCT(Lambda_2,'Thin theory'!P52))),IMPRODUCT(w_a3,Cj_3,IMEXP(IMPRODUCT(Lambda_3,'Thin theory'!P52))),IMPRODUCT(w_a4,Cj_4,IMEXP(IMPRODUCT(Lambda_4,'Thin theory'!P52))))</f>
        <v>8.00354126728703E-06+1.96581333729605E-19i</v>
      </c>
      <c r="R52" s="36" t="str">
        <f>IMSUM(IMPRODUCT(w_b1,Cj_1,IMEXP(IMPRODUCT(Lambda_1,'Thin theory'!P52))),IMPRODUCT(w_b2,Cj_2,IMEXP(IMPRODUCT(Lambda_2,'Thin theory'!P52))),IMPRODUCT(w_b3,Cj_3,IMEXP(IMPRODUCT(Lambda_3,'Thin theory'!P52))),IMPRODUCT(w_b4,Cj_4,IMEXP(IMPRODUCT(Lambda_4,'Thin theory'!P52))))</f>
        <v>-0.0000001307301947905+3.45192395785729E-19i</v>
      </c>
      <c r="S52" s="36" t="str">
        <f>IMSUM(IMPRODUCT(beta_a1,Cj_1,IMEXP(IMPRODUCT(Lambda_1,'Thin theory'!P52))),IMPRODUCT(beta_a2,Cj_2,IMEXP(IMPRODUCT(Lambda_2,'Thin theory'!P52))),IMPRODUCT(beta_a3,Cj_3,IMEXP(IMPRODUCT(Lambda_3,'Thin theory'!P52))),IMPRODUCT(beta_a4,Cj_4,IMEXP(IMPRODUCT(Lambda_4,'Thin theory'!P52))))</f>
        <v>-1.51245318225911E-07+3.65309428283019E-19i</v>
      </c>
      <c r="T52" s="36" t="str">
        <f>IMSUM(IMPRODUCT(beta_b1,Cj_1,IMEXP(IMPRODUCT(Lambda_1,'Thin theory'!P52))),IMPRODUCT(beta_b2,Cj_2,IMEXP(IMPRODUCT(Lambda_2,'Thin theory'!P52))),IMPRODUCT(beta_b3,Cj_3,IMEXP(IMPRODUCT(Lambda_3,'Thin theory'!P52))),IMPRODUCT(beta_b4,Cj_4,IMEXP(IMPRODUCT(Lambda_4,'Thin theory'!P52))))</f>
        <v>-1.71187105295103E-07+2.5800094177774E-19i</v>
      </c>
      <c r="U52" s="36" t="str">
        <f>IMSUM(IMPRODUCT(Lambda_1,beta_b1,Cj_1,IMEXP(IMPRODUCT(Lambda_1,'Thin theory'!P52))),IMPRODUCT(Lambda_2,beta_b2,Cj_2,IMEXP(IMPRODUCT(Lambda_2,'Thin theory'!P52))),IMPRODUCT(Lambda_3,beta_b3,Cj_3,IMEXP(IMPRODUCT(Lambda_3,'Thin theory'!P52))),IMPRODUCT(Lambda_4,beta_b4,Cj_4,IMEXP(IMPRODUCT(Lambda_4,'Thin theory'!P52))))</f>
        <v>-7.18029320239367E-08+7.13162036918718E-20i</v>
      </c>
      <c r="V52" s="36" t="str">
        <f>IMSUM(IMPRODUCT(-1,uc),Nz/Cs*'Thin theory'!P52,IMPRODUCT(-nu/rad,IMSUM(wm*'Thin theory'!P52,IMPRODUCT(IMDIV(w_a1,Lambda_1),Cj_1,IMEXP(IMPRODUCT(Lambda_1,'Thin theory'!P52))),IMPRODUCT(IMDIV(w_a2,Lambda_2),Cj_2,IMEXP(IMPRODUCT(Lambda_2,'Thin theory'!P52))),IMPRODUCT(IMDIV(w_a3,Lambda_3),Cj_3,IMEXP(IMPRODUCT(Lambda_3,'Thin theory'!P52))),IMPRODUCT(IMDIV(w_a4,Lambda_4),Cj_4,IMEXP(IMPRODUCT(Lambda_4,'Thin theory'!P52))))))</f>
        <v>0.0000272537895758057+3.67462968192382E-19i</v>
      </c>
      <c r="W52" s="36" t="str">
        <f t="shared" si="13"/>
        <v>-5.03021247603722E-06-1.17948800237763E-20i</v>
      </c>
      <c r="X52" s="41">
        <f t="shared" si="11"/>
        <v>2.7253789575805699E-5</v>
      </c>
      <c r="Y52" s="41">
        <f t="shared" si="12"/>
        <v>8.0035412672870294E-6</v>
      </c>
      <c r="Z52" s="38">
        <f t="shared" si="14"/>
        <v>-0.99999999999999956</v>
      </c>
      <c r="AA52" s="38">
        <f t="shared" si="15"/>
        <v>2.0141650691481265E-2</v>
      </c>
      <c r="AB52" s="38">
        <f t="shared" si="16"/>
        <v>-3.1352949687747799E-3</v>
      </c>
      <c r="AC52" s="38">
        <f t="shared" si="17"/>
        <v>-9.4058849063243389E-4</v>
      </c>
      <c r="AD52" s="38">
        <f t="shared" si="18"/>
        <v>-1.0188117698126482</v>
      </c>
      <c r="AE52" s="38">
        <f t="shared" si="19"/>
        <v>-0.99999999999999956</v>
      </c>
      <c r="AF52" s="38">
        <f t="shared" si="20"/>
        <v>-0.98118823018735091</v>
      </c>
      <c r="AG52" s="38">
        <f t="shared" si="21"/>
        <v>1.4498119747686663E-2</v>
      </c>
      <c r="AH52" s="38">
        <f t="shared" si="22"/>
        <v>2.0141650691481265E-2</v>
      </c>
      <c r="AI52" s="38">
        <f t="shared" si="23"/>
        <v>2.5785181635275867E-2</v>
      </c>
    </row>
    <row r="53" spans="8:35" x14ac:dyDescent="0.3">
      <c r="H53" s="73" t="s">
        <v>22</v>
      </c>
      <c r="I53" s="1" t="s">
        <v>130</v>
      </c>
      <c r="J53" s="1" t="str">
        <f>M28</f>
        <v>820.222678882527-138.330011837523i</v>
      </c>
      <c r="K53" s="1" t="str">
        <f>M29</f>
        <v>820.222678882527+138.330011837523i</v>
      </c>
      <c r="L53" s="1" t="str">
        <f>M30</f>
        <v>0.00118546345288907-0.000199927626598317i</v>
      </c>
      <c r="M53" s="1" t="str">
        <f>M31</f>
        <v>0.00118546345288907+0.000199927626598317i</v>
      </c>
      <c r="N53" s="3">
        <f>-wm</f>
        <v>-7.5000000000000002E-6</v>
      </c>
      <c r="Q53" s="36" t="str">
        <f>IMSUM(wm,IMPRODUCT(w_a1,Cj_1,IMEXP(IMPRODUCT(Lambda_1,'Thin theory'!P53))),IMPRODUCT(w_a2,Cj_2,IMEXP(IMPRODUCT(Lambda_2,'Thin theory'!P53))),IMPRODUCT(w_a3,Cj_3,IMEXP(IMPRODUCT(Lambda_3,'Thin theory'!P53))),IMPRODUCT(w_a4,Cj_4,IMEXP(IMPRODUCT(Lambda_4,'Thin theory'!P53))))</f>
        <v>7.98822599195277E-06+2.36684497392248E-19i</v>
      </c>
      <c r="R53" s="36" t="str">
        <f>IMSUM(IMPRODUCT(w_b1,Cj_1,IMEXP(IMPRODUCT(Lambda_1,'Thin theory'!P53))),IMPRODUCT(w_b2,Cj_2,IMEXP(IMPRODUCT(Lambda_2,'Thin theory'!P53))),IMPRODUCT(w_b3,Cj_3,IMEXP(IMPRODUCT(Lambda_3,'Thin theory'!P53))),IMPRODUCT(w_b4,Cj_4,IMEXP(IMPRODUCT(Lambda_4,'Thin theory'!P53))))</f>
        <v>-1.43448366634822E-07+3.77075245315973E-19i</v>
      </c>
      <c r="S53" s="36" t="str">
        <f>IMSUM(IMPRODUCT(beta_a1,Cj_1,IMEXP(IMPRODUCT(Lambda_1,'Thin theory'!P53))),IMPRODUCT(beta_a2,Cj_2,IMEXP(IMPRODUCT(Lambda_2,'Thin theory'!P53))),IMPRODUCT(beta_a3,Cj_3,IMEXP(IMPRODUCT(Lambda_3,'Thin theory'!P53))),IMPRODUCT(beta_a4,Cj_4,IMEXP(IMPRODUCT(Lambda_4,'Thin theory'!P53))))</f>
        <v>-1.70884238843236E-07+3.95207044343135E-19i</v>
      </c>
      <c r="T53" s="36" t="str">
        <f>IMSUM(IMPRODUCT(beta_b1,Cj_1,IMEXP(IMPRODUCT(Lambda_1,'Thin theory'!P53))),IMPRODUCT(beta_b2,Cj_2,IMEXP(IMPRODUCT(Lambda_2,'Thin theory'!P53))),IMPRODUCT(beta_b3,Cj_3,IMEXP(IMPRODUCT(Lambda_3,'Thin theory'!P53))),IMPRODUCT(beta_b4,Cj_4,IMEXP(IMPRODUCT(Lambda_4,'Thin theory'!P53))))</f>
        <v>-0.0000001805759701858+2.65399245176414E-19i</v>
      </c>
      <c r="U53" s="36" t="str">
        <f>IMSUM(IMPRODUCT(Lambda_1,beta_b1,Cj_1,IMEXP(IMPRODUCT(Lambda_1,'Thin theory'!P53))),IMPRODUCT(Lambda_2,beta_b2,Cj_2,IMEXP(IMPRODUCT(Lambda_2,'Thin theory'!P53))),IMPRODUCT(Lambda_3,beta_b3,Cj_3,IMEXP(IMPRODUCT(Lambda_3,'Thin theory'!P53))),IMPRODUCT(Lambda_4,beta_b4,Cj_4,IMEXP(IMPRODUCT(Lambda_4,'Thin theory'!P53))))</f>
        <v>-9.60255527294479E-08+6.08407884145003E-20i</v>
      </c>
      <c r="V53" s="36" t="str">
        <f>IMSUM(IMPRODUCT(-1,uc),Nz/Cs*'Thin theory'!P53,IMPRODUCT(-nu/rad,IMSUM(wm*'Thin theory'!P53,IMPRODUCT(IMDIV(w_a1,Lambda_1),Cj_1,IMEXP(IMPRODUCT(Lambda_1,'Thin theory'!P53))),IMPRODUCT(IMDIV(w_a2,Lambda_2),Cj_2,IMEXP(IMPRODUCT(Lambda_2,'Thin theory'!P53))),IMPRODUCT(IMDIV(w_a3,Lambda_3),Cj_3,IMEXP(IMPRODUCT(Lambda_3,'Thin theory'!P53))),IMPRODUCT(IMDIV(w_a4,Lambda_4),Cj_4,IMEXP(IMPRODUCT(Lambda_4,'Thin theory'!P53))))))</f>
        <v>0.0000266914452983668+3.66007395012085E-19i</v>
      </c>
      <c r="W53" s="36" t="str">
        <f t="shared" si="13"/>
        <v>-5.02929355951717E-06-1.42010698435349E-20i</v>
      </c>
      <c r="X53" s="41">
        <f t="shared" si="11"/>
        <v>2.66914452983668E-5</v>
      </c>
      <c r="Y53" s="41">
        <f t="shared" si="12"/>
        <v>7.9882259919527706E-6</v>
      </c>
      <c r="Z53" s="38">
        <f t="shared" si="14"/>
        <v>-1.0000000000000009</v>
      </c>
      <c r="AA53" s="38">
        <f t="shared" si="15"/>
        <v>1.9529039678110593E-2</v>
      </c>
      <c r="AB53" s="38">
        <f t="shared" si="16"/>
        <v>-3.3072522012051282E-3</v>
      </c>
      <c r="AC53" s="38">
        <f t="shared" si="17"/>
        <v>-9.9217566036153833E-4</v>
      </c>
      <c r="AD53" s="38">
        <f t="shared" si="18"/>
        <v>-1.0198435132072317</v>
      </c>
      <c r="AE53" s="38">
        <f t="shared" si="19"/>
        <v>-1.0000000000000009</v>
      </c>
      <c r="AF53" s="38">
        <f t="shared" si="20"/>
        <v>-0.98015648679277012</v>
      </c>
      <c r="AG53" s="38">
        <f t="shared" si="21"/>
        <v>1.3575985715941364E-2</v>
      </c>
      <c r="AH53" s="38">
        <f t="shared" si="22"/>
        <v>1.9529039678110593E-2</v>
      </c>
      <c r="AI53" s="38">
        <f t="shared" si="23"/>
        <v>2.5482093640279823E-2</v>
      </c>
    </row>
    <row r="54" spans="8:35" x14ac:dyDescent="0.3">
      <c r="H54" s="73"/>
      <c r="I54" s="1" t="s">
        <v>131</v>
      </c>
      <c r="J54" s="1" t="str">
        <f>M36</f>
        <v>490.081166929082+465.943456656931i</v>
      </c>
      <c r="K54" s="1" t="str">
        <f>M37</f>
        <v>490.081166929082-465.943456656931i</v>
      </c>
      <c r="L54" s="1" t="str">
        <f>M38</f>
        <v>-0.000448269943778498+0.000868482314002888i</v>
      </c>
      <c r="M54" s="1" t="str">
        <f>M39</f>
        <v>-0.000448269943778498-0.000868482314002888i</v>
      </c>
      <c r="N54" s="3">
        <f>-betam</f>
        <v>0</v>
      </c>
      <c r="Q54" s="36" t="str">
        <f>IMSUM(wm,IMPRODUCT(w_a1,Cj_1,IMEXP(IMPRODUCT(Lambda_1,'Thin theory'!P54))),IMPRODUCT(w_a2,Cj_2,IMEXP(IMPRODUCT(Lambda_2,'Thin theory'!P54))),IMPRODUCT(w_a3,Cj_3,IMEXP(IMPRODUCT(Lambda_3,'Thin theory'!P54))),IMPRODUCT(w_a4,Cj_4,IMEXP(IMPRODUCT(Lambda_4,'Thin theory'!P54))))</f>
        <v>7.97141217845874E-06+2.80801348182151E-19i</v>
      </c>
      <c r="R54" s="36" t="str">
        <f>IMSUM(IMPRODUCT(w_b1,Cj_1,IMEXP(IMPRODUCT(Lambda_1,'Thin theory'!P54))),IMPRODUCT(w_b2,Cj_2,IMEXP(IMPRODUCT(Lambda_2,'Thin theory'!P54))),IMPRODUCT(w_b3,Cj_3,IMEXP(IMPRODUCT(Lambda_3,'Thin theory'!P54))),IMPRODUCT(w_b4,Cj_4,IMEXP(IMPRODUCT(Lambda_4,'Thin theory'!P54))))</f>
        <v>-1.57590006307714E-07+4.10989650430647E-19i</v>
      </c>
      <c r="S54" s="36" t="str">
        <f>IMSUM(IMPRODUCT(beta_a1,Cj_1,IMEXP(IMPRODUCT(Lambda_1,'Thin theory'!P54))),IMPRODUCT(beta_a2,Cj_2,IMEXP(IMPRODUCT(Lambda_2,'Thin theory'!P54))),IMPRODUCT(beta_a3,Cj_3,IMEXP(IMPRODUCT(Lambda_3,'Thin theory'!P54))),IMPRODUCT(beta_a4,Cj_4,IMEXP(IMPRODUCT(Lambda_4,'Thin theory'!P54))))</f>
        <v>-1.91722662737135E-07+4.24985546395044E-19i</v>
      </c>
      <c r="T54" s="36" t="str">
        <f>IMSUM(IMPRODUCT(beta_b1,Cj_1,IMEXP(IMPRODUCT(Lambda_1,'Thin theory'!P54))),IMPRODUCT(beta_b2,Cj_2,IMEXP(IMPRODUCT(Lambda_2,'Thin theory'!P54))),IMPRODUCT(beta_b3,Cj_3,IMEXP(IMPRODUCT(Lambda_3,'Thin theory'!P54))),IMPRODUCT(beta_b4,Cj_4,IMEXP(IMPRODUCT(Lambda_4,'Thin theory'!P54))))</f>
        <v>-1.9262986796879E-07+2.71487294484804E-19i</v>
      </c>
      <c r="U54" s="36" t="str">
        <f>IMSUM(IMPRODUCT(Lambda_1,beta_b1,Cj_1,IMEXP(IMPRODUCT(Lambda_1,'Thin theory'!P54))),IMPRODUCT(Lambda_2,beta_b2,Cj_2,IMEXP(IMPRODUCT(Lambda_2,'Thin theory'!P54))),IMPRODUCT(Lambda_3,beta_b3,Cj_3,IMEXP(IMPRODUCT(Lambda_3,'Thin theory'!P54))),IMPRODUCT(Lambda_4,beta_b4,Cj_4,IMEXP(IMPRODUCT(Lambda_4,'Thin theory'!P54))))</f>
        <v>-1.19464297502973E-07+4.820146865469E-20i</v>
      </c>
      <c r="V54" s="36" t="str">
        <f>IMSUM(IMPRODUCT(-1,uc),Nz/Cs*'Thin theory'!P54,IMPRODUCT(-nu/rad,IMSUM(wm*'Thin theory'!P54,IMPRODUCT(IMDIV(w_a1,Lambda_1),Cj_1,IMEXP(IMPRODUCT(Lambda_1,'Thin theory'!P54))),IMPRODUCT(IMDIV(w_a2,Lambda_2),Cj_2,IMEXP(IMPRODUCT(Lambda_2,'Thin theory'!P54))),IMPRODUCT(IMDIV(w_a3,Lambda_3),Cj_3,IMEXP(IMPRODUCT(Lambda_3,'Thin theory'!P54))),IMPRODUCT(IMDIV(w_a4,Lambda_4),Cj_4,IMEXP(IMPRODUCT(Lambda_4,'Thin theory'!P54))))))</f>
        <v>0.0000261292086961933+3.64333446150074E-19i</v>
      </c>
      <c r="W54" s="36" t="str">
        <f t="shared" si="13"/>
        <v>-5.02828473070752E-06-1.68480808909291E-20i</v>
      </c>
      <c r="X54" s="41">
        <f t="shared" si="11"/>
        <v>2.6129208696193299E-5</v>
      </c>
      <c r="Y54" s="41">
        <f t="shared" si="12"/>
        <v>7.9714121784587399E-6</v>
      </c>
      <c r="Z54" s="38">
        <f t="shared" si="14"/>
        <v>-0.999999999999999</v>
      </c>
      <c r="AA54" s="38">
        <f t="shared" si="15"/>
        <v>1.8856487138349906E-2</v>
      </c>
      <c r="AB54" s="38">
        <f t="shared" si="16"/>
        <v>-3.5280195598679487E-3</v>
      </c>
      <c r="AC54" s="38">
        <f t="shared" si="17"/>
        <v>-1.0584058679603847E-3</v>
      </c>
      <c r="AD54" s="38">
        <f t="shared" si="18"/>
        <v>-1.0211681173592067</v>
      </c>
      <c r="AE54" s="38">
        <f t="shared" si="19"/>
        <v>-0.999999999999999</v>
      </c>
      <c r="AF54" s="38">
        <f t="shared" si="20"/>
        <v>-0.97883188264079135</v>
      </c>
      <c r="AG54" s="38">
        <f t="shared" si="21"/>
        <v>1.2506051930587597E-2</v>
      </c>
      <c r="AH54" s="38">
        <f t="shared" si="22"/>
        <v>1.8856487138349906E-2</v>
      </c>
      <c r="AI54" s="38">
        <f t="shared" si="23"/>
        <v>2.5206922346112215E-2</v>
      </c>
    </row>
    <row r="55" spans="8:35" x14ac:dyDescent="0.3">
      <c r="Q55" s="36" t="str">
        <f>IMSUM(wm,IMPRODUCT(w_a1,Cj_1,IMEXP(IMPRODUCT(Lambda_1,'Thin theory'!P55))),IMPRODUCT(w_a2,Cj_2,IMEXP(IMPRODUCT(Lambda_2,'Thin theory'!P55))),IMPRODUCT(w_a3,Cj_3,IMEXP(IMPRODUCT(Lambda_3,'Thin theory'!P55))),IMPRODUCT(w_a4,Cj_4,IMEXP(IMPRODUCT(Lambda_4,'Thin theory'!P55))))</f>
        <v>7.95292299620204E-06+3.27914247150721E-19i</v>
      </c>
      <c r="R55" s="36" t="str">
        <f>IMSUM(IMPRODUCT(w_b1,Cj_1,IMEXP(IMPRODUCT(Lambda_1,'Thin theory'!P55))),IMPRODUCT(w_b2,Cj_2,IMEXP(IMPRODUCT(Lambda_2,'Thin theory'!P55))),IMPRODUCT(w_b3,Cj_3,IMEXP(IMPRODUCT(Lambda_3,'Thin theory'!P55))),IMPRODUCT(w_b4,Cj_4,IMEXP(IMPRODUCT(Lambda_4,'Thin theory'!P55))))</f>
        <v>-1.73470119540261E-07+4.45909907170186E-19i</v>
      </c>
      <c r="S55" s="36" t="str">
        <f>IMSUM(IMPRODUCT(beta_a1,Cj_1,IMEXP(IMPRODUCT(Lambda_1,'Thin theory'!P55))),IMPRODUCT(beta_a2,Cj_2,IMEXP(IMPRODUCT(Lambda_2,'Thin theory'!P55))),IMPRODUCT(beta_a3,Cj_3,IMEXP(IMPRODUCT(Lambda_3,'Thin theory'!P55))),IMPRODUCT(beta_a4,Cj_4,IMEXP(IMPRODUCT(Lambda_4,'Thin theory'!P55))))</f>
        <v>-2.14053493726974E-07+4.54909632234763E-19i</v>
      </c>
      <c r="T55" s="36" t="str">
        <f>IMSUM(IMPRODUCT(beta_b1,Cj_1,IMEXP(IMPRODUCT(Lambda_1,'Thin theory'!P55))),IMPRODUCT(beta_b2,Cj_2,IMEXP(IMPRODUCT(Lambda_2,'Thin theory'!P55))),IMPRODUCT(beta_b3,Cj_3,IMEXP(IMPRODUCT(Lambda_3,'Thin theory'!P55))),IMPRODUCT(beta_b4,Cj_4,IMEXP(IMPRODUCT(Lambda_4,'Thin theory'!P55))))</f>
        <v>-2.07256914744629E-07+2.76119505915101E-19i</v>
      </c>
      <c r="U55" s="36" t="str">
        <f>IMSUM(IMPRODUCT(Lambda_1,beta_b1,Cj_1,IMEXP(IMPRODUCT(Lambda_1,'Thin theory'!P55))),IMPRODUCT(Lambda_2,beta_b2,Cj_2,IMEXP(IMPRODUCT(Lambda_2,'Thin theory'!P55))),IMPRODUCT(Lambda_3,beta_b3,Cj_3,IMEXP(IMPRODUCT(Lambda_3,'Thin theory'!P55))),IMPRODUCT(Lambda_4,beta_b4,Cj_4,IMEXP(IMPRODUCT(Lambda_4,'Thin theory'!P55))))</f>
        <v>-1.42041809653493E-07+3.32989827389347E-20i</v>
      </c>
      <c r="V55" s="36" t="str">
        <f>IMSUM(IMPRODUCT(-1,uc),Nz/Cs*'Thin theory'!P55,IMPRODUCT(-nu/rad,IMSUM(wm*'Thin theory'!P55,IMPRODUCT(IMDIV(w_a1,Lambda_1),Cj_1,IMEXP(IMPRODUCT(Lambda_1,'Thin theory'!P55))),IMPRODUCT(IMDIV(w_a2,Lambda_2),Cj_2,IMEXP(IMPRODUCT(Lambda_2,'Thin theory'!P55))),IMPRODUCT(IMDIV(w_a3,Lambda_3),Cj_3,IMEXP(IMPRODUCT(Lambda_3,'Thin theory'!P55))),IMPRODUCT(IMDIV(w_a4,Lambda_4),Cj_4,IMEXP(IMPRODUCT(Lambda_4,'Thin theory'!P55))))))</f>
        <v>0.0000255670903952043+3.62233069138679E-19i</v>
      </c>
      <c r="W55" s="36" t="str">
        <f t="shared" si="13"/>
        <v>-5.02717537977212E-06-1.96748548290433E-20i</v>
      </c>
      <c r="X55" s="41">
        <f t="shared" si="11"/>
        <v>2.55670903952043E-5</v>
      </c>
      <c r="Y55" s="41">
        <f t="shared" si="12"/>
        <v>7.9529229962020408E-6</v>
      </c>
      <c r="Z55" s="38">
        <f t="shared" si="14"/>
        <v>-0.99999999999999956</v>
      </c>
      <c r="AA55" s="38">
        <f t="shared" si="15"/>
        <v>1.8116919848081763E-2</v>
      </c>
      <c r="AB55" s="38">
        <f t="shared" si="16"/>
        <v>-3.7959141894620698E-3</v>
      </c>
      <c r="AC55" s="38">
        <f t="shared" si="17"/>
        <v>-1.1387742568386209E-3</v>
      </c>
      <c r="AD55" s="38">
        <f t="shared" si="18"/>
        <v>-1.0227754851367721</v>
      </c>
      <c r="AE55" s="38">
        <f t="shared" si="19"/>
        <v>-0.99999999999999956</v>
      </c>
      <c r="AF55" s="38">
        <f t="shared" si="20"/>
        <v>-0.97722451486322714</v>
      </c>
      <c r="AG55" s="38">
        <f t="shared" si="21"/>
        <v>1.1284274307050039E-2</v>
      </c>
      <c r="AH55" s="38">
        <f t="shared" si="22"/>
        <v>1.8116919848081763E-2</v>
      </c>
      <c r="AI55" s="38">
        <f t="shared" si="23"/>
        <v>2.4949565389113488E-2</v>
      </c>
    </row>
    <row r="56" spans="8:35" x14ac:dyDescent="0.3">
      <c r="H56" s="2"/>
      <c r="I56" s="2"/>
      <c r="J56" s="63" t="s">
        <v>100</v>
      </c>
      <c r="K56" s="63"/>
      <c r="L56" s="63"/>
      <c r="M56" s="63"/>
      <c r="N56" s="2"/>
      <c r="Q56" s="36" t="str">
        <f>IMSUM(wm,IMPRODUCT(w_a1,Cj_1,IMEXP(IMPRODUCT(Lambda_1,'Thin theory'!P56))),IMPRODUCT(w_a2,Cj_2,IMEXP(IMPRODUCT(Lambda_2,'Thin theory'!P56))),IMPRODUCT(w_a3,Cj_3,IMEXP(IMPRODUCT(Lambda_3,'Thin theory'!P56))),IMPRODUCT(w_a4,Cj_4,IMEXP(IMPRODUCT(Lambda_4,'Thin theory'!P56))))</f>
        <v>7.93254684165652E-06+3.80979537807223E-19i</v>
      </c>
      <c r="R56" s="36" t="str">
        <f>IMSUM(IMPRODUCT(w_b1,Cj_1,IMEXP(IMPRODUCT(Lambda_1,'Thin theory'!P56))),IMPRODUCT(w_b2,Cj_2,IMEXP(IMPRODUCT(Lambda_2,'Thin theory'!P56))),IMPRODUCT(w_b3,Cj_3,IMEXP(IMPRODUCT(Lambda_3,'Thin theory'!P56))),IMPRODUCT(w_b4,Cj_4,IMEXP(IMPRODUCT(Lambda_4,'Thin theory'!P56))))</f>
        <v>-1.91395647740971E-07+4.81710284081481E-19i</v>
      </c>
      <c r="S56" s="36" t="str">
        <f>IMSUM(IMPRODUCT(beta_a1,Cj_1,IMEXP(IMPRODUCT(Lambda_1,'Thin theory'!P56))),IMPRODUCT(beta_a2,Cj_2,IMEXP(IMPRODUCT(Lambda_2,'Thin theory'!P56))),IMPRODUCT(beta_a3,Cj_3,IMEXP(IMPRODUCT(Lambda_3,'Thin theory'!P56))),IMPRODUCT(beta_a4,Cj_4,IMEXP(IMPRODUCT(Lambda_4,'Thin theory'!P56))))</f>
        <v>-2.38158860338293E-07+4.86885125993613E-19i</v>
      </c>
      <c r="T56" s="36" t="str">
        <f>IMSUM(IMPRODUCT(beta_b1,Cj_1,IMEXP(IMPRODUCT(Lambda_1,'Thin theory'!P56))),IMPRODUCT(beta_b2,Cj_2,IMEXP(IMPRODUCT(Lambda_2,'Thin theory'!P56))),IMPRODUCT(beta_b3,Cj_3,IMEXP(IMPRODUCT(Lambda_3,'Thin theory'!P56))),IMPRODUCT(beta_b4,Cj_4,IMEXP(IMPRODUCT(Lambda_4,'Thin theory'!P56))))</f>
        <v>-2.2435606327738E-07+2.78898832773279E-19i</v>
      </c>
      <c r="U56" s="36" t="str">
        <f>IMSUM(IMPRODUCT(Lambda_1,beta_b1,Cj_1,IMEXP(IMPRODUCT(Lambda_1,'Thin theory'!P56))),IMPRODUCT(Lambda_2,beta_b2,Cj_2,IMEXP(IMPRODUCT(Lambda_2,'Thin theory'!P56))),IMPRODUCT(Lambda_3,beta_b3,Cj_3,IMEXP(IMPRODUCT(Lambda_3,'Thin theory'!P56))),IMPRODUCT(Lambda_4,beta_b4,Cj_4,IMEXP(IMPRODUCT(Lambda_4,'Thin theory'!P56))))</f>
        <v>-1.6367124409063E-07+1.59943643243253E-20i</v>
      </c>
      <c r="V56" s="36" t="str">
        <f>IMSUM(IMPRODUCT(-1,uc),Nz/Cs*'Thin theory'!P56,IMPRODUCT(-nu/rad,IMSUM(wm*'Thin theory'!P56,IMPRODUCT(IMDIV(w_a1,Lambda_1),Cj_1,IMEXP(IMPRODUCT(Lambda_1,'Thin theory'!P56))),IMPRODUCT(IMDIV(w_a2,Lambda_2),Cj_2,IMEXP(IMPRODUCT(Lambda_2,'Thin theory'!P56))),IMPRODUCT(IMDIV(w_a3,Lambda_3),Cj_3,IMEXP(IMPRODUCT(Lambda_3,'Thin theory'!P56))),IMPRODUCT(IMDIV(w_a4,Lambda_4),Cj_4,IMEXP(IMPRODUCT(Lambda_4,'Thin theory'!P56))))))</f>
        <v>0.0000250051023246704+3.59857141721631E-19i</v>
      </c>
      <c r="W56" s="36" t="str">
        <f t="shared" si="13"/>
        <v>-5.02595281049939E-06-2.28587722684334E-20i</v>
      </c>
      <c r="X56" s="41">
        <f t="shared" si="11"/>
        <v>2.50051023246704E-5</v>
      </c>
      <c r="Y56" s="41">
        <f t="shared" si="12"/>
        <v>7.9325468416565207E-6</v>
      </c>
      <c r="Z56" s="38">
        <f t="shared" si="14"/>
        <v>-0.99999999999999967</v>
      </c>
      <c r="AA56" s="38">
        <f t="shared" si="15"/>
        <v>1.7301873666260938E-2</v>
      </c>
      <c r="AB56" s="38">
        <f t="shared" si="16"/>
        <v>-4.1090854080106229E-3</v>
      </c>
      <c r="AC56" s="38">
        <f t="shared" si="17"/>
        <v>-1.2327256224031868E-3</v>
      </c>
      <c r="AD56" s="38">
        <f t="shared" si="18"/>
        <v>-1.0246545124480635</v>
      </c>
      <c r="AE56" s="38">
        <f t="shared" si="19"/>
        <v>-0.99999999999999967</v>
      </c>
      <c r="AF56" s="38">
        <f t="shared" si="20"/>
        <v>-0.97534548755193595</v>
      </c>
      <c r="AG56" s="38">
        <f t="shared" si="21"/>
        <v>9.905519931841817E-3</v>
      </c>
      <c r="AH56" s="38">
        <f t="shared" si="22"/>
        <v>1.7301873666260938E-2</v>
      </c>
      <c r="AI56" s="38">
        <f t="shared" si="23"/>
        <v>2.4698227400680058E-2</v>
      </c>
    </row>
    <row r="57" spans="8:35" x14ac:dyDescent="0.3">
      <c r="H57" s="73" t="s">
        <v>21</v>
      </c>
      <c r="I57" s="1" t="s">
        <v>128</v>
      </c>
      <c r="J57" s="1" t="str">
        <f>J51</f>
        <v>1</v>
      </c>
      <c r="K57" s="1" t="str">
        <f>K51</f>
        <v>1</v>
      </c>
      <c r="L57" s="1" t="str">
        <f>L51</f>
        <v>1</v>
      </c>
      <c r="M57" s="1" t="str">
        <f>M51</f>
        <v>1</v>
      </c>
      <c r="N57" s="3">
        <f>N51</f>
        <v>-7.5000000000000002E-6</v>
      </c>
      <c r="Q57" s="36" t="str">
        <f>IMSUM(wm,IMPRODUCT(w_a1,Cj_1,IMEXP(IMPRODUCT(Lambda_1,'Thin theory'!P57))),IMPRODUCT(w_a2,Cj_2,IMEXP(IMPRODUCT(Lambda_2,'Thin theory'!P57))),IMPRODUCT(w_a3,Cj_3,IMEXP(IMPRODUCT(Lambda_3,'Thin theory'!P57))),IMPRODUCT(w_a4,Cj_4,IMEXP(IMPRODUCT(Lambda_4,'Thin theory'!P57))))</f>
        <v>7.91003827268629E-06+4.35983739819549E-19i</v>
      </c>
      <c r="R57" s="36" t="str">
        <f>IMSUM(IMPRODUCT(w_b1,Cj_1,IMEXP(IMPRODUCT(Lambda_1,'Thin theory'!P57))),IMPRODUCT(w_b2,Cj_2,IMEXP(IMPRODUCT(Lambda_2,'Thin theory'!P57))),IMPRODUCT(w_b3,Cj_3,IMEXP(IMPRODUCT(Lambda_3,'Thin theory'!P57))),IMPRODUCT(w_b4,Cj_4,IMEXP(IMPRODUCT(Lambda_4,'Thin theory'!P57))))</f>
        <v>-2.11664859436139E-07+5.18715035964653E-19i</v>
      </c>
      <c r="S57" s="36" t="str">
        <f>IMSUM(IMPRODUCT(beta_a1,Cj_1,IMEXP(IMPRODUCT(Lambda_1,'Thin theory'!P57))),IMPRODUCT(beta_a2,Cj_2,IMEXP(IMPRODUCT(Lambda_2,'Thin theory'!P57))),IMPRODUCT(beta_a3,Cj_3,IMEXP(IMPRODUCT(Lambda_3,'Thin theory'!P57))),IMPRODUCT(beta_a4,Cj_4,IMEXP(IMPRODUCT(Lambda_4,'Thin theory'!P57))))</f>
        <v>-2.64309028493559E-07+5.16703332714924E-19i</v>
      </c>
      <c r="T57" s="36" t="str">
        <f>IMSUM(IMPRODUCT(beta_b1,Cj_1,IMEXP(IMPRODUCT(Lambda_1,'Thin theory'!P57))),IMPRODUCT(beta_b2,Cj_2,IMEXP(IMPRODUCT(Lambda_2,'Thin theory'!P57))),IMPRODUCT(beta_b3,Cj_3,IMEXP(IMPRODUCT(Lambda_3,'Thin theory'!P57))),IMPRODUCT(beta_b4,Cj_4,IMEXP(IMPRODUCT(Lambda_4,'Thin theory'!P57))))</f>
        <v>-2.43815948064113E-07+2.79494402814317E-19i</v>
      </c>
      <c r="U57" s="36" t="str">
        <f>IMSUM(IMPRODUCT(Lambda_1,beta_b1,Cj_1,IMEXP(IMPRODUCT(Lambda_1,'Thin theory'!P57))),IMPRODUCT(Lambda_2,beta_b2,Cj_2,IMEXP(IMPRODUCT(Lambda_2,'Thin theory'!P57))),IMPRODUCT(Lambda_3,beta_b3,Cj_3,IMEXP(IMPRODUCT(Lambda_3,'Thin theory'!P57))),IMPRODUCT(Lambda_4,beta_b4,Cj_4,IMEXP(IMPRODUCT(Lambda_4,'Thin theory'!P57))))</f>
        <v>-1.84254591700968E-07-3.89767504634987E-21i</v>
      </c>
      <c r="V57" s="36" t="str">
        <f>IMSUM(IMPRODUCT(-1,uc),Nz/Cs*'Thin theory'!P57,IMPRODUCT(-nu/rad,IMSUM(wm*'Thin theory'!P57,IMPRODUCT(IMDIV(w_a1,Lambda_1),Cj_1,IMEXP(IMPRODUCT(Lambda_1,'Thin theory'!P57))),IMPRODUCT(IMDIV(w_a2,Lambda_2),Cj_2,IMEXP(IMPRODUCT(Lambda_2,'Thin theory'!P57))),IMPRODUCT(IMDIV(w_a3,Lambda_3),Cj_3,IMEXP(IMPRODUCT(Lambda_3,'Thin theory'!P57))),IMPRODUCT(IMDIV(w_a4,Lambda_4),Cj_4,IMEXP(IMPRODUCT(Lambda_4,'Thin theory'!P57))))))</f>
        <v>0.0000244432579473819+3.57127048653512E-19i</v>
      </c>
      <c r="W57" s="36" t="str">
        <f t="shared" si="13"/>
        <v>-5.02460229636118E-06-2.61590243891729E-20i</v>
      </c>
      <c r="X57" s="41">
        <f t="shared" si="11"/>
        <v>2.4443257947381899E-5</v>
      </c>
      <c r="Y57" s="41">
        <f t="shared" si="12"/>
        <v>7.9100382726862902E-6</v>
      </c>
      <c r="Z57" s="38">
        <f t="shared" si="14"/>
        <v>-1.0000000000000004</v>
      </c>
      <c r="AA57" s="38">
        <f t="shared" si="15"/>
        <v>1.6401530907451462E-2</v>
      </c>
      <c r="AB57" s="38">
        <f t="shared" si="16"/>
        <v>-4.4654935542877841E-3</v>
      </c>
      <c r="AC57" s="38">
        <f t="shared" si="17"/>
        <v>-1.3396480662863353E-3</v>
      </c>
      <c r="AD57" s="38">
        <f t="shared" si="18"/>
        <v>-1.0267929613257272</v>
      </c>
      <c r="AE57" s="38">
        <f t="shared" si="19"/>
        <v>-1.0000000000000004</v>
      </c>
      <c r="AF57" s="38">
        <f t="shared" si="20"/>
        <v>-0.97320703867427372</v>
      </c>
      <c r="AG57" s="38">
        <f t="shared" si="21"/>
        <v>8.3636425097334509E-3</v>
      </c>
      <c r="AH57" s="38">
        <f t="shared" si="22"/>
        <v>1.6401530907451462E-2</v>
      </c>
      <c r="AI57" s="38">
        <f t="shared" si="23"/>
        <v>2.4439419305169473E-2</v>
      </c>
    </row>
    <row r="58" spans="8:35" x14ac:dyDescent="0.3">
      <c r="H58" s="73"/>
      <c r="I58" s="1" t="s">
        <v>129</v>
      </c>
      <c r="J58" s="1" t="str">
        <f>IMSUB(J52,IMPRODUCT(IMDIV($J52,$J51),J51))</f>
        <v>0</v>
      </c>
      <c r="K58" s="1" t="str">
        <f>IMSUB(K52,IMPRODUCT(IMDIV($J52,$J51),K51))</f>
        <v>-1.31591221591715i</v>
      </c>
      <c r="L58" s="1" t="str">
        <f>IMSUB(L52,IMPRODUCT(IMDIV($J52,$J51),L51))</f>
        <v>-1.31591221591715i</v>
      </c>
      <c r="M58" s="1" t="str">
        <f>IMSUB(M52,IMPRODUCT(IMDIV($J52,$J51),M51))</f>
        <v>0</v>
      </c>
      <c r="N58" s="1" t="str">
        <f>IMSUB(N52,IMPRODUCT(IMDIV($J52,$J51),N51))</f>
        <v>-4.68000000000006E-07+4.93467080968933E-06i</v>
      </c>
      <c r="Q58" s="36" t="str">
        <f>IMSUM(wm,IMPRODUCT(w_a1,Cj_1,IMEXP(IMPRODUCT(Lambda_1,'Thin theory'!P58))),IMPRODUCT(w_a2,Cj_2,IMEXP(IMPRODUCT(Lambda_2,'Thin theory'!P58))),IMPRODUCT(w_a3,Cj_3,IMEXP(IMPRODUCT(Lambda_3,'Thin theory'!P58))),IMPRODUCT(w_a4,Cj_4,IMEXP(IMPRODUCT(Lambda_4,'Thin theory'!P58))))</f>
        <v>7.88511901925191E-06+4.97102460919868E-19i</v>
      </c>
      <c r="R58" s="36" t="str">
        <f>IMSUM(IMPRODUCT(w_b1,Cj_1,IMEXP(IMPRODUCT(Lambda_1,'Thin theory'!P58))),IMPRODUCT(w_b2,Cj_2,IMEXP(IMPRODUCT(Lambda_2,'Thin theory'!P58))),IMPRODUCT(w_b3,Cj_3,IMEXP(IMPRODUCT(Lambda_3,'Thin theory'!P58))),IMPRODUCT(w_b4,Cj_4,IMEXP(IMPRODUCT(Lambda_4,'Thin theory'!P58))))</f>
        <v>-2.34566588659723E-07+5.56599908019582E-19i</v>
      </c>
      <c r="S58" s="36" t="str">
        <f>IMSUM(IMPRODUCT(beta_a1,Cj_1,IMEXP(IMPRODUCT(Lambda_1,'Thin theory'!P58))),IMPRODUCT(beta_a2,Cj_2,IMEXP(IMPRODUCT(Lambda_2,'Thin theory'!P58))),IMPRODUCT(beta_a3,Cj_3,IMEXP(IMPRODUCT(Lambda_3,'Thin theory'!P58))),IMPRODUCT(beta_a4,Cj_4,IMEXP(IMPRODUCT(Lambda_4,'Thin theory'!P58))))</f>
        <v>-2.92761174701988E-07+5.48678826473774E-19i</v>
      </c>
      <c r="T58" s="36" t="str">
        <f>IMSUM(IMPRODUCT(beta_b1,Cj_1,IMEXP(IMPRODUCT(Lambda_1,'Thin theory'!P58))),IMPRODUCT(beta_b2,Cj_2,IMEXP(IMPRODUCT(Lambda_2,'Thin theory'!P58))),IMPRODUCT(beta_b3,Cj_3,IMEXP(IMPRODUCT(Lambda_3,'Thin theory'!P58))),IMPRODUCT(beta_b4,Cj_4,IMEXP(IMPRODUCT(Lambda_4,'Thin theory'!P58))))</f>
        <v>-2.6551354568029E-07+2.77806954364709E-19i</v>
      </c>
      <c r="U58" s="36" t="str">
        <f>IMSUM(IMPRODUCT(Lambda_1,beta_b1,Cj_1,IMEXP(IMPRODUCT(Lambda_1,'Thin theory'!P58))),IMPRODUCT(Lambda_2,beta_b2,Cj_2,IMEXP(IMPRODUCT(Lambda_2,'Thin theory'!P58))),IMPRODUCT(Lambda_3,beta_b3,Cj_3,IMEXP(IMPRODUCT(Lambda_3,'Thin theory'!P58))),IMPRODUCT(Lambda_4,beta_b4,Cj_4,IMEXP(IMPRODUCT(Lambda_4,'Thin theory'!P58))))</f>
        <v>-2.03681051147925E-07-2.67080076181122E-20i</v>
      </c>
      <c r="V58" s="36" t="str">
        <f>IMSUM(IMPRODUCT(-1,uc),Nz/Cs*'Thin theory'!P58,IMPRODUCT(-nu/rad,IMSUM(wm*'Thin theory'!P58,IMPRODUCT(IMDIV(w_a1,Lambda_1),Cj_1,IMEXP(IMPRODUCT(Lambda_1,'Thin theory'!P58))),IMPRODUCT(IMDIV(w_a2,Lambda_2),Cj_2,IMEXP(IMPRODUCT(Lambda_2,'Thin theory'!P58))),IMPRODUCT(IMDIV(w_a3,Lambda_3),Cj_3,IMEXP(IMPRODUCT(Lambda_3,'Thin theory'!P58))),IMPRODUCT(IMDIV(w_a4,Lambda_4),Cj_4,IMEXP(IMPRODUCT(Lambda_4,'Thin theory'!P58))))))</f>
        <v>0.0000238815724833027+3.5400705573186E-19i</v>
      </c>
      <c r="W58" s="36" t="str">
        <f t="shared" si="13"/>
        <v>-5.02310714115512E-06-2.98261476551921E-20i</v>
      </c>
      <c r="X58" s="41">
        <f t="shared" si="11"/>
        <v>2.38815724833027E-5</v>
      </c>
      <c r="Y58" s="41">
        <f t="shared" si="12"/>
        <v>7.8851190192519107E-6</v>
      </c>
      <c r="Z58" s="38">
        <f t="shared" si="14"/>
        <v>-1.0000000000000011</v>
      </c>
      <c r="AA58" s="38">
        <f t="shared" si="15"/>
        <v>1.5404760770076046E-2</v>
      </c>
      <c r="AB58" s="38">
        <f t="shared" si="16"/>
        <v>-4.8628854520199631E-3</v>
      </c>
      <c r="AC58" s="38">
        <f t="shared" si="17"/>
        <v>-1.4588656356059888E-3</v>
      </c>
      <c r="AD58" s="38">
        <f t="shared" si="18"/>
        <v>-1.0291773127121209</v>
      </c>
      <c r="AE58" s="38">
        <f t="shared" si="19"/>
        <v>-1.0000000000000011</v>
      </c>
      <c r="AF58" s="38">
        <f t="shared" si="20"/>
        <v>-0.97082268728788135</v>
      </c>
      <c r="AG58" s="38">
        <f t="shared" si="21"/>
        <v>6.651566956440114E-3</v>
      </c>
      <c r="AH58" s="38">
        <f t="shared" si="22"/>
        <v>1.5404760770076046E-2</v>
      </c>
      <c r="AI58" s="38">
        <f t="shared" si="23"/>
        <v>2.4157954583711977E-2</v>
      </c>
    </row>
    <row r="59" spans="8:35" x14ac:dyDescent="0.3">
      <c r="H59" s="73" t="s">
        <v>22</v>
      </c>
      <c r="I59" s="1" t="s">
        <v>130</v>
      </c>
      <c r="J59" s="1" t="str">
        <f>IMSUB(J53,IMPRODUCT(IMDIV($J53,$J51),J51))</f>
        <v>0</v>
      </c>
      <c r="K59" s="1" t="str">
        <f>IMSUB(K53,IMPRODUCT(IMDIV($J53,$J51),K51))</f>
        <v>276.660023675046i</v>
      </c>
      <c r="L59" s="1" t="str">
        <f>IMSUB(L53,IMPRODUCT(IMDIV($J53,$J51),L51))</f>
        <v>-820.221493419074+138.329811909896i</v>
      </c>
      <c r="M59" s="1" t="str">
        <f>IMSUB(M53,IMPRODUCT(IMDIV($J53,$J51),M51))</f>
        <v>-820.221493419074+138.33021176515i</v>
      </c>
      <c r="N59" s="1" t="str">
        <f>IMSUB(N53,IMPRODUCT(IMDIV($J53,$J51),N51))</f>
        <v>0.00614417009161895-0.00103747508878142i</v>
      </c>
      <c r="Q59" s="36" t="str">
        <f>IMSUM(wm,IMPRODUCT(w_a1,Cj_1,IMEXP(IMPRODUCT(Lambda_1,'Thin theory'!P59))),IMPRODUCT(w_a2,Cj_2,IMEXP(IMPRODUCT(Lambda_2,'Thin theory'!P59))),IMPRODUCT(w_a3,Cj_3,IMEXP(IMPRODUCT(Lambda_3,'Thin theory'!P59))),IMPRODUCT(w_a4,Cj_4,IMEXP(IMPRODUCT(Lambda_4,'Thin theory'!P59))))</f>
        <v>7.85747908882792E-06+5.61199032225377E-19i</v>
      </c>
      <c r="R59" s="36" t="str">
        <f>IMSUM(IMPRODUCT(w_b1,Cj_1,IMEXP(IMPRODUCT(Lambda_1,'Thin theory'!P59))),IMPRODUCT(w_b2,Cj_2,IMEXP(IMPRODUCT(Lambda_2,'Thin theory'!P59))),IMPRODUCT(w_b3,Cj_3,IMEXP(IMPRODUCT(Lambda_3,'Thin theory'!P59))),IMPRODUCT(w_b4,Cj_4,IMEXP(IMPRODUCT(Lambda_4,'Thin theory'!P59))))</f>
        <v>-2.60379298753581E-07+5.94507941131662E-19i</v>
      </c>
      <c r="S59" s="36" t="str">
        <f>IMSUM(IMPRODUCT(beta_a1,Cj_1,IMEXP(IMPRODUCT(Lambda_1,'Thin theory'!P59))),IMPRODUCT(beta_a2,Cj_2,IMEXP(IMPRODUCT(Lambda_2,'Thin theory'!P59))),IMPRODUCT(beta_a3,Cj_3,IMEXP(IMPRODUCT(Lambda_3,'Thin theory'!P59))),IMPRODUCT(beta_a4,Cj_4,IMEXP(IMPRODUCT(Lambda_4,'Thin theory'!P59))))</f>
        <v>-3.23757999400274E-07+5.79602146493456E-19i</v>
      </c>
      <c r="T59" s="36" t="str">
        <f>IMSUM(IMPRODUCT(beta_b1,Cj_1,IMEXP(IMPRODUCT(Lambda_1,'Thin theory'!P59))),IMPRODUCT(beta_b2,Cj_2,IMEXP(IMPRODUCT(Lambda_2,'Thin theory'!P59))),IMPRODUCT(beta_b3,Cj_3,IMEXP(IMPRODUCT(Lambda_3,'Thin theory'!P59))),IMPRODUCT(beta_b4,Cj_4,IMEXP(IMPRODUCT(Lambda_4,'Thin theory'!P59))))</f>
        <v>-2.89312655927853E-07+2.73505615179433E-19i</v>
      </c>
      <c r="U59" s="36" t="str">
        <f>IMSUM(IMPRODUCT(Lambda_1,beta_b1,Cj_1,IMEXP(IMPRODUCT(Lambda_1,'Thin theory'!P59))),IMPRODUCT(Lambda_2,beta_b2,Cj_2,IMEXP(IMPRODUCT(Lambda_2,'Thin theory'!P59))),IMPRODUCT(Lambda_3,beta_b3,Cj_3,IMEXP(IMPRODUCT(Lambda_3,'Thin theory'!P59))),IMPRODUCT(Lambda_4,beta_b4,Cj_4,IMEXP(IMPRODUCT(Lambda_4,'Thin theory'!P59))))</f>
        <v>-2.21825452263424E-07-5.25028078399658E-20i</v>
      </c>
      <c r="V59" s="36" t="str">
        <f>IMSUM(IMPRODUCT(-1,uc),Nz/Cs*'Thin theory'!P59,IMPRODUCT(-nu/rad,IMSUM(wm*'Thin theory'!P59,IMPRODUCT(IMDIV(w_a1,Lambda_1),Cj_1,IMEXP(IMPRODUCT(Lambda_1,'Thin theory'!P59))),IMPRODUCT(IMDIV(w_a2,Lambda_2),Cj_2,IMEXP(IMPRODUCT(Lambda_2,'Thin theory'!P59))),IMPRODUCT(IMDIV(w_a3,Lambda_3),Cj_3,IMEXP(IMPRODUCT(Lambda_3,'Thin theory'!P59))),IMPRODUCT(IMDIV(w_a4,Lambda_4),Cj_4,IMEXP(IMPRODUCT(Lambda_4,'Thin theory'!P59))))))</f>
        <v>0.0000233200631261372+3.50467781501317E-19i</v>
      </c>
      <c r="W59" s="36" t="str">
        <f t="shared" si="13"/>
        <v>-5.02144874532968E-06-3.36719419335226E-20i</v>
      </c>
      <c r="X59" s="41">
        <f t="shared" si="11"/>
        <v>2.3320063126137202E-5</v>
      </c>
      <c r="Y59" s="41">
        <f t="shared" si="12"/>
        <v>7.8574790888279198E-6</v>
      </c>
      <c r="Z59" s="38">
        <f t="shared" si="14"/>
        <v>-1.0000000000000011</v>
      </c>
      <c r="AA59" s="38">
        <f t="shared" si="15"/>
        <v>1.4299163553116544E-2</v>
      </c>
      <c r="AB59" s="38">
        <f t="shared" si="16"/>
        <v>-5.2987665920852202E-3</v>
      </c>
      <c r="AC59" s="38">
        <f t="shared" si="17"/>
        <v>-1.589629977625566E-3</v>
      </c>
      <c r="AD59" s="38">
        <f t="shared" si="18"/>
        <v>-1.0317925995525123</v>
      </c>
      <c r="AE59" s="38">
        <f t="shared" si="19"/>
        <v>-1.0000000000000011</v>
      </c>
      <c r="AF59" s="38">
        <f t="shared" si="20"/>
        <v>-0.96820740044748976</v>
      </c>
      <c r="AG59" s="38">
        <f t="shared" si="21"/>
        <v>4.7613836873631483E-3</v>
      </c>
      <c r="AH59" s="38">
        <f t="shared" si="22"/>
        <v>1.4299163553116544E-2</v>
      </c>
      <c r="AI59" s="38">
        <f t="shared" si="23"/>
        <v>2.3836943418869938E-2</v>
      </c>
    </row>
    <row r="60" spans="8:35" x14ac:dyDescent="0.3">
      <c r="H60" s="73"/>
      <c r="I60" s="1" t="s">
        <v>131</v>
      </c>
      <c r="J60" s="1" t="str">
        <f>IMSUB(J54,IMPRODUCT(IMDIV($J54,$J51),J51))</f>
        <v>0</v>
      </c>
      <c r="K60" s="1" t="str">
        <f>IMSUB(K54,IMPRODUCT(IMDIV($J54,$J51),K51))</f>
        <v>-931.886913313862i</v>
      </c>
      <c r="L60" s="1" t="str">
        <f>IMSUB(L54,IMPRODUCT(IMDIV($J54,$J51),L51))</f>
        <v>-490.081615199026-465.942588174617i</v>
      </c>
      <c r="M60" s="1" t="str">
        <f>IMSUB(M54,IMPRODUCT(IMDIV($J54,$J51),M51))</f>
        <v>-490.081615199026-465.944325139245i</v>
      </c>
      <c r="N60" s="1" t="str">
        <f>IMSUB(N54,IMPRODUCT(IMDIV($J54,$J51),N51))</f>
        <v>0.00367560875196811+0.00349457592492698i</v>
      </c>
      <c r="Q60" s="36" t="str">
        <f>IMSUM(wm,IMPRODUCT(w_a1,Cj_1,IMEXP(IMPRODUCT(Lambda_1,'Thin theory'!P60))),IMPRODUCT(w_a2,Cj_2,IMEXP(IMPRODUCT(Lambda_2,'Thin theory'!P60))),IMPRODUCT(w_a3,Cj_3,IMEXP(IMPRODUCT(Lambda_3,'Thin theory'!P60))),IMPRODUCT(w_a4,Cj_4,IMEXP(IMPRODUCT(Lambda_4,'Thin theory'!P60))))</f>
        <v>7.82677798723837E-06+6.29173426242534E-19i</v>
      </c>
      <c r="R60" s="36" t="str">
        <f>IMSUM(IMPRODUCT(w_b1,Cj_1,IMEXP(IMPRODUCT(Lambda_1,'Thin theory'!P60))),IMPRODUCT(w_b2,Cj_2,IMEXP(IMPRODUCT(Lambda_2,'Thin theory'!P60))),IMPRODUCT(w_b3,Cj_3,IMEXP(IMPRODUCT(Lambda_3,'Thin theory'!P60))),IMPRODUCT(w_b4,Cj_4,IMEXP(IMPRODUCT(Lambda_4,'Thin theory'!P60))))</f>
        <v>-2.89369950412631E-07+6.33423480229832E-19i</v>
      </c>
      <c r="S60" s="36" t="str">
        <f>IMSUM(IMPRODUCT(beta_a1,Cj_1,IMEXP(IMPRODUCT(Lambda_1,'Thin theory'!P60))),IMPRODUCT(beta_a2,Cj_2,IMEXP(IMPRODUCT(Lambda_2,'Thin theory'!P60))),IMPRODUCT(beta_a3,Cj_3,IMEXP(IMPRODUCT(Lambda_3,'Thin theory'!P60))),IMPRODUCT(beta_a4,Cj_4,IMEXP(IMPRODUCT(Lambda_4,'Thin theory'!P60))))</f>
        <v>-3.57526160741949E-07+6.09589098059729E-19i</v>
      </c>
      <c r="T60" s="36" t="str">
        <f>IMSUM(IMPRODUCT(beta_b1,Cj_1,IMEXP(IMPRODUCT(Lambda_1,'Thin theory'!P60))),IMPRODUCT(beta_b2,Cj_2,IMEXP(IMPRODUCT(Lambda_2,'Thin theory'!P60))),IMPRODUCT(beta_b3,Cj_3,IMEXP(IMPRODUCT(Lambda_3,'Thin theory'!P60))),IMPRODUCT(beta_b4,Cj_4,IMEXP(IMPRODUCT(Lambda_4,'Thin theory'!P60))))</f>
        <v>-3.15062209830976E-07+2.66001432662352E-19i</v>
      </c>
      <c r="U60" s="36" t="str">
        <f>IMSUM(IMPRODUCT(Lambda_1,beta_b1,Cj_1,IMEXP(IMPRODUCT(Lambda_1,'Thin theory'!P60))),IMPRODUCT(Lambda_2,beta_b2,Cj_2,IMEXP(IMPRODUCT(Lambda_2,'Thin theory'!P60))),IMPRODUCT(Lambda_3,beta_b3,Cj_3,IMEXP(IMPRODUCT(Lambda_3,'Thin theory'!P60))),IMPRODUCT(Lambda_4,beta_b4,Cj_4,IMEXP(IMPRODUCT(Lambda_4,'Thin theory'!P60))))</f>
        <v>-2.38546736152613E-07-8.15004513936247E-20i</v>
      </c>
      <c r="V60" s="36" t="str">
        <f>IMSUM(IMPRODUCT(-1,uc),Nz/Cs*'Thin theory'!P60,IMPRODUCT(-nu/rad,IMSUM(wm*'Thin theory'!P60,IMPRODUCT(IMDIV(w_a1,Lambda_1),Cj_1,IMEXP(IMPRODUCT(Lambda_1,'Thin theory'!P60))),IMPRODUCT(IMDIV(w_a2,Lambda_2),Cj_2,IMEXP(IMPRODUCT(Lambda_2,'Thin theory'!P60))),IMPRODUCT(IMDIV(w_a3,Lambda_3),Cj_3,IMEXP(IMPRODUCT(Lambda_3,'Thin theory'!P60))),IMPRODUCT(IMDIV(w_a4,Lambda_4),Cj_4,IMEXP(IMPRODUCT(Lambda_4,'Thin theory'!P60))))))</f>
        <v>0.0000227587492521071+3.46442522117287E-19i</v>
      </c>
      <c r="W60" s="36" t="str">
        <f t="shared" si="13"/>
        <v>-0.0000050196066792343-3.7750405574552E-20i</v>
      </c>
      <c r="X60" s="41">
        <f t="shared" si="11"/>
        <v>2.2758749252107099E-5</v>
      </c>
      <c r="Y60" s="41">
        <f t="shared" si="12"/>
        <v>7.8267779872383704E-6</v>
      </c>
      <c r="Z60" s="38">
        <f t="shared" si="14"/>
        <v>-0.99999999999999956</v>
      </c>
      <c r="AA60" s="38">
        <f t="shared" si="15"/>
        <v>1.3071119489534979E-2</v>
      </c>
      <c r="AB60" s="38">
        <f t="shared" si="16"/>
        <v>-5.7703701434244688E-3</v>
      </c>
      <c r="AC60" s="38">
        <f t="shared" si="17"/>
        <v>-1.7311110430273406E-3</v>
      </c>
      <c r="AD60" s="38">
        <f t="shared" si="18"/>
        <v>-1.0346222208605464</v>
      </c>
      <c r="AE60" s="38">
        <f t="shared" si="19"/>
        <v>-0.99999999999999956</v>
      </c>
      <c r="AF60" s="38">
        <f t="shared" si="20"/>
        <v>-0.96537777913945277</v>
      </c>
      <c r="AG60" s="38">
        <f t="shared" si="21"/>
        <v>2.6844532313709361E-3</v>
      </c>
      <c r="AH60" s="38">
        <f t="shared" si="22"/>
        <v>1.3071119489534979E-2</v>
      </c>
      <c r="AI60" s="38">
        <f t="shared" si="23"/>
        <v>2.3457785747699023E-2</v>
      </c>
    </row>
    <row r="61" spans="8:35" x14ac:dyDescent="0.3">
      <c r="H61" s="2"/>
      <c r="I61" s="2"/>
      <c r="J61" s="63" t="s">
        <v>101</v>
      </c>
      <c r="K61" s="63"/>
      <c r="L61" s="63"/>
      <c r="M61" s="63"/>
      <c r="N61" s="2"/>
      <c r="Q61" s="36" t="str">
        <f>IMSUM(wm,IMPRODUCT(w_a1,Cj_1,IMEXP(IMPRODUCT(Lambda_1,'Thin theory'!P61))),IMPRODUCT(w_a2,Cj_2,IMEXP(IMPRODUCT(Lambda_2,'Thin theory'!P61))),IMPRODUCT(w_a3,Cj_3,IMEXP(IMPRODUCT(Lambda_3,'Thin theory'!P61))),IMPRODUCT(w_a4,Cj_4,IMEXP(IMPRODUCT(Lambda_4,'Thin theory'!P61))))</f>
        <v>7.79264607796099E-06+7.0227634005752E-19i</v>
      </c>
      <c r="R61" s="36" t="str">
        <f>IMSUM(IMPRODUCT(w_b1,Cj_1,IMEXP(IMPRODUCT(Lambda_1,'Thin theory'!P61))),IMPRODUCT(w_b2,Cj_2,IMEXP(IMPRODUCT(Lambda_2,'Thin theory'!P61))),IMPRODUCT(w_b3,Cj_3,IMEXP(IMPRODUCT(Lambda_3,'Thin theory'!P61))),IMPRODUCT(w_b4,Cj_4,IMEXP(IMPRODUCT(Lambda_4,'Thin theory'!P61))))</f>
        <v>-3.21792653214082E-07+6.71310006645985E-19i</v>
      </c>
      <c r="S61" s="36" t="str">
        <f>IMSUM(IMPRODUCT(beta_a1,Cj_1,IMEXP(IMPRODUCT(Lambda_1,'Thin theory'!P61))),IMPRODUCT(beta_a2,Cj_2,IMEXP(IMPRODUCT(Lambda_2,'Thin theory'!P61))),IMPRODUCT(beta_a3,Cj_3,IMEXP(IMPRODUCT(Lambda_3,'Thin theory'!P61))),IMPRODUCT(beta_a4,Cj_4,IMEXP(IMPRODUCT(Lambda_4,'Thin theory'!P61))))</f>
        <v>-3.94274509843102E-07+6.38500714829682E-19i</v>
      </c>
      <c r="T61" s="36" t="str">
        <f>IMSUM(IMPRODUCT(beta_b1,Cj_1,IMEXP(IMPRODUCT(Lambda_1,'Thin theory'!P61))),IMPRODUCT(beta_b2,Cj_2,IMEXP(IMPRODUCT(Lambda_2,'Thin theory'!P61))),IMPRODUCT(beta_b3,Cj_3,IMEXP(IMPRODUCT(Lambda_3,'Thin theory'!P61))),IMPRODUCT(beta_b4,Cj_4,IMEXP(IMPRODUCT(Lambda_4,'Thin theory'!P61))))</f>
        <v>-0.0000003425944111558+2.55095883466453E-19i</v>
      </c>
      <c r="U61" s="36" t="str">
        <f>IMSUM(IMPRODUCT(Lambda_1,beta_b1,Cj_1,IMEXP(IMPRODUCT(Lambda_1,'Thin theory'!P61))),IMPRODUCT(Lambda_2,beta_b2,Cj_2,IMEXP(IMPRODUCT(Lambda_2,'Thin theory'!P61))),IMPRODUCT(Lambda_3,beta_b3,Cj_3,IMEXP(IMPRODUCT(Lambda_3,'Thin theory'!P61))),IMPRODUCT(Lambda_4,beta_b4,Cj_4,IMEXP(IMPRODUCT(Lambda_4,'Thin theory'!P61))))</f>
        <v>-2.53686498201574E-07-1.13992105854708E-19i</v>
      </c>
      <c r="V61" s="36" t="str">
        <f>IMSUM(IMPRODUCT(-1,uc),Nz/Cs*'Thin theory'!P61,IMPRODUCT(-nu/rad,IMSUM(wm*'Thin theory'!P61,IMPRODUCT(IMDIV(w_a1,Lambda_1),Cj_1,IMEXP(IMPRODUCT(Lambda_1,'Thin theory'!P61))),IMPRODUCT(IMDIV(w_a2,Lambda_2),Cj_2,IMEXP(IMPRODUCT(Lambda_2,'Thin theory'!P61))),IMPRODUCT(IMDIV(w_a3,Lambda_3),Cj_3,IMEXP(IMPRODUCT(Lambda_3,'Thin theory'!P61))),IMPRODUCT(IMDIV(w_a4,Lambda_4),Cj_4,IMEXP(IMPRODUCT(Lambda_4,'Thin theory'!P61))))))</f>
        <v>0.0000221976526200881+3.42001951891306E-19i</v>
      </c>
      <c r="W61" s="36" t="str">
        <f t="shared" si="13"/>
        <v>-5.01755876467766E-06-4.21365804034512E-20i</v>
      </c>
      <c r="X61" s="41">
        <f t="shared" si="11"/>
        <v>2.2197652620088099E-5</v>
      </c>
      <c r="Y61" s="41">
        <f t="shared" si="12"/>
        <v>7.7926460779609901E-6</v>
      </c>
      <c r="Z61" s="38">
        <f t="shared" si="14"/>
        <v>-1</v>
      </c>
      <c r="AA61" s="38">
        <f t="shared" si="15"/>
        <v>1.1705843118439552E-2</v>
      </c>
      <c r="AB61" s="38">
        <f t="shared" si="16"/>
        <v>-6.2746229149413923E-3</v>
      </c>
      <c r="AC61" s="38">
        <f t="shared" si="17"/>
        <v>-1.8823868744824177E-3</v>
      </c>
      <c r="AD61" s="38">
        <f t="shared" si="18"/>
        <v>-1.0376477374896484</v>
      </c>
      <c r="AE61" s="38">
        <f t="shared" si="19"/>
        <v>-1</v>
      </c>
      <c r="AF61" s="38">
        <f t="shared" si="20"/>
        <v>-0.96235226251035166</v>
      </c>
      <c r="AG61" s="38">
        <f t="shared" si="21"/>
        <v>4.1152187154504596E-4</v>
      </c>
      <c r="AH61" s="38">
        <f t="shared" si="22"/>
        <v>1.1705843118439552E-2</v>
      </c>
      <c r="AI61" s="38">
        <f t="shared" si="23"/>
        <v>2.3000164365334058E-2</v>
      </c>
    </row>
    <row r="62" spans="8:35" x14ac:dyDescent="0.3">
      <c r="H62" s="73" t="s">
        <v>21</v>
      </c>
      <c r="I62" s="1" t="s">
        <v>128</v>
      </c>
      <c r="J62" s="1" t="str">
        <f t="shared" ref="J62:N63" si="24">J57</f>
        <v>1</v>
      </c>
      <c r="K62" s="1" t="str">
        <f t="shared" si="24"/>
        <v>1</v>
      </c>
      <c r="L62" s="1" t="str">
        <f t="shared" si="24"/>
        <v>1</v>
      </c>
      <c r="M62" s="1" t="str">
        <f t="shared" si="24"/>
        <v>1</v>
      </c>
      <c r="N62" s="3">
        <f t="shared" si="24"/>
        <v>-7.5000000000000002E-6</v>
      </c>
      <c r="Q62" s="36" t="str">
        <f>IMSUM(wm,IMPRODUCT(w_a1,Cj_1,IMEXP(IMPRODUCT(Lambda_1,'Thin theory'!P62))),IMPRODUCT(w_a2,Cj_2,IMEXP(IMPRODUCT(Lambda_2,'Thin theory'!P62))),IMPRODUCT(w_a3,Cj_3,IMEXP(IMPRODUCT(Lambda_3,'Thin theory'!P62))),IMPRODUCT(w_a4,Cj_4,IMEXP(IMPRODUCT(Lambda_4,'Thin theory'!P62))))</f>
        <v>7.75468610524693E-06+7.79409277816865E-19i</v>
      </c>
      <c r="R62" s="36" t="str">
        <f>IMSUM(IMPRODUCT(w_b1,Cj_1,IMEXP(IMPRODUCT(Lambda_1,'Thin theory'!P62))),IMPRODUCT(w_b2,Cj_2,IMEXP(IMPRODUCT(Lambda_2,'Thin theory'!P62))),IMPRODUCT(w_b3,Cj_3,IMEXP(IMPRODUCT(Lambda_3,'Thin theory'!P62))),IMPRODUCT(w_b4,Cj_4,IMEXP(IMPRODUCT(Lambda_4,'Thin theory'!P62))))</f>
        <v>-0.0000003578870803198+7.1026938631662E-19i</v>
      </c>
      <c r="S62" s="36" t="str">
        <f>IMSUM(IMPRODUCT(beta_a1,Cj_1,IMEXP(IMPRODUCT(Lambda_1,'Thin theory'!P62))),IMPRODUCT(beta_a2,Cj_2,IMEXP(IMPRODUCT(Lambda_2,'Thin theory'!P62))),IMPRODUCT(beta_a3,Cj_3,IMEXP(IMPRODUCT(Lambda_3,'Thin theory'!P62))),IMPRODUCT(beta_a4,Cj_4,IMEXP(IMPRODUCT(Lambda_4,'Thin theory'!P62))))</f>
        <v>-4.34192109279761E-07+6.66406479974771E-19i</v>
      </c>
      <c r="T62" s="36" t="str">
        <f>IMSUM(IMPRODUCT(beta_b1,Cj_1,IMEXP(IMPRODUCT(Lambda_1,'Thin theory'!P62))),IMPRODUCT(beta_b2,Cj_2,IMEXP(IMPRODUCT(Lambda_2,'Thin theory'!P62))),IMPRODUCT(beta_b3,Cj_3,IMEXP(IMPRODUCT(Lambda_3,'Thin theory'!P62))),IMPRODUCT(beta_b4,Cj_4,IMEXP(IMPRODUCT(Lambda_4,'Thin theory'!P62))))</f>
        <v>-3.71722718887377E-07+2.40405155787512E-19i</v>
      </c>
      <c r="U62" s="36" t="str">
        <f>IMSUM(IMPRODUCT(Lambda_1,beta_b1,Cj_1,IMEXP(IMPRODUCT(Lambda_1,'Thin theory'!P62))),IMPRODUCT(Lambda_2,beta_b2,Cj_2,IMEXP(IMPRODUCT(Lambda_2,'Thin theory'!P62))),IMPRODUCT(Lambda_3,beta_b3,Cj_3,IMEXP(IMPRODUCT(Lambda_3,'Thin theory'!P62))),IMPRODUCT(Lambda_4,beta_b4,Cj_4,IMEXP(IMPRODUCT(Lambda_4,'Thin theory'!P62))))</f>
        <v>-2.67067601359866E-07-1.50202764349829E-19i</v>
      </c>
      <c r="V62" s="36" t="str">
        <f>IMSUM(IMPRODUCT(-1,uc),Nz/Cs*'Thin theory'!P62,IMPRODUCT(-nu/rad,IMSUM(wm*'Thin theory'!P62,IMPRODUCT(IMDIV(w_a1,Lambda_1),Cj_1,IMEXP(IMPRODUCT(Lambda_1,'Thin theory'!P62))),IMPRODUCT(IMDIV(w_a2,Lambda_2),Cj_2,IMEXP(IMPRODUCT(Lambda_2,'Thin theory'!P62))),IMPRODUCT(IMDIV(w_a3,Lambda_3),Cj_3,IMEXP(IMPRODUCT(Lambda_3,'Thin theory'!P62))),IMPRODUCT(IMDIV(w_a4,Lambda_4),Cj_4,IMEXP(IMPRODUCT(Lambda_4,'Thin theory'!P62))))))</f>
        <v>0.0000216367975620925+3.37020604068063E-19i</v>
      </c>
      <c r="W62" s="36" t="str">
        <f t="shared" si="13"/>
        <v>-5.01528116631482E-06-4.67645566690119E-20i</v>
      </c>
      <c r="X62" s="41">
        <f t="shared" si="11"/>
        <v>2.1636797562092501E-5</v>
      </c>
      <c r="Y62" s="41">
        <f t="shared" si="12"/>
        <v>7.7546861052469308E-6</v>
      </c>
      <c r="Z62" s="38">
        <f t="shared" si="14"/>
        <v>-1.0000000000000009</v>
      </c>
      <c r="AA62" s="38">
        <f t="shared" si="15"/>
        <v>1.0187444209876977E-2</v>
      </c>
      <c r="AB62" s="38">
        <f t="shared" si="16"/>
        <v>-6.8081084045307138E-3</v>
      </c>
      <c r="AC62" s="38">
        <f t="shared" si="17"/>
        <v>-2.0424325213592139E-3</v>
      </c>
      <c r="AD62" s="38">
        <f t="shared" si="18"/>
        <v>-1.0408486504271852</v>
      </c>
      <c r="AE62" s="38">
        <f t="shared" si="19"/>
        <v>-1.0000000000000009</v>
      </c>
      <c r="AF62" s="38">
        <f t="shared" si="20"/>
        <v>-0.95915134957281656</v>
      </c>
      <c r="AG62" s="38">
        <f t="shared" si="21"/>
        <v>-2.0671509182783061E-3</v>
      </c>
      <c r="AH62" s="38">
        <f t="shared" si="22"/>
        <v>1.0187444209876977E-2</v>
      </c>
      <c r="AI62" s="38">
        <f t="shared" si="23"/>
        <v>2.2442039338032259E-2</v>
      </c>
    </row>
    <row r="63" spans="8:35" x14ac:dyDescent="0.3">
      <c r="H63" s="73"/>
      <c r="I63" s="1" t="s">
        <v>129</v>
      </c>
      <c r="J63" s="1" t="str">
        <f t="shared" si="24"/>
        <v>0</v>
      </c>
      <c r="K63" s="1" t="str">
        <f t="shared" si="24"/>
        <v>-1.31591221591715i</v>
      </c>
      <c r="L63" s="1" t="str">
        <f t="shared" si="24"/>
        <v>-1.31591221591715i</v>
      </c>
      <c r="M63" s="1" t="str">
        <f t="shared" si="24"/>
        <v>0</v>
      </c>
      <c r="N63" s="1" t="str">
        <f t="shared" si="24"/>
        <v>-4.68000000000006E-07+4.93467080968933E-06i</v>
      </c>
      <c r="Q63" s="36" t="str">
        <f>IMSUM(wm,IMPRODUCT(w_a1,Cj_1,IMEXP(IMPRODUCT(Lambda_1,'Thin theory'!P63))),IMPRODUCT(w_a2,Cj_2,IMEXP(IMPRODUCT(Lambda_2,'Thin theory'!P63))),IMPRODUCT(w_a3,Cj_3,IMEXP(IMPRODUCT(Lambda_3,'Thin theory'!P63))),IMPRODUCT(w_a4,Cj_4,IMEXP(IMPRODUCT(Lambda_4,'Thin theory'!P63))))</f>
        <v>0.0000077124749086463+8.61406037578022E-19i</v>
      </c>
      <c r="R63" s="36" t="str">
        <f>IMSUM(IMPRODUCT(w_b1,Cj_1,IMEXP(IMPRODUCT(Lambda_1,'Thin theory'!P63))),IMPRODUCT(w_b2,Cj_2,IMEXP(IMPRODUCT(Lambda_2,'Thin theory'!P63))),IMPRODUCT(w_b3,Cj_3,IMEXP(IMPRODUCT(Lambda_3,'Thin theory'!P63))),IMPRODUCT(w_b4,Cj_4,IMEXP(IMPRODUCT(Lambda_4,'Thin theory'!P63))))</f>
        <v>-3.97876626551193E-07+7.46207902390212E-19i</v>
      </c>
      <c r="S63" s="36" t="str">
        <f>IMSUM(IMPRODUCT(beta_a1,Cj_1,IMEXP(IMPRODUCT(Lambda_1,'Thin theory'!P63))),IMPRODUCT(beta_a2,Cj_2,IMEXP(IMPRODUCT(Lambda_2,'Thin theory'!P63))),IMPRODUCT(beta_a3,Cj_3,IMEXP(IMPRODUCT(Lambda_3,'Thin theory'!P63))),IMPRODUCT(beta_a4,Cj_4,IMEXP(IMPRODUCT(Lambda_4,'Thin theory'!P63))))</f>
        <v>-4.77446017511971E-07+6.92298887508906E-19i</v>
      </c>
      <c r="T63" s="36" t="str">
        <f>IMSUM(IMPRODUCT(beta_b1,Cj_1,IMEXP(IMPRODUCT(Lambda_1,'Thin theory'!P63))),IMPRODUCT(beta_b2,Cj_2,IMEXP(IMPRODUCT(Lambda_2,'Thin theory'!P63))),IMPRODUCT(beta_b3,Cj_3,IMEXP(IMPRODUCT(Lambda_3,'Thin theory'!P63))),IMPRODUCT(beta_b4,Cj_4,IMEXP(IMPRODUCT(Lambda_4,'Thin theory'!P63))))</f>
        <v>-4.02239678992735E-07+2.21499115707E-19i</v>
      </c>
      <c r="U63" s="36" t="str">
        <f>IMSUM(IMPRODUCT(Lambda_1,beta_b1,Cj_1,IMEXP(IMPRODUCT(Lambda_1,'Thin theory'!P63))),IMPRODUCT(Lambda_2,beta_b2,Cj_2,IMEXP(IMPRODUCT(Lambda_2,'Thin theory'!P63))),IMPRODUCT(Lambda_3,beta_b3,Cj_3,IMEXP(IMPRODUCT(Lambda_3,'Thin theory'!P63))),IMPRODUCT(Lambda_4,beta_b4,Cj_4,IMEXP(IMPRODUCT(Lambda_4,'Thin theory'!P63))))</f>
        <v>-2.78492868362723E-07-1.90602265466919E-19i</v>
      </c>
      <c r="V63" s="36" t="str">
        <f>IMSUM(IMPRODUCT(-1,uc),Nz/Cs*'Thin theory'!P63,IMPRODUCT(-nu/rad,IMSUM(wm*'Thin theory'!P63,IMPRODUCT(IMDIV(w_a1,Lambda_1),Cj_1,IMEXP(IMPRODUCT(Lambda_1,'Thin theory'!P63))),IMPRODUCT(IMDIV(w_a2,Lambda_2),Cj_2,IMEXP(IMPRODUCT(Lambda_2,'Thin theory'!P63))),IMPRODUCT(IMDIV(w_a3,Lambda_3),Cj_3,IMEXP(IMPRODUCT(Lambda_3,'Thin theory'!P63))),IMPRODUCT(IMDIV(w_a4,Lambda_4),Cj_4,IMEXP(IMPRODUCT(Lambda_4,'Thin theory'!P63))))))</f>
        <v>0.0000210762111629095+3.31554859278108E-19i</v>
      </c>
      <c r="W63" s="36" t="str">
        <f t="shared" si="13"/>
        <v>-5.01274849451878E-06-5.16843622546813E-20i</v>
      </c>
      <c r="X63" s="41">
        <f t="shared" si="11"/>
        <v>2.1076211162909501E-5</v>
      </c>
      <c r="Y63" s="41">
        <f t="shared" si="12"/>
        <v>7.7124749086463E-6</v>
      </c>
      <c r="Z63" s="38">
        <f t="shared" si="14"/>
        <v>-1.0000000000000004</v>
      </c>
      <c r="AA63" s="38">
        <f t="shared" si="15"/>
        <v>8.498996345851861E-3</v>
      </c>
      <c r="AB63" s="38">
        <f t="shared" si="16"/>
        <v>-7.3670270877790288E-3</v>
      </c>
      <c r="AC63" s="38">
        <f t="shared" si="17"/>
        <v>-2.2101081263337084E-3</v>
      </c>
      <c r="AD63" s="38">
        <f t="shared" si="18"/>
        <v>-1.0442021625266746</v>
      </c>
      <c r="AE63" s="38">
        <f t="shared" si="19"/>
        <v>-1.0000000000000004</v>
      </c>
      <c r="AF63" s="38">
        <f t="shared" si="20"/>
        <v>-0.95579783747332625</v>
      </c>
      <c r="AG63" s="38">
        <f t="shared" si="21"/>
        <v>-4.7616524121503901E-3</v>
      </c>
      <c r="AH63" s="38">
        <f t="shared" si="22"/>
        <v>8.498996345851861E-3</v>
      </c>
      <c r="AI63" s="38">
        <f t="shared" si="23"/>
        <v>2.1759645103854114E-2</v>
      </c>
    </row>
    <row r="64" spans="8:35" x14ac:dyDescent="0.3">
      <c r="H64" s="73" t="s">
        <v>22</v>
      </c>
      <c r="I64" s="1" t="s">
        <v>130</v>
      </c>
      <c r="J64" s="1" t="str">
        <f>IMSUB(J59,IMPRODUCT(IMDIV($K59,$K58),J58))</f>
        <v>0</v>
      </c>
      <c r="K64" s="1" t="str">
        <f>IMSUB(K59,IMPRODUCT(IMDIV($K59,$K58),K58))</f>
        <v>0</v>
      </c>
      <c r="L64" s="1" t="str">
        <f>IMSUB(L59,IMPRODUCT(IMDIV($K59,$K58),L58))</f>
        <v>-820.221493419074-138.33021176515i</v>
      </c>
      <c r="M64" s="1" t="str">
        <f>IMSUB(M59,IMPRODUCT(IMDIV($K59,$K58),M58))</f>
        <v>-820.221493419074+138.33021176515i</v>
      </c>
      <c r="N64" s="1" t="str">
        <f>IMSUB(N59,IMPRODUCT(IMDIV($K59,$K58),N58))</f>
        <v>0.0060457768329245</v>
      </c>
      <c r="Q64" s="36" t="str">
        <f>IMSUM(wm,IMPRODUCT(w_a1,Cj_1,IMEXP(IMPRODUCT(Lambda_1,'Thin theory'!P64))),IMPRODUCT(w_a2,Cj_2,IMEXP(IMPRODUCT(Lambda_2,'Thin theory'!P64))),IMPRODUCT(w_a3,Cj_3,IMEXP(IMPRODUCT(Lambda_3,'Thin theory'!P64))),IMPRODUCT(w_a4,Cj_4,IMEXP(IMPRODUCT(Lambda_4,'Thin theory'!P64))))</f>
        <v>7.66556535871103E-06+9.46433587103573E-19i</v>
      </c>
      <c r="R64" s="36" t="str">
        <f>IMSUM(IMPRODUCT(w_b1,Cj_1,IMEXP(IMPRODUCT(Lambda_1,'Thin theory'!P64))),IMPRODUCT(w_b2,Cj_2,IMEXP(IMPRODUCT(Lambda_2,'Thin theory'!P64))),IMPRODUCT(w_b3,Cj_3,IMEXP(IMPRODUCT(Lambda_3,'Thin theory'!P64))),IMPRODUCT(w_b4,Cj_4,IMEXP(IMPRODUCT(Lambda_4,'Thin theory'!P64))))</f>
        <v>-4.4196629062398E-07+7.83184013144674E-19i</v>
      </c>
      <c r="S64" s="36" t="str">
        <f>IMSUM(IMPRODUCT(beta_a1,Cj_1,IMEXP(IMPRODUCT(Lambda_1,'Thin theory'!P64))),IMPRODUCT(beta_a2,Cj_2,IMEXP(IMPRODUCT(Lambda_2,'Thin theory'!P64))),IMPRODUCT(beta_a3,Cj_3,IMEXP(IMPRODUCT(Lambda_3,'Thin theory'!P64))),IMPRODUCT(beta_a4,Cj_4,IMEXP(IMPRODUCT(Lambda_4,'Thin theory'!P64))))</f>
        <v>-5.24178822897831E-07+7.16267272938242E-19i</v>
      </c>
      <c r="T64" s="36" t="str">
        <f>IMSUM(IMPRODUCT(beta_b1,Cj_1,IMEXP(IMPRODUCT(Lambda_1,'Thin theory'!P64))),IMPRODUCT(beta_b2,Cj_2,IMEXP(IMPRODUCT(Lambda_2,'Thin theory'!P64))),IMPRODUCT(beta_b3,Cj_3,IMEXP(IMPRODUCT(Lambda_3,'Thin theory'!P64))),IMPRODUCT(beta_b4,Cj_4,IMEXP(IMPRODUCT(Lambda_4,'Thin theory'!P64))))</f>
        <v>-4.33914614844838E-07+1.97696166400174E-19i</v>
      </c>
      <c r="U64" s="36" t="str">
        <f>IMSUM(IMPRODUCT(Lambda_1,beta_b1,Cj_1,IMEXP(IMPRODUCT(Lambda_1,'Thin theory'!P64))),IMPRODUCT(Lambda_2,beta_b2,Cj_2,IMEXP(IMPRODUCT(Lambda_2,'Thin theory'!P64))),IMPRODUCT(Lambda_3,beta_b3,Cj_3,IMEXP(IMPRODUCT(Lambda_3,'Thin theory'!P64))),IMPRODUCT(Lambda_4,beta_b4,Cj_4,IMEXP(IMPRODUCT(Lambda_4,'Thin theory'!P64))))</f>
        <v>-2.87743862958479E-07-2.33595804984975E-19i</v>
      </c>
      <c r="V64" s="36" t="str">
        <f>IMSUM(IMPRODUCT(-1,uc),Nz/Cs*'Thin theory'!P64,IMPRODUCT(-nu/rad,IMSUM(wm*'Thin theory'!P64,IMPRODUCT(IMDIV(w_a1,Lambda_1),Cj_1,IMEXP(IMPRODUCT(Lambda_1,'Thin theory'!P64))),IMPRODUCT(IMDIV(w_a2,Lambda_2),Cj_2,IMEXP(IMPRODUCT(Lambda_2,'Thin theory'!P64))),IMPRODUCT(IMDIV(w_a3,Lambda_3),Cj_3,IMEXP(IMPRODUCT(Lambda_3,'Thin theory'!P64))),IMPRODUCT(IMDIV(w_a4,Lambda_4),Cj_4,IMEXP(IMPRODUCT(Lambda_4,'Thin theory'!P64))))))</f>
        <v>0.0000205159234275186+3.25497514914056E-19i</v>
      </c>
      <c r="W64" s="36" t="str">
        <f t="shared" si="13"/>
        <v>-5.00993392152266E-06-5.67860152262144E-20i</v>
      </c>
      <c r="X64" s="41">
        <f t="shared" si="11"/>
        <v>2.05159234275186E-5</v>
      </c>
      <c r="Y64" s="41">
        <f t="shared" si="12"/>
        <v>7.6655653587110306E-6</v>
      </c>
      <c r="Z64" s="38">
        <f t="shared" si="14"/>
        <v>-0.99999999999999956</v>
      </c>
      <c r="AA64" s="38">
        <f t="shared" si="15"/>
        <v>6.6226143484413892E-3</v>
      </c>
      <c r="AB64" s="38">
        <f t="shared" si="16"/>
        <v>-7.9471541180373261E-3</v>
      </c>
      <c r="AC64" s="38">
        <f t="shared" si="17"/>
        <v>-2.3841462354111977E-3</v>
      </c>
      <c r="AD64" s="38">
        <f t="shared" si="18"/>
        <v>-1.0476829247082236</v>
      </c>
      <c r="AE64" s="38">
        <f t="shared" si="19"/>
        <v>-0.99999999999999956</v>
      </c>
      <c r="AF64" s="38">
        <f t="shared" si="20"/>
        <v>-0.95231707529177556</v>
      </c>
      <c r="AG64" s="38">
        <f t="shared" si="21"/>
        <v>-7.6822630640257968E-3</v>
      </c>
      <c r="AH64" s="38">
        <f t="shared" si="22"/>
        <v>6.6226143484413892E-3</v>
      </c>
      <c r="AI64" s="38">
        <f t="shared" si="23"/>
        <v>2.0927491760908575E-2</v>
      </c>
    </row>
    <row r="65" spans="8:35" x14ac:dyDescent="0.3">
      <c r="H65" s="73"/>
      <c r="I65" s="1" t="s">
        <v>131</v>
      </c>
      <c r="J65" s="1" t="str">
        <f>IMSUB(J60,IMPRODUCT(IMDIV($K60,$K58),J58))</f>
        <v>0</v>
      </c>
      <c r="K65" s="1" t="str">
        <f>IMSUB(K60,IMPRODUCT(IMDIV($K60,$K58),K58))</f>
        <v>0</v>
      </c>
      <c r="L65" s="1" t="str">
        <f>IMSUB(L60,IMPRODUCT(IMDIV($K60,$K58),L58))</f>
        <v>-490.081615199026+465.944325139245i</v>
      </c>
      <c r="M65" s="1" t="str">
        <f>IMSUB(M60,IMPRODUCT(IMDIV($K60,$K58),M58))</f>
        <v>-490.081615199026-465.944325139245i</v>
      </c>
      <c r="N65" s="1" t="str">
        <f>IMSUB(N60,IMPRODUCT(IMDIV($K60,$K58),N58))</f>
        <v>0.00400703137283566-9.97465998686664E-18i</v>
      </c>
      <c r="Q65" s="36" t="str">
        <f>IMSUM(wm,IMPRODUCT(w_a1,Cj_1,IMEXP(IMPRODUCT(Lambda_1,'Thin theory'!P65))),IMPRODUCT(w_a2,Cj_2,IMEXP(IMPRODUCT(Lambda_2,'Thin theory'!P65))),IMPRODUCT(w_a3,Cj_3,IMEXP(IMPRODUCT(Lambda_3,'Thin theory'!P65))),IMPRODUCT(w_a4,Cj_4,IMEXP(IMPRODUCT(Lambda_4,'Thin theory'!P65))))</f>
        <v>7.61348854575775E-06+1.03536542912037E-18i</v>
      </c>
      <c r="R65" s="36" t="str">
        <f>IMSUM(IMPRODUCT(w_b1,Cj_1,IMEXP(IMPRODUCT(Lambda_1,'Thin theory'!P65))),IMPRODUCT(w_b2,Cj_2,IMEXP(IMPRODUCT(Lambda_2,'Thin theory'!P65))),IMPRODUCT(w_b3,Cj_3,IMEXP(IMPRODUCT(Lambda_3,'Thin theory'!P65))),IMPRODUCT(w_b4,Cj_4,IMEXP(IMPRODUCT(Lambda_4,'Thin theory'!P65))))</f>
        <v>-4.90340263014093E-07+8.17136158374796E-19i</v>
      </c>
      <c r="S65" s="36" t="str">
        <f>IMSUM(IMPRODUCT(beta_a1,Cj_1,IMEXP(IMPRODUCT(Lambda_1,'Thin theory'!P65))),IMPRODUCT(beta_a2,Cj_2,IMEXP(IMPRODUCT(Lambda_2,'Thin theory'!P65))),IMPRODUCT(beta_a3,Cj_3,IMEXP(IMPRODUCT(Lambda_3,'Thin theory'!P65))),IMPRODUCT(beta_a4,Cj_4,IMEXP(IMPRODUCT(Lambda_4,'Thin theory'!P65))))</f>
        <v>-5.74505912074865E-07+7.3620232570077E-19i</v>
      </c>
      <c r="T65" s="36" t="str">
        <f>IMSUM(IMPRODUCT(beta_b1,Cj_1,IMEXP(IMPRODUCT(Lambda_1,'Thin theory'!P65))),IMPRODUCT(beta_b2,Cj_2,IMEXP(IMPRODUCT(Lambda_2,'Thin theory'!P65))),IMPRODUCT(beta_b3,Cj_3,IMEXP(IMPRODUCT(Lambda_3,'Thin theory'!P65))),IMPRODUCT(beta_b4,Cj_4,IMEXP(IMPRODUCT(Lambda_4,'Thin theory'!P65))))</f>
        <v>-4.66491186890905E-07+1.68797784520021E-19i</v>
      </c>
      <c r="U65" s="36" t="str">
        <f>IMSUM(IMPRODUCT(Lambda_1,beta_b1,Cj_1,IMEXP(IMPRODUCT(Lambda_1,'Thin theory'!P65))),IMPRODUCT(Lambda_2,beta_b2,Cj_2,IMEXP(IMPRODUCT(Lambda_2,'Thin theory'!P65))),IMPRODUCT(Lambda_3,beta_b3,Cj_3,IMEXP(IMPRODUCT(Lambda_3,'Thin theory'!P65))),IMPRODUCT(Lambda_4,beta_b4,Cj_4,IMEXP(IMPRODUCT(Lambda_4,'Thin theory'!P65))))</f>
        <v>-2.94579771712697E-07-2.82588058305266E-19i</v>
      </c>
      <c r="V65" s="36" t="str">
        <f>IMSUM(IMPRODUCT(-1,uc),Nz/Cs*'Thin theory'!P65,IMPRODUCT(-nu/rad,IMSUM(wm*'Thin theory'!P65,IMPRODUCT(IMDIV(w_a1,Lambda_1),Cj_1,IMEXP(IMPRODUCT(Lambda_1,'Thin theory'!P65))),IMPRODUCT(IMDIV(w_a2,Lambda_2),Cj_2,IMEXP(IMPRODUCT(Lambda_2,'Thin theory'!P65))),IMPRODUCT(IMDIV(w_a3,Lambda_3),Cj_3,IMEXP(IMPRODUCT(Lambda_3,'Thin theory'!P65))),IMPRODUCT(IMDIV(w_a4,Lambda_4),Cj_4,IMEXP(IMPRODUCT(Lambda_4,'Thin theory'!P65))))))</f>
        <v>0.0000199559674346884+3.18836659575085E-19i</v>
      </c>
      <c r="W65" s="36" t="str">
        <f t="shared" si="13"/>
        <v>-5.00680931274547E-06-6.21219257472222E-20i</v>
      </c>
      <c r="X65" s="41">
        <f t="shared" si="11"/>
        <v>1.9955967434688401E-5</v>
      </c>
      <c r="Y65" s="41">
        <f t="shared" si="12"/>
        <v>7.61348854575775E-6</v>
      </c>
      <c r="Z65" s="38">
        <f t="shared" si="14"/>
        <v>-1.0000000000000011</v>
      </c>
      <c r="AA65" s="38">
        <f t="shared" si="15"/>
        <v>4.5395418303096728E-3</v>
      </c>
      <c r="AB65" s="38">
        <f t="shared" si="16"/>
        <v>-8.5437946317015578E-3</v>
      </c>
      <c r="AC65" s="38">
        <f t="shared" si="17"/>
        <v>-2.5631383895104672E-3</v>
      </c>
      <c r="AD65" s="38">
        <f t="shared" si="18"/>
        <v>-1.0512627677902104</v>
      </c>
      <c r="AE65" s="38">
        <f t="shared" si="19"/>
        <v>-1.0000000000000011</v>
      </c>
      <c r="AF65" s="38">
        <f t="shared" si="20"/>
        <v>-0.94873723220979178</v>
      </c>
      <c r="AG65" s="38">
        <f t="shared" si="21"/>
        <v>-1.0839288506753132E-2</v>
      </c>
      <c r="AH65" s="38">
        <f t="shared" si="22"/>
        <v>4.5395418303096728E-3</v>
      </c>
      <c r="AI65" s="38">
        <f t="shared" si="23"/>
        <v>1.9918372167372477E-2</v>
      </c>
    </row>
    <row r="66" spans="8:35" x14ac:dyDescent="0.3">
      <c r="H66" s="2"/>
      <c r="I66" s="2"/>
      <c r="J66" s="63" t="s">
        <v>102</v>
      </c>
      <c r="K66" s="63"/>
      <c r="L66" s="63"/>
      <c r="M66" s="63"/>
      <c r="N66" s="2"/>
      <c r="Q66" s="36" t="str">
        <f>IMSUM(wm,IMPRODUCT(w_a1,Cj_1,IMEXP(IMPRODUCT(Lambda_1,'Thin theory'!P66))),IMPRODUCT(w_a2,Cj_2,IMEXP(IMPRODUCT(Lambda_2,'Thin theory'!P66))),IMPRODUCT(w_a3,Cj_3,IMEXP(IMPRODUCT(Lambda_3,'Thin theory'!P66))),IMPRODUCT(w_a4,Cj_4,IMEXP(IMPRODUCT(Lambda_4,'Thin theory'!P66))))</f>
        <v>7.55575625560113E-06+1.1293860862656E-18i</v>
      </c>
      <c r="R66" s="36" t="str">
        <f>IMSUM(IMPRODUCT(w_b1,Cj_1,IMEXP(IMPRODUCT(Lambda_1,'Thin theory'!P66))),IMPRODUCT(w_b2,Cj_2,IMEXP(IMPRODUCT(Lambda_2,'Thin theory'!P66))),IMPRODUCT(w_b3,Cj_3,IMEXP(IMPRODUCT(Lambda_3,'Thin theory'!P66))),IMPRODUCT(w_b4,Cj_4,IMEXP(IMPRODUCT(Lambda_4,'Thin theory'!P66))))</f>
        <v>-5.43159201725806E-07+8.50067045741145E-19i</v>
      </c>
      <c r="S66" s="36" t="str">
        <f>IMSUM(IMPRODUCT(beta_a1,Cj_1,IMEXP(IMPRODUCT(Lambda_1,'Thin theory'!P66))),IMPRODUCT(beta_a2,Cj_2,IMEXP(IMPRODUCT(Lambda_2,'Thin theory'!P66))),IMPRODUCT(beta_a3,Cj_3,IMEXP(IMPRODUCT(Lambda_3,'Thin theory'!P66))),IMPRODUCT(beta_a4,Cj_4,IMEXP(IMPRODUCT(Lambda_4,'Thin theory'!P66))))</f>
        <v>-6.28512458745043E-07+7.54178201182466E-19i</v>
      </c>
      <c r="T66" s="36" t="str">
        <f>IMSUM(IMPRODUCT(beta_b1,Cj_1,IMEXP(IMPRODUCT(Lambda_1,'Thin theory'!P66))),IMPRODUCT(beta_b2,Cj_2,IMEXP(IMPRODUCT(Lambda_2,'Thin theory'!P66))),IMPRODUCT(beta_b3,Cj_3,IMEXP(IMPRODUCT(Lambda_3,'Thin theory'!P66))),IMPRODUCT(beta_b4,Cj_4,IMEXP(IMPRODUCT(Lambda_4,'Thin theory'!P66))))</f>
        <v>-4.99684833531206E-07+1.34297735531659E-19i</v>
      </c>
      <c r="U66" s="36" t="str">
        <f>IMSUM(IMPRODUCT(Lambda_1,beta_b1,Cj_1,IMEXP(IMPRODUCT(Lambda_1,'Thin theory'!P66))),IMPRODUCT(Lambda_2,beta_b2,Cj_2,IMEXP(IMPRODUCT(Lambda_2,'Thin theory'!P66))),IMPRODUCT(Lambda_3,beta_b3,Cj_3,IMEXP(IMPRODUCT(Lambda_3,'Thin theory'!P66))),IMPRODUCT(Lambda_4,beta_b4,Cj_4,IMEXP(IMPRODUCT(Lambda_4,'Thin theory'!P66))))</f>
        <v>-2.9873639956733E-07-3.35679818741369E-19i</v>
      </c>
      <c r="V66" s="36" t="str">
        <f>IMSUM(IMPRODUCT(-1,uc),Nz/Cs*'Thin theory'!P66,IMPRODUCT(-nu/rad,IMSUM(wm*'Thin theory'!P66,IMPRODUCT(IMDIV(w_a1,Lambda_1),Cj_1,IMEXP(IMPRODUCT(Lambda_1,'Thin theory'!P66))),IMPRODUCT(IMDIV(w_a2,Lambda_2),Cj_2,IMEXP(IMPRODUCT(Lambda_2,'Thin theory'!P66))),IMPRODUCT(IMDIV(w_a3,Lambda_3),Cj_3,IMEXP(IMPRODUCT(Lambda_3,'Thin theory'!P66))),IMPRODUCT(IMDIV(w_a4,Lambda_4),Cj_4,IMEXP(IMPRODUCT(Lambda_4,'Thin theory'!P66))))))</f>
        <v>0.0000193963794749488+3.11508765790151E-19i</v>
      </c>
      <c r="W66" s="36" t="str">
        <f t="shared" ref="W66:W102" si="25">IMSUM(Nz/Cs,IMPRODUCT(-nu/rad,Q66))</f>
        <v>-5.00334537533607E-06-6.7763165175936E-20i</v>
      </c>
      <c r="X66" s="41">
        <f t="shared" si="11"/>
        <v>1.9396379474948801E-5</v>
      </c>
      <c r="Y66" s="41">
        <f t="shared" si="12"/>
        <v>7.5557562556011299E-6</v>
      </c>
      <c r="Z66" s="38">
        <f t="shared" ref="Z66:Z102" si="26">Cs*(IMREAL(W66)+nu/rad*IMREAL(Q66))</f>
        <v>-1.0000000000000004</v>
      </c>
      <c r="AA66" s="38">
        <f t="shared" ref="AA66:AA102" si="27">Cs*(IMREAL(Q66)/rad+nu*IMREAL(W66))</f>
        <v>2.2302502240450959E-3</v>
      </c>
      <c r="AB66" s="38">
        <f t="shared" ref="AB66:AB102" si="28">D*IMREAL(T66)</f>
        <v>-9.1517368778609165E-3</v>
      </c>
      <c r="AC66" s="38">
        <f t="shared" ref="AC66:AC97" si="29">nu*AB66</f>
        <v>-2.7455210633582747E-3</v>
      </c>
      <c r="AD66" s="38">
        <f t="shared" ref="AD66:AD102" si="30">Z66/t+6*AB66/t/t</f>
        <v>-1.0549104212671661</v>
      </c>
      <c r="AE66" s="38">
        <f t="shared" ref="AE66:AE102" si="31">Z66/t</f>
        <v>-1.0000000000000004</v>
      </c>
      <c r="AF66" s="38">
        <f t="shared" ref="AF66:AF102" si="32">Z66/t-6*AB66/t/t</f>
        <v>-0.94508957873283495</v>
      </c>
      <c r="AG66" s="38">
        <f t="shared" ref="AG66:AG102" si="33">AA66/t+6*AC66/t/t</f>
        <v>-1.4242876156104553E-2</v>
      </c>
      <c r="AH66" s="38">
        <f t="shared" ref="AH66:AH102" si="34">AA66/t</f>
        <v>2.2302502240450959E-3</v>
      </c>
      <c r="AI66" s="38">
        <f t="shared" ref="AI66:AI102" si="35">AA66/t-6*AC66/t/t</f>
        <v>1.8703376604194744E-2</v>
      </c>
    </row>
    <row r="67" spans="8:35" x14ac:dyDescent="0.3">
      <c r="H67" s="73" t="s">
        <v>21</v>
      </c>
      <c r="I67" s="1" t="s">
        <v>128</v>
      </c>
      <c r="J67" s="1" t="str">
        <f t="shared" ref="J67:N69" si="36">J62</f>
        <v>1</v>
      </c>
      <c r="K67" s="1" t="str">
        <f t="shared" si="36"/>
        <v>1</v>
      </c>
      <c r="L67" s="1" t="str">
        <f t="shared" si="36"/>
        <v>1</v>
      </c>
      <c r="M67" s="1" t="str">
        <f t="shared" si="36"/>
        <v>1</v>
      </c>
      <c r="N67" s="3">
        <f t="shared" si="36"/>
        <v>-7.5000000000000002E-6</v>
      </c>
      <c r="Q67" s="36" t="str">
        <f>IMSUM(wm,IMPRODUCT(w_a1,Cj_1,IMEXP(IMPRODUCT(Lambda_1,'Thin theory'!P67))),IMPRODUCT(w_a2,Cj_2,IMEXP(IMPRODUCT(Lambda_2,'Thin theory'!P67))),IMPRODUCT(w_a3,Cj_3,IMEXP(IMPRODUCT(Lambda_3,'Thin theory'!P67))),IMPRODUCT(w_a4,Cj_4,IMEXP(IMPRODUCT(Lambda_4,'Thin theory'!P67))))</f>
        <v>7.49186376809952E-06+1.22637797617112E-18i</v>
      </c>
      <c r="R67" s="36" t="str">
        <f>IMSUM(IMPRODUCT(w_b1,Cj_1,IMEXP(IMPRODUCT(Lambda_1,'Thin theory'!P67))),IMPRODUCT(w_b2,Cj_2,IMEXP(IMPRODUCT(Lambda_2,'Thin theory'!P67))),IMPRODUCT(w_b3,Cj_3,IMEXP(IMPRODUCT(Lambda_3,'Thin theory'!P67))),IMPRODUCT(w_b4,Cj_4,IMEXP(IMPRODUCT(Lambda_4,'Thin theory'!P67))))</f>
        <v>-6.00557179170001E-07+8.79038219515202E-19i</v>
      </c>
      <c r="S67" s="36" t="str">
        <f>IMSUM(IMPRODUCT(beta_a1,Cj_1,IMEXP(IMPRODUCT(Lambda_1,'Thin theory'!P67))),IMPRODUCT(beta_a2,Cj_2,IMEXP(IMPRODUCT(Lambda_2,'Thin theory'!P67))),IMPRODUCT(beta_a3,Cj_3,IMEXP(IMPRODUCT(Lambda_3,'Thin theory'!P67))),IMPRODUCT(beta_a4,Cj_4,IMEXP(IMPRODUCT(Lambda_4,'Thin theory'!P67))))</f>
        <v>-6.86250120323373E-07+7.67110834017609E-19i</v>
      </c>
      <c r="T67" s="36" t="str">
        <f>IMSUM(IMPRODUCT(beta_b1,Cj_1,IMEXP(IMPRODUCT(Lambda_1,'Thin theory'!P67))),IMPRODUCT(beta_b2,Cj_2,IMEXP(IMPRODUCT(Lambda_2,'Thin theory'!P67))),IMPRODUCT(beta_b3,Cj_3,IMEXP(IMPRODUCT(Lambda_3,'Thin theory'!P67))),IMPRODUCT(beta_b4,Cj_4,IMEXP(IMPRODUCT(Lambda_4,'Thin theory'!P67))))</f>
        <v>-5.33180106742056E-07+9.35971406716002E-20i</v>
      </c>
      <c r="U67" s="36" t="str">
        <f>IMSUM(IMPRODUCT(Lambda_1,beta_b1,Cj_1,IMEXP(IMPRODUCT(Lambda_1,'Thin theory'!P67))),IMPRODUCT(Lambda_2,beta_b2,Cj_2,IMEXP(IMPRODUCT(Lambda_2,'Thin theory'!P67))),IMPRODUCT(Lambda_3,beta_b3,Cj_3,IMEXP(IMPRODUCT(Lambda_3,'Thin theory'!P67))),IMPRODUCT(Lambda_4,beta_b4,Cj_4,IMEXP(IMPRODUCT(Lambda_4,'Thin theory'!P67))))</f>
        <v>-0.0000002999252940368-3.93704884350739E-19i</v>
      </c>
      <c r="V67" s="36" t="str">
        <f>IMSUM(IMPRODUCT(-1,uc),Nz/Cs*'Thin theory'!P67,IMPRODUCT(-nu/rad,IMSUM(wm*'Thin theory'!P67,IMPRODUCT(IMDIV(w_a1,Lambda_1),Cj_1,IMEXP(IMPRODUCT(Lambda_1,'Thin theory'!P67))),IMPRODUCT(IMDIV(w_a2,Lambda_2),Cj_2,IMEXP(IMPRODUCT(Lambda_2,'Thin theory'!P67))),IMPRODUCT(IMDIV(w_a3,Lambda_3),Cj_3,IMEXP(IMPRODUCT(Lambda_3,'Thin theory'!P67))),IMPRODUCT(IMDIV(w_a4,Lambda_4),Cj_4,IMEXP(IMPRODUCT(Lambda_4,'Thin theory'!P67))))))</f>
        <v>0.000018837199170894+3.03707989392633E-19i</v>
      </c>
      <c r="W67" s="36" t="str">
        <f t="shared" si="25"/>
        <v>-4.99951182608597E-06-7.35826785702672E-20i</v>
      </c>
      <c r="X67" s="41">
        <f t="shared" ref="X67:X102" si="37">IMREAL(V67)</f>
        <v>1.8837199170894E-5</v>
      </c>
      <c r="Y67" s="41">
        <f t="shared" ref="Y67:Y102" si="38">IMREAL(Q67)</f>
        <v>7.4918637680995197E-6</v>
      </c>
      <c r="Z67" s="38">
        <f t="shared" si="26"/>
        <v>-0.99999999999999967</v>
      </c>
      <c r="AA67" s="38">
        <f t="shared" si="27"/>
        <v>-3.254492760191515E-4</v>
      </c>
      <c r="AB67" s="38">
        <f t="shared" si="28"/>
        <v>-9.7652034201841757E-3</v>
      </c>
      <c r="AC67" s="38">
        <f t="shared" si="29"/>
        <v>-2.9295610260552528E-3</v>
      </c>
      <c r="AD67" s="38">
        <f t="shared" si="30"/>
        <v>-1.0585912205211048</v>
      </c>
      <c r="AE67" s="38">
        <f t="shared" si="31"/>
        <v>-0.99999999999999967</v>
      </c>
      <c r="AF67" s="38">
        <f t="shared" si="32"/>
        <v>-0.94140877947889456</v>
      </c>
      <c r="AG67" s="38">
        <f t="shared" si="33"/>
        <v>-1.7902815432350668E-2</v>
      </c>
      <c r="AH67" s="38">
        <f t="shared" si="34"/>
        <v>-3.254492760191515E-4</v>
      </c>
      <c r="AI67" s="38">
        <f t="shared" si="35"/>
        <v>1.7251916880312367E-2</v>
      </c>
    </row>
    <row r="68" spans="8:35" x14ac:dyDescent="0.3">
      <c r="H68" s="73"/>
      <c r="I68" s="1" t="s">
        <v>129</v>
      </c>
      <c r="J68" s="1" t="str">
        <f t="shared" si="36"/>
        <v>0</v>
      </c>
      <c r="K68" s="1" t="str">
        <f t="shared" si="36"/>
        <v>-1.31591221591715i</v>
      </c>
      <c r="L68" s="1" t="str">
        <f t="shared" si="36"/>
        <v>-1.31591221591715i</v>
      </c>
      <c r="M68" s="1" t="str">
        <f t="shared" si="36"/>
        <v>0</v>
      </c>
      <c r="N68" s="1" t="str">
        <f t="shared" si="36"/>
        <v>-4.68000000000006E-07+4.93467080968933E-06i</v>
      </c>
      <c r="Q68" s="36" t="str">
        <f>IMSUM(wm,IMPRODUCT(w_a1,Cj_1,IMEXP(IMPRODUCT(Lambda_1,'Thin theory'!P68))),IMPRODUCT(w_a2,Cj_2,IMEXP(IMPRODUCT(Lambda_2,'Thin theory'!P68))),IMPRODUCT(w_a3,Cj_3,IMEXP(IMPRODUCT(Lambda_3,'Thin theory'!P68))),IMPRODUCT(w_a4,Cj_4,IMEXP(IMPRODUCT(Lambda_4,'Thin theory'!P68))))</f>
        <v>7.42129301617226E-06+1.32542789144067E-18i</v>
      </c>
      <c r="R68" s="36" t="str">
        <f>IMSUM(IMPRODUCT(w_b1,Cj_1,IMEXP(IMPRODUCT(Lambda_1,'Thin theory'!P68))),IMPRODUCT(w_b2,Cj_2,IMEXP(IMPRODUCT(Lambda_2,'Thin theory'!P68))),IMPRODUCT(w_b3,Cj_3,IMEXP(IMPRODUCT(Lambda_3,'Thin theory'!P68))),IMPRODUCT(w_b4,Cj_4,IMEXP(IMPRODUCT(Lambda_4,'Thin theory'!P68))))</f>
        <v>-6.62638284457577E-07+9.03995912957152E-19i</v>
      </c>
      <c r="S68" s="36" t="str">
        <f>IMSUM(IMPRODUCT(beta_a1,Cj_1,IMEXP(IMPRODUCT(Lambda_1,'Thin theory'!P68))),IMPRODUCT(beta_a2,Cj_2,IMEXP(IMPRODUCT(Lambda_2,'Thin theory'!P68))),IMPRODUCT(beta_a3,Cj_3,IMEXP(IMPRODUCT(Lambda_3,'Thin theory'!P68))),IMPRODUCT(beta_a4,Cj_4,IMEXP(IMPRODUCT(Lambda_4,'Thin theory'!P68))))</f>
        <v>-7.47733431519945E-07+7.7507236986525E-19i</v>
      </c>
      <c r="T68" s="36" t="str">
        <f>IMSUM(IMPRODUCT(beta_b1,Cj_1,IMEXP(IMPRODUCT(Lambda_1,'Thin theory'!P68))),IMPRODUCT(beta_b2,Cj_2,IMEXP(IMPRODUCT(Lambda_2,'Thin theory'!P68))),IMPRODUCT(beta_b3,Cj_3,IMEXP(IMPRODUCT(Lambda_3,'Thin theory'!P68))),IMPRODUCT(beta_b4,Cj_4,IMEXP(IMPRODUCT(Lambda_4,'Thin theory'!P68))))</f>
        <v>-5.66627917740331E-07+4.63022619682683E-20i</v>
      </c>
      <c r="U68" s="36" t="str">
        <f>IMSUM(IMPRODUCT(Lambda_1,beta_b1,Cj_1,IMEXP(IMPRODUCT(Lambda_1,'Thin theory'!P68))),IMPRODUCT(Lambda_2,beta_b2,Cj_2,IMEXP(IMPRODUCT(Lambda_2,'Thin theory'!P68))),IMPRODUCT(Lambda_3,beta_b3,Cj_3,IMEXP(IMPRODUCT(Lambda_3,'Thin theory'!P68))),IMPRODUCT(Lambda_4,beta_b4,Cj_4,IMEXP(IMPRODUCT(Lambda_4,'Thin theory'!P68))))</f>
        <v>-2.97833014718289E-07-4.5471772633265E-19i</v>
      </c>
      <c r="V68" s="36" t="str">
        <f>IMSUM(IMPRODUCT(-1,uc),Nz/Cs*'Thin theory'!P68,IMPRODUCT(-nu/rad,IMSUM(wm*'Thin theory'!P68,IMPRODUCT(IMDIV(w_a1,Lambda_1),Cj_1,IMEXP(IMPRODUCT(Lambda_1,'Thin theory'!P68))),IMPRODUCT(IMDIV(w_a2,Lambda_2),Cj_2,IMEXP(IMPRODUCT(Lambda_2,'Thin theory'!P68))),IMPRODUCT(IMDIV(w_a3,Lambda_3),Cj_3,IMEXP(IMPRODUCT(Lambda_3,'Thin theory'!P68))),IMPRODUCT(IMDIV(w_a4,Lambda_4),Cj_4,IMEXP(IMPRODUCT(Lambda_4,'Thin theory'!P68))))))</f>
        <v>0.0000182784695775244+2.95129001474825E-19i</v>
      </c>
      <c r="W68" s="36" t="str">
        <f t="shared" si="25"/>
        <v>-4.99527758097034E-06-7.95256734864402E-20i</v>
      </c>
      <c r="X68" s="41">
        <f t="shared" si="37"/>
        <v>1.82784695775244E-5</v>
      </c>
      <c r="Y68" s="41">
        <f t="shared" si="38"/>
        <v>7.4212930161722599E-6</v>
      </c>
      <c r="Z68" s="38">
        <f t="shared" si="26"/>
        <v>-1.0000000000000009</v>
      </c>
      <c r="AA68" s="38">
        <f t="shared" si="27"/>
        <v>-3.1482793531098499E-3</v>
      </c>
      <c r="AB68" s="38">
        <f t="shared" si="28"/>
        <v>-1.0377800691214854E-2</v>
      </c>
      <c r="AC68" s="38">
        <f t="shared" si="29"/>
        <v>-3.1133402073644559E-3</v>
      </c>
      <c r="AD68" s="38">
        <f t="shared" si="30"/>
        <v>-1.06226680414729</v>
      </c>
      <c r="AE68" s="38">
        <f t="shared" si="31"/>
        <v>-1.0000000000000009</v>
      </c>
      <c r="AF68" s="38">
        <f t="shared" si="32"/>
        <v>-0.93773319585271175</v>
      </c>
      <c r="AG68" s="38">
        <f t="shared" si="33"/>
        <v>-2.1828320597296585E-2</v>
      </c>
      <c r="AH68" s="38">
        <f t="shared" si="34"/>
        <v>-3.1482793531098499E-3</v>
      </c>
      <c r="AI68" s="38">
        <f t="shared" si="35"/>
        <v>1.5531761891076884E-2</v>
      </c>
    </row>
    <row r="69" spans="8:35" x14ac:dyDescent="0.3">
      <c r="H69" s="73" t="s">
        <v>22</v>
      </c>
      <c r="I69" s="1" t="s">
        <v>130</v>
      </c>
      <c r="J69" s="1" t="str">
        <f t="shared" si="36"/>
        <v>0</v>
      </c>
      <c r="K69" s="1" t="str">
        <f t="shared" si="36"/>
        <v>0</v>
      </c>
      <c r="L69" s="1" t="str">
        <f t="shared" si="36"/>
        <v>-820.221493419074-138.33021176515i</v>
      </c>
      <c r="M69" s="1" t="str">
        <f t="shared" si="36"/>
        <v>-820.221493419074+138.33021176515i</v>
      </c>
      <c r="N69" s="1" t="str">
        <f t="shared" si="36"/>
        <v>0.0060457768329245</v>
      </c>
      <c r="Q69" s="36" t="str">
        <f>IMSUM(wm,IMPRODUCT(w_a1,Cj_1,IMEXP(IMPRODUCT(Lambda_1,'Thin theory'!P69))),IMPRODUCT(w_a2,Cj_2,IMEXP(IMPRODUCT(Lambda_2,'Thin theory'!P69))),IMPRODUCT(w_a3,Cj_3,IMEXP(IMPRODUCT(Lambda_3,'Thin theory'!P69))),IMPRODUCT(w_a4,Cj_4,IMEXP(IMPRODUCT(Lambda_4,'Thin theory'!P69))))</f>
        <v>7.34351614463299E-06+1.42743580458071E-18i</v>
      </c>
      <c r="R69" s="36" t="str">
        <f>IMSUM(IMPRODUCT(w_b1,Cj_1,IMEXP(IMPRODUCT(Lambda_1,'Thin theory'!P69))),IMPRODUCT(w_b2,Cj_2,IMEXP(IMPRODUCT(Lambda_2,'Thin theory'!P69))),IMPRODUCT(w_b3,Cj_3,IMEXP(IMPRODUCT(Lambda_3,'Thin theory'!P69))),IMPRODUCT(w_b4,Cj_4,IMEXP(IMPRODUCT(Lambda_4,'Thin theory'!P69))))</f>
        <v>-7.29472866693836E-07+9.26018769585764E-19i</v>
      </c>
      <c r="S69" s="36" t="str">
        <f>IMSUM(IMPRODUCT(beta_a1,Cj_1,IMEXP(IMPRODUCT(Lambda_1,'Thin theory'!P69))),IMPRODUCT(beta_a2,Cj_2,IMEXP(IMPRODUCT(Lambda_2,'Thin theory'!P69))),IMPRODUCT(beta_a3,Cj_3,IMEXP(IMPRODUCT(Lambda_3,'Thin theory'!P69))),IMPRODUCT(beta_a4,Cj_4,IMEXP(IMPRODUCT(Lambda_4,'Thin theory'!P69))))</f>
        <v>-8.12935885743604E-07+7.7604761580745E-19i</v>
      </c>
      <c r="T69" s="36" t="str">
        <f>IMSUM(IMPRODUCT(beta_b1,Cj_1,IMEXP(IMPRODUCT(Lambda_1,'Thin theory'!P69))),IMPRODUCT(beta_b2,Cj_2,IMEXP(IMPRODUCT(Lambda_2,'Thin theory'!P69))),IMPRODUCT(beta_b3,Cj_3,IMEXP(IMPRODUCT(Lambda_3,'Thin theory'!P69))),IMPRODUCT(beta_b4,Cj_4,IMEXP(IMPRODUCT(Lambda_4,'Thin theory'!P69))))</f>
        <v>-5.99642709955522E-07-8.30820207248261E-21i</v>
      </c>
      <c r="U69" s="36" t="str">
        <f>IMSUM(IMPRODUCT(Lambda_1,beta_b1,Cj_1,IMEXP(IMPRODUCT(Lambda_1,'Thin theory'!P69))),IMPRODUCT(Lambda_2,beta_b2,Cj_2,IMEXP(IMPRODUCT(Lambda_2,'Thin theory'!P69))),IMPRODUCT(Lambda_3,beta_b3,Cj_3,IMEXP(IMPRODUCT(Lambda_3,'Thin theory'!P69))),IMPRODUCT(Lambda_4,beta_b4,Cj_4,IMEXP(IMPRODUCT(Lambda_4,'Thin theory'!P69))))</f>
        <v>-2.92120566674191E-07-5.22688811627358E-19i</v>
      </c>
      <c r="V69" s="36" t="str">
        <f>IMSUM(IMPRODUCT(-1,uc),Nz/Cs*'Thin theory'!P69,IMPRODUCT(-nu/rad,IMSUM(wm*'Thin theory'!P69,IMPRODUCT(IMDIV(w_a1,Lambda_1),Cj_1,IMEXP(IMPRODUCT(Lambda_1,'Thin theory'!P69))),IMPRODUCT(IMDIV(w_a2,Lambda_2),Cj_2,IMEXP(IMPRODUCT(Lambda_2,'Thin theory'!P69))),IMPRODUCT(IMDIV(w_a3,Lambda_3),Cj_3,IMEXP(IMPRODUCT(Lambda_3,'Thin theory'!P69))),IMPRODUCT(IMDIV(w_a4,Lambda_4),Cj_4,IMEXP(IMPRODUCT(Lambda_4,'Thin theory'!P69))))))</f>
        <v>0.0000177202372600786+2.85885357391219E-19i</v>
      </c>
      <c r="W69" s="36" t="str">
        <f t="shared" si="25"/>
        <v>-4.99061096867798E-06-8.56461482748426E-20i</v>
      </c>
      <c r="X69" s="41">
        <f t="shared" si="37"/>
        <v>1.7720237260078602E-5</v>
      </c>
      <c r="Y69" s="41">
        <f t="shared" si="38"/>
        <v>7.3435161446329896E-6</v>
      </c>
      <c r="Z69" s="38">
        <f t="shared" si="26"/>
        <v>-1</v>
      </c>
      <c r="AA69" s="38">
        <f t="shared" si="27"/>
        <v>-6.2593542146804071E-3</v>
      </c>
      <c r="AB69" s="38">
        <f t="shared" si="28"/>
        <v>-1.09824672153026E-2</v>
      </c>
      <c r="AC69" s="38">
        <f t="shared" si="29"/>
        <v>-3.2947401645907798E-3</v>
      </c>
      <c r="AD69" s="38">
        <f t="shared" si="30"/>
        <v>-1.0658948032918156</v>
      </c>
      <c r="AE69" s="38">
        <f t="shared" si="31"/>
        <v>-1</v>
      </c>
      <c r="AF69" s="38">
        <f t="shared" si="32"/>
        <v>-0.93410519670818437</v>
      </c>
      <c r="AG69" s="38">
        <f t="shared" si="33"/>
        <v>-2.6027795202225087E-2</v>
      </c>
      <c r="AH69" s="38">
        <f t="shared" si="34"/>
        <v>-6.2593542146804071E-3</v>
      </c>
      <c r="AI69" s="38">
        <f t="shared" si="35"/>
        <v>1.3509086772864273E-2</v>
      </c>
    </row>
    <row r="70" spans="8:35" x14ac:dyDescent="0.3">
      <c r="H70" s="73"/>
      <c r="I70" s="1" t="s">
        <v>131</v>
      </c>
      <c r="J70" s="7" t="str">
        <f>IMSUB(J65,IMPRODUCT(IMDIV($L65,$L64),J64))</f>
        <v>0</v>
      </c>
      <c r="K70" s="7" t="str">
        <f>IMSUB(K65,IMPRODUCT(IMDIV($L65,$L64),K64))</f>
        <v>0</v>
      </c>
      <c r="L70" s="7" t="str">
        <f>IMSUB(L65,IMPRODUCT(IMDIV($L65,$L64),L64))</f>
        <v>0</v>
      </c>
      <c r="M70" s="7" t="str">
        <f>IMSUB(M65,IMPRODUCT(IMDIV($L65,$L64),M64))</f>
        <v>-179.923877079716-1066.84887760184i</v>
      </c>
      <c r="N70" s="1" t="str">
        <f>IMSUB(N65,IMPRODUCT(IMDIV($L65,$L64),N64))</f>
        <v>0.00105778621045939+0.00393182224569018i</v>
      </c>
      <c r="Q70" s="36" t="str">
        <f>IMSUM(wm,IMPRODUCT(w_a1,Cj_1,IMEXP(IMPRODUCT(Lambda_1,'Thin theory'!P70))),IMPRODUCT(w_a2,Cj_2,IMEXP(IMPRODUCT(Lambda_2,'Thin theory'!P70))),IMPRODUCT(w_a3,Cj_3,IMEXP(IMPRODUCT(Lambda_3,'Thin theory'!P70))),IMPRODUCT(w_a4,Cj_4,IMEXP(IMPRODUCT(Lambda_4,'Thin theory'!P70))))</f>
        <v>7.25799950971382E-06+1.53247450748514E-18i</v>
      </c>
      <c r="R70" s="36" t="str">
        <f>IMSUM(IMPRODUCT(w_b1,Cj_1,IMEXP(IMPRODUCT(Lambda_1,'Thin theory'!P70))),IMPRODUCT(w_b2,Cj_2,IMEXP(IMPRODUCT(Lambda_2,'Thin theory'!P70))),IMPRODUCT(w_b3,Cj_3,IMEXP(IMPRODUCT(Lambda_3,'Thin theory'!P70))),IMPRODUCT(w_b4,Cj_4,IMEXP(IMPRODUCT(Lambda_4,'Thin theory'!P70))))</f>
        <v>-8.01093406350387E-07+9.42911452055322E-19i</v>
      </c>
      <c r="S70" s="36" t="str">
        <f>IMSUM(IMPRODUCT(beta_a1,Cj_1,IMEXP(IMPRODUCT(Lambda_1,'Thin theory'!P70))),IMPRODUCT(beta_a2,Cj_2,IMEXP(IMPRODUCT(Lambda_2,'Thin theory'!P70))),IMPRODUCT(beta_a3,Cj_3,IMEXP(IMPRODUCT(Lambda_3,'Thin theory'!P70))),IMPRODUCT(beta_a4,Cj_4,IMEXP(IMPRODUCT(Lambda_4,'Thin theory'!P70))))</f>
        <v>-8.8178569726589E-07+7.72020900585542E-19i</v>
      </c>
      <c r="T70" s="36" t="str">
        <f>IMSUM(IMPRODUCT(beta_b1,Cj_1,IMEXP(IMPRODUCT(Lambda_1,'Thin theory'!P70))),IMPRODUCT(beta_b2,Cj_2,IMEXP(IMPRODUCT(Lambda_2,'Thin theory'!P70))),IMPRODUCT(beta_b3,Cj_3,IMEXP(IMPRODUCT(Lambda_3,'Thin theory'!P70))),IMPRODUCT(beta_b4,Cj_4,IMEXP(IMPRODUCT(Lambda_4,'Thin theory'!P70))))</f>
        <v>-6.31799578759253E-07-7.02855366486308E-20i</v>
      </c>
      <c r="U70" s="36" t="str">
        <f>IMSUM(IMPRODUCT(Lambda_1,beta_b1,Cj_1,IMEXP(IMPRODUCT(Lambda_1,'Thin theory'!P70))),IMPRODUCT(Lambda_2,beta_b2,Cj_2,IMEXP(IMPRODUCT(Lambda_2,'Thin theory'!P70))),IMPRODUCT(Lambda_3,beta_b3,Cj_3,IMEXP(IMPRODUCT(Lambda_3,'Thin theory'!P70))),IMPRODUCT(Lambda_4,beta_b4,Cj_4,IMEXP(IMPRODUCT(Lambda_4,'Thin theory'!P70))))</f>
        <v>-2.8242301820426E-07-5.94686612143973E-19i</v>
      </c>
      <c r="V70" s="36" t="str">
        <f>IMSUM(IMPRODUCT(-1,uc),Nz/Cs*'Thin theory'!P70,IMPRODUCT(-nu/rad,IMSUM(wm*'Thin theory'!P70,IMPRODUCT(IMDIV(w_a1,Lambda_1),Cj_1,IMEXP(IMPRODUCT(Lambda_1,'Thin theory'!P70))),IMPRODUCT(IMDIV(w_a2,Lambda_2),Cj_2,IMEXP(IMPRODUCT(Lambda_2,'Thin theory'!P70))),IMPRODUCT(IMDIV(w_a3,Lambda_3),Cj_3,IMEXP(IMPRODUCT(Lambda_3,'Thin theory'!P70))),IMPRODUCT(IMDIV(w_a4,Lambda_4),Cj_4,IMEXP(IMPRODUCT(Lambda_4,'Thin theory'!P70))))))</f>
        <v>0.0000171625523465374+2.75918691277792E-19i</v>
      </c>
      <c r="W70" s="36" t="str">
        <f t="shared" si="25"/>
        <v>-4.98547997058283E-06-9.19484704491084E-20i</v>
      </c>
      <c r="X70" s="41">
        <f t="shared" si="37"/>
        <v>1.71625523465374E-5</v>
      </c>
      <c r="Y70" s="41">
        <f t="shared" si="38"/>
        <v>7.2579995097138197E-6</v>
      </c>
      <c r="Z70" s="38">
        <f t="shared" si="26"/>
        <v>-1</v>
      </c>
      <c r="AA70" s="38">
        <f t="shared" si="27"/>
        <v>-9.6800196114472502E-3</v>
      </c>
      <c r="AB70" s="38">
        <f t="shared" si="28"/>
        <v>-1.1571420856396574E-2</v>
      </c>
      <c r="AC70" s="38">
        <f t="shared" si="29"/>
        <v>-3.4714262569189723E-3</v>
      </c>
      <c r="AD70" s="38">
        <f t="shared" si="30"/>
        <v>-1.0694285251383795</v>
      </c>
      <c r="AE70" s="38">
        <f t="shared" si="31"/>
        <v>-1</v>
      </c>
      <c r="AF70" s="38">
        <f t="shared" si="32"/>
        <v>-0.93057147486162051</v>
      </c>
      <c r="AG70" s="38">
        <f t="shared" si="33"/>
        <v>-3.0508577152961083E-2</v>
      </c>
      <c r="AH70" s="38">
        <f t="shared" si="34"/>
        <v>-9.6800196114472502E-3</v>
      </c>
      <c r="AI70" s="38">
        <f t="shared" si="35"/>
        <v>1.1148537930066585E-2</v>
      </c>
    </row>
    <row r="71" spans="8:35" x14ac:dyDescent="0.3">
      <c r="H71" s="2"/>
      <c r="I71" s="2"/>
      <c r="J71" s="63" t="s">
        <v>107</v>
      </c>
      <c r="K71" s="63"/>
      <c r="L71" s="63"/>
      <c r="M71" s="63"/>
      <c r="N71" s="2"/>
      <c r="Q71" s="36" t="str">
        <f>IMSUM(wm,IMPRODUCT(w_a1,Cj_1,IMEXP(IMPRODUCT(Lambda_1,'Thin theory'!P71))),IMPRODUCT(w_a2,Cj_2,IMEXP(IMPRODUCT(Lambda_2,'Thin theory'!P71))),IMPRODUCT(w_a3,Cj_3,IMEXP(IMPRODUCT(Lambda_3,'Thin theory'!P71))),IMPRODUCT(w_a4,Cj_4,IMEXP(IMPRODUCT(Lambda_4,'Thin theory'!P71))))</f>
        <v>7.16420816150556E-06+1.63835362589193E-18i</v>
      </c>
      <c r="R71" s="36" t="str">
        <f>IMSUM(IMPRODUCT(w_b1,Cj_1,IMEXP(IMPRODUCT(Lambda_1,'Thin theory'!P71))),IMPRODUCT(w_b2,Cj_2,IMEXP(IMPRODUCT(Lambda_2,'Thin theory'!P71))),IMPRODUCT(w_b3,Cj_3,IMEXP(IMPRODUCT(Lambda_3,'Thin theory'!P71))),IMPRODUCT(w_b4,Cj_4,IMEXP(IMPRODUCT(Lambda_4,'Thin theory'!P71))))</f>
        <v>-8.77490003518115E-07+9.51912831481124E-19i</v>
      </c>
      <c r="S71" s="36" t="str">
        <f>IMSUM(IMPRODUCT(beta_a1,Cj_1,IMEXP(IMPRODUCT(Lambda_1,'Thin theory'!P71))),IMPRODUCT(beta_a2,Cj_2,IMEXP(IMPRODUCT(Lambda_2,'Thin theory'!P71))),IMPRODUCT(beta_a3,Cj_3,IMEXP(IMPRODUCT(Lambda_3,'Thin theory'!P71))),IMPRODUCT(beta_a4,Cj_4,IMEXP(IMPRODUCT(Lambda_4,'Thin theory'!P71))))</f>
        <v>-9.5416123939094E-07+7.61006163548785E-19i</v>
      </c>
      <c r="T71" s="36" t="str">
        <f>IMSUM(IMPRODUCT(beta_b1,Cj_1,IMEXP(IMPRODUCT(Lambda_1,'Thin theory'!P71))),IMPRODUCT(beta_b2,Cj_2,IMEXP(IMPRODUCT(Lambda_2,'Thin theory'!P71))),IMPRODUCT(beta_b3,Cj_3,IMEXP(IMPRODUCT(Lambda_3,'Thin theory'!P71))),IMPRODUCT(beta_b4,Cj_4,IMEXP(IMPRODUCT(Lambda_4,'Thin theory'!P71))))</f>
        <v>-6.62631359808844E-07-1.4117656950565E-19i</v>
      </c>
      <c r="U71" s="36" t="str">
        <f>IMSUM(IMPRODUCT(Lambda_1,beta_b1,Cj_1,IMEXP(IMPRODUCT(Lambda_1,'Thin theory'!P71))),IMPRODUCT(Lambda_2,beta_b2,Cj_2,IMEXP(IMPRODUCT(Lambda_2,'Thin theory'!P71))),IMPRODUCT(Lambda_3,beta_b3,Cj_3,IMEXP(IMPRODUCT(Lambda_3,'Thin theory'!P71))),IMPRODUCT(Lambda_4,beta_b4,Cj_4,IMEXP(IMPRODUCT(Lambda_4,'Thin theory'!P71))))</f>
        <v>-2.68349325554888E-07-6.72822092805732E-19i</v>
      </c>
      <c r="V71" s="36" t="str">
        <f>IMSUM(IMPRODUCT(-1,uc),Nz/Cs*'Thin theory'!P71,IMPRODUCT(-nu/rad,IMSUM(wm*'Thin theory'!P71,IMPRODUCT(IMDIV(w_a1,Lambda_1),Cj_1,IMEXP(IMPRODUCT(Lambda_1,'Thin theory'!P71))),IMPRODUCT(IMDIV(w_a2,Lambda_2),Cj_2,IMEXP(IMPRODUCT(Lambda_2,'Thin theory'!P71))),IMPRODUCT(IMDIV(w_a3,Lambda_3),Cj_3,IMEXP(IMPRODUCT(Lambda_3,'Thin theory'!P71))),IMPRODUCT(IMDIV(w_a4,Lambda_4),Cj_4,IMEXP(IMPRODUCT(Lambda_4,'Thin theory'!P71))))))</f>
        <v>0.0000166054685517022+2.65296501072529E-19i</v>
      </c>
      <c r="W71" s="36" t="str">
        <f t="shared" si="25"/>
        <v>-4.97985248969033E-06-9.83012175535158E-20i</v>
      </c>
      <c r="X71" s="41">
        <f t="shared" si="37"/>
        <v>1.6605468551702199E-5</v>
      </c>
      <c r="Y71" s="41">
        <f t="shared" si="38"/>
        <v>7.1642081615055603E-6</v>
      </c>
      <c r="Z71" s="38">
        <f t="shared" si="26"/>
        <v>-0.99999999999999911</v>
      </c>
      <c r="AA71" s="38">
        <f t="shared" si="27"/>
        <v>-1.3431673539777304E-2</v>
      </c>
      <c r="AB71" s="38">
        <f t="shared" si="28"/>
        <v>-1.2136105491004469E-2</v>
      </c>
      <c r="AC71" s="38">
        <f t="shared" si="29"/>
        <v>-3.6408316473013408E-3</v>
      </c>
      <c r="AD71" s="38">
        <f t="shared" si="30"/>
        <v>-1.072816632946026</v>
      </c>
      <c r="AE71" s="38">
        <f t="shared" si="31"/>
        <v>-0.99999999999999911</v>
      </c>
      <c r="AF71" s="38">
        <f t="shared" si="32"/>
        <v>-0.92718336705397231</v>
      </c>
      <c r="AG71" s="38">
        <f t="shared" si="33"/>
        <v>-3.5276663423585347E-2</v>
      </c>
      <c r="AH71" s="38">
        <f t="shared" si="34"/>
        <v>-1.3431673539777304E-2</v>
      </c>
      <c r="AI71" s="38">
        <f t="shared" si="35"/>
        <v>8.4133163440307385E-3</v>
      </c>
    </row>
    <row r="72" spans="8:35" x14ac:dyDescent="0.3">
      <c r="H72" s="2"/>
      <c r="I72" s="2"/>
      <c r="J72" s="26" t="s">
        <v>106</v>
      </c>
      <c r="K72" s="2"/>
      <c r="L72" s="2"/>
      <c r="M72" s="2"/>
      <c r="N72" s="2"/>
      <c r="Q72" s="36" t="str">
        <f>IMSUM(wm,IMPRODUCT(w_a1,Cj_1,IMEXP(IMPRODUCT(Lambda_1,'Thin theory'!P72))),IMPRODUCT(w_a2,Cj_2,IMEXP(IMPRODUCT(Lambda_2,'Thin theory'!P72))),IMPRODUCT(w_a3,Cj_3,IMEXP(IMPRODUCT(Lambda_3,'Thin theory'!P72))),IMPRODUCT(w_a4,Cj_4,IMEXP(IMPRODUCT(Lambda_4,'Thin theory'!P72))))</f>
        <v>7.06161085268256E-06+1.74539741460119E-18i</v>
      </c>
      <c r="R72" s="36" t="str">
        <f>IMSUM(IMPRODUCT(w_b1,Cj_1,IMEXP(IMPRODUCT(Lambda_1,'Thin theory'!P72))),IMPRODUCT(w_b2,Cj_2,IMEXP(IMPRODUCT(Lambda_2,'Thin theory'!P72))),IMPRODUCT(w_b3,Cj_3,IMEXP(IMPRODUCT(Lambda_3,'Thin theory'!P72))),IMPRODUCT(w_b4,Cj_4,IMEXP(IMPRODUCT(Lambda_4,'Thin theory'!P72))))</f>
        <v>-9.58605473836112E-07+9.56009029874486E-19i</v>
      </c>
      <c r="S72" s="36" t="str">
        <f>IMSUM(IMPRODUCT(beta_a1,Cj_1,IMEXP(IMPRODUCT(Lambda_1,'Thin theory'!P72))),IMPRODUCT(beta_a2,Cj_2,IMEXP(IMPRODUCT(Lambda_2,'Thin theory'!P72))),IMPRODUCT(beta_a3,Cj_3,IMEXP(IMPRODUCT(Lambda_3,'Thin theory'!P72))),IMPRODUCT(beta_a4,Cj_4,IMEXP(IMPRODUCT(Lambda_4,'Thin theory'!P72))))</f>
        <v>-1.02988615646577E-06+7.39995775989939E-19i</v>
      </c>
      <c r="T72" s="36" t="str">
        <f>IMSUM(IMPRODUCT(beta_b1,Cj_1,IMEXP(IMPRODUCT(Lambda_1,'Thin theory'!P72))),IMPRODUCT(beta_b2,Cj_2,IMEXP(IMPRODUCT(Lambda_2,'Thin theory'!P72))),IMPRODUCT(beta_b3,Cj_3,IMEXP(IMPRODUCT(Lambda_3,'Thin theory'!P72))),IMPRODUCT(beta_b4,Cj_4,IMEXP(IMPRODUCT(Lambda_4,'Thin theory'!P72))))</f>
        <v>-6.91625710498738E-07-2.21186441435454E-19i</v>
      </c>
      <c r="U72" s="36" t="str">
        <f>IMSUM(IMPRODUCT(Lambda_1,beta_b1,Cj_1,IMEXP(IMPRODUCT(Lambda_1,'Thin theory'!P72))),IMPRODUCT(Lambda_2,beta_b2,Cj_2,IMEXP(IMPRODUCT(Lambda_2,'Thin theory'!P72))),IMPRODUCT(Lambda_3,beta_b3,Cj_3,IMEXP(IMPRODUCT(Lambda_3,'Thin theory'!P72))),IMPRODUCT(Lambda_4,beta_b4,Cj_4,IMEXP(IMPRODUCT(Lambda_4,'Thin theory'!P72))))</f>
        <v>-2.49482389203784E-07-7.54772530452586E-19i</v>
      </c>
      <c r="V72" s="36" t="str">
        <f>IMSUM(IMPRODUCT(-1,uc),Nz/Cs*'Thin theory'!P72,IMPRODUCT(-nu/rad,IMSUM(wm*'Thin theory'!P72,IMPRODUCT(IMDIV(w_a1,Lambda_1),Cj_1,IMEXP(IMPRODUCT(Lambda_1,'Thin theory'!P72))),IMPRODUCT(IMDIV(w_a2,Lambda_2),Cj_2,IMEXP(IMPRODUCT(Lambda_2,'Thin theory'!P72))),IMPRODUCT(IMDIV(w_a3,Lambda_3),Cj_3,IMEXP(IMPRODUCT(Lambda_3,'Thin theory'!P72))),IMPRODUCT(IMDIV(w_a4,Lambda_4),Cj_4,IMEXP(IMPRODUCT(Lambda_4,'Thin theory'!P72))))))</f>
        <v>0.0000160490431694634+2.53950891790751E-19i</v>
      </c>
      <c r="W72" s="36" t="str">
        <f t="shared" si="25"/>
        <v>-4.97369665116095E-06-1.04723844876071E-19i</v>
      </c>
      <c r="X72" s="41">
        <f t="shared" si="37"/>
        <v>1.6049043169463401E-5</v>
      </c>
      <c r="Y72" s="41">
        <f t="shared" si="38"/>
        <v>7.0616108526825597E-6</v>
      </c>
      <c r="Z72" s="38">
        <f t="shared" si="26"/>
        <v>-0.99999999999999911</v>
      </c>
      <c r="AA72" s="38">
        <f t="shared" si="27"/>
        <v>-1.7535565892697363E-2</v>
      </c>
      <c r="AB72" s="38">
        <f t="shared" si="28"/>
        <v>-1.2667137554921942E-2</v>
      </c>
      <c r="AC72" s="38">
        <f t="shared" si="29"/>
        <v>-3.8001412664765825E-3</v>
      </c>
      <c r="AD72" s="38">
        <f t="shared" si="30"/>
        <v>-1.0760028253295308</v>
      </c>
      <c r="AE72" s="38">
        <f t="shared" si="31"/>
        <v>-0.99999999999999911</v>
      </c>
      <c r="AF72" s="38">
        <f t="shared" si="32"/>
        <v>-0.92399717467046749</v>
      </c>
      <c r="AG72" s="38">
        <f t="shared" si="33"/>
        <v>-4.0336413491556859E-2</v>
      </c>
      <c r="AH72" s="38">
        <f t="shared" si="34"/>
        <v>-1.7535565892697363E-2</v>
      </c>
      <c r="AI72" s="38">
        <f t="shared" si="35"/>
        <v>5.2652817061621324E-3</v>
      </c>
    </row>
    <row r="73" spans="8:35" x14ac:dyDescent="0.3">
      <c r="H73" s="2"/>
      <c r="I73" s="2"/>
      <c r="J73" s="5" t="str">
        <f>IMDIV(IMSUB(N67,IMSUM(IMPRODUCT(M67,J76),IMPRODUCT(L67,J75),IMPRODUCT(K67,J74))),J67)</f>
        <v>-3.87905749909026E-09-4.07573346614118E-09i</v>
      </c>
      <c r="K73" s="2"/>
      <c r="L73" s="26" t="s">
        <v>119</v>
      </c>
      <c r="M73" s="2"/>
      <c r="N73" s="2"/>
      <c r="Q73" s="36" t="str">
        <f>IMSUM(wm,IMPRODUCT(w_a1,Cj_1,IMEXP(IMPRODUCT(Lambda_1,'Thin theory'!P73))),IMPRODUCT(w_a2,Cj_2,IMEXP(IMPRODUCT(Lambda_2,'Thin theory'!P73))),IMPRODUCT(w_a3,Cj_3,IMEXP(IMPRODUCT(Lambda_3,'Thin theory'!P73))),IMPRODUCT(w_a4,Cj_4,IMEXP(IMPRODUCT(Lambda_4,'Thin theory'!P73))))</f>
        <v>6.94968561778496E-06+1.85127653300798E-18i</v>
      </c>
      <c r="R73" s="36" t="str">
        <f>IMSUM(IMPRODUCT(w_b1,Cj_1,IMEXP(IMPRODUCT(Lambda_1,'Thin theory'!P73))),IMPRODUCT(w_b2,Cj_2,IMEXP(IMPRODUCT(Lambda_2,'Thin theory'!P73))),IMPRODUCT(w_b3,Cj_3,IMEXP(IMPRODUCT(Lambda_3,'Thin theory'!P73))),IMPRODUCT(w_b4,Cj_4,IMEXP(IMPRODUCT(Lambda_4,'Thin theory'!P73))))</f>
        <v>-1.04433004517689E-06+9.51884707340297E-19i</v>
      </c>
      <c r="S73" s="36" t="str">
        <f>IMSUM(IMPRODUCT(beta_a1,Cj_1,IMEXP(IMPRODUCT(Lambda_1,'Thin theory'!P73))),IMPRODUCT(beta_a2,Cj_2,IMEXP(IMPRODUCT(Lambda_2,'Thin theory'!P73))),IMPRODUCT(beta_a3,Cj_3,IMEXP(IMPRODUCT(Lambda_3,'Thin theory'!P73))),IMPRODUCT(beta_a4,Cj_4,IMEXP(IMPRODUCT(Lambda_4,'Thin theory'!P73))))</f>
        <v>-1.10872415046246E-06+7.09959193586913E-19i</v>
      </c>
      <c r="T73" s="36" t="str">
        <f>IMSUM(IMPRODUCT(beta_b1,Cj_1,IMEXP(IMPRODUCT(Lambda_1,'Thin theory'!P73))),IMPRODUCT(beta_b2,Cj_2,IMEXP(IMPRODUCT(Lambda_2,'Thin theory'!P73))),IMPRODUCT(beta_b3,Cj_3,IMEXP(IMPRODUCT(Lambda_3,'Thin theory'!P73))),IMPRODUCT(beta_b4,Cj_4,IMEXP(IMPRODUCT(Lambda_4,'Thin theory'!P73))))</f>
        <v>-7.18222211887665E-07-3.11153913579172E-19i</v>
      </c>
      <c r="U73" s="36" t="str">
        <f>IMSUM(IMPRODUCT(Lambda_1,beta_b1,Cj_1,IMEXP(IMPRODUCT(Lambda_1,'Thin theory'!P73))),IMPRODUCT(Lambda_2,beta_b2,Cj_2,IMEXP(IMPRODUCT(Lambda_2,'Thin theory'!P73))),IMPRODUCT(Lambda_3,beta_b3,Cj_3,IMEXP(IMPRODUCT(Lambda_3,'Thin theory'!P73))),IMPRODUCT(Lambda_4,beta_b4,Cj_4,IMEXP(IMPRODUCT(Lambda_4,'Thin theory'!P73))))</f>
        <v>-0.0000002253793684995-8.4281101740783E-19i</v>
      </c>
      <c r="V73" s="36" t="str">
        <f>IMSUM(IMPRODUCT(-1,uc),Nz/Cs*'Thin theory'!P73,IMPRODUCT(-nu/rad,IMSUM(wm*'Thin theory'!P73,IMPRODUCT(IMDIV(w_a1,Lambda_1),Cj_1,IMEXP(IMPRODUCT(Lambda_1,'Thin theory'!P73))),IMPRODUCT(IMDIV(w_a2,Lambda_2),Cj_2,IMEXP(IMPRODUCT(Lambda_2,'Thin theory'!P73))),IMPRODUCT(IMDIV(w_a3,Lambda_3),Cj_3,IMEXP(IMPRODUCT(Lambda_3,'Thin theory'!P73))),IMPRODUCT(IMDIV(w_a4,Lambda_4),Cj_4,IMEXP(IMPRODUCT(Lambda_4,'Thin theory'!P73))))))</f>
        <v>0.0000154933370295808+2.41893774833281E-19i</v>
      </c>
      <c r="W73" s="36" t="str">
        <f t="shared" si="25"/>
        <v>-0.0000049669811370671-1.11076591980479E-19i</v>
      </c>
      <c r="X73" s="41">
        <f t="shared" si="37"/>
        <v>1.54933370295808E-5</v>
      </c>
      <c r="Y73" s="41">
        <f t="shared" si="38"/>
        <v>6.9496856177849602E-6</v>
      </c>
      <c r="Z73" s="38">
        <f t="shared" si="26"/>
        <v>-1.0000000000000004</v>
      </c>
      <c r="AA73" s="38">
        <f t="shared" si="27"/>
        <v>-2.2012575288601718E-2</v>
      </c>
      <c r="AB73" s="38">
        <f t="shared" si="28"/>
        <v>-1.3154252964975549E-2</v>
      </c>
      <c r="AC73" s="38">
        <f t="shared" si="29"/>
        <v>-3.9462758894926644E-3</v>
      </c>
      <c r="AD73" s="38">
        <f t="shared" si="30"/>
        <v>-1.0789255177898538</v>
      </c>
      <c r="AE73" s="38">
        <f t="shared" si="31"/>
        <v>-1.0000000000000004</v>
      </c>
      <c r="AF73" s="38">
        <f t="shared" si="32"/>
        <v>-0.92107448221014709</v>
      </c>
      <c r="AG73" s="38">
        <f t="shared" si="33"/>
        <v>-4.5690230625557701E-2</v>
      </c>
      <c r="AH73" s="38">
        <f t="shared" si="34"/>
        <v>-2.2012575288601718E-2</v>
      </c>
      <c r="AI73" s="38">
        <f t="shared" si="35"/>
        <v>1.6650800483542678E-3</v>
      </c>
    </row>
    <row r="74" spans="8:35" x14ac:dyDescent="0.3">
      <c r="H74" s="2"/>
      <c r="I74" s="2"/>
      <c r="J74" s="5" t="str">
        <f>IMDIV(IMSUB(N68,IMSUM(IMPRODUCT(M68,J76),IMPRODUCT(L68,J75))),K68)</f>
        <v>-3.87905749907658E-09+4.07573346613319E-09i</v>
      </c>
      <c r="K74" s="2"/>
      <c r="L74" s="1" t="str">
        <f>IMSUM(Nz/Cs*L-nu/rad*wm*L,IMPRODUCT(-nu/rad,IMSUM(IMPRODUCT(IMDIV(w_a1,Lambda_1),Cj_1,IMEXP(IMPRODUCT(Lambda_1,L))),IMPRODUCT(IMDIV(w_a2,Lambda_2),Cj_2,IMEXP(IMPRODUCT(Lambda_2,L))),IMPRODUCT(IMDIV(w_a3,Lambda_3),Cj_3,IMEXP(IMPRODUCT(Lambda_3,L))),IMPRODUCT(IMDIV(w_a4,Lambda_4),Cj_4,IMEXP(IMPRODUCT(Lambda_4,L))))))</f>
        <v>-0.0000552145023346661-3.5766147350367E-19i</v>
      </c>
      <c r="M74" s="2"/>
      <c r="N74" s="2"/>
      <c r="Q74" s="36" t="str">
        <f>IMSUM(wm,IMPRODUCT(w_a1,Cj_1,IMEXP(IMPRODUCT(Lambda_1,'Thin theory'!P74))),IMPRODUCT(w_a2,Cj_2,IMEXP(IMPRODUCT(Lambda_2,'Thin theory'!P74))),IMPRODUCT(w_a3,Cj_3,IMEXP(IMPRODUCT(Lambda_3,'Thin theory'!P74))),IMPRODUCT(w_a4,Cj_4,IMEXP(IMPRODUCT(Lambda_4,'Thin theory'!P74))))</f>
        <v>6.82792596796173E-06+1.95832032171724E-18i</v>
      </c>
      <c r="R74" s="36" t="str">
        <f>IMSUM(IMPRODUCT(w_b1,Cj_1,IMEXP(IMPRODUCT(Lambda_1,'Thin theory'!P74))),IMPRODUCT(w_b2,Cj_2,IMEXP(IMPRODUCT(Lambda_2,'Thin theory'!P74))),IMPRODUCT(w_b3,Cj_3,IMEXP(IMPRODUCT(Lambda_3,'Thin theory'!P74))),IMPRODUCT(w_b4,Cj_4,IMEXP(IMPRODUCT(Lambda_4,'Thin theory'!P74))))</f>
        <v>-1.13449565077728E-06+9.37782932257493E-19i</v>
      </c>
      <c r="S74" s="36" t="str">
        <f>IMSUM(IMPRODUCT(beta_a1,Cj_1,IMEXP(IMPRODUCT(Lambda_1,'Thin theory'!P74))),IMPRODUCT(beta_a2,Cj_2,IMEXP(IMPRODUCT(Lambda_2,'Thin theory'!P74))),IMPRODUCT(beta_a3,Cj_3,IMEXP(IMPRODUCT(Lambda_3,'Thin theory'!P74))),IMPRODUCT(beta_a4,Cj_4,IMEXP(IMPRODUCT(Lambda_4,'Thin theory'!P74))))</f>
        <v>-1.19037344609553E-06+6.70299191937446E-19i</v>
      </c>
      <c r="T74" s="36" t="str">
        <f>IMSUM(IMPRODUCT(beta_b1,Cj_1,IMEXP(IMPRODUCT(Lambda_1,'Thin theory'!P74))),IMPRODUCT(beta_b2,Cj_2,IMEXP(IMPRODUCT(Lambda_2,'Thin theory'!P74))),IMPRODUCT(beta_b3,Cj_3,IMEXP(IMPRODUCT(Lambda_3,'Thin theory'!P74))),IMPRODUCT(beta_b4,Cj_4,IMEXP(IMPRODUCT(Lambda_4,'Thin theory'!P74))))</f>
        <v>-7.41809521584825E-07-4.10104567175215E-19i</v>
      </c>
      <c r="U74" s="36" t="str">
        <f>IMSUM(IMPRODUCT(Lambda_1,beta_b1,Cj_1,IMEXP(IMPRODUCT(Lambda_1,'Thin theory'!P74))),IMPRODUCT(Lambda_2,beta_b2,Cj_2,IMEXP(IMPRODUCT(Lambda_2,'Thin theory'!P74))),IMPRODUCT(Lambda_3,beta_b3,Cj_3,IMEXP(IMPRODUCT(Lambda_3,'Thin theory'!P74))),IMPRODUCT(Lambda_4,beta_b4,Cj_4,IMEXP(IMPRODUCT(Lambda_4,'Thin theory'!P74))))</f>
        <v>-1.95572283613843E-07-9.35824168566967E-19i</v>
      </c>
      <c r="V74" s="36" t="str">
        <f>IMSUM(IMPRODUCT(-1,uc),Nz/Cs*'Thin theory'!P74,IMPRODUCT(-nu/rad,IMSUM(wm*'Thin theory'!P74,IMPRODUCT(IMDIV(w_a1,Lambda_1),Cj_1,IMEXP(IMPRODUCT(Lambda_1,'Thin theory'!P74))),IMPRODUCT(IMDIV(w_a2,Lambda_2),Cj_2,IMEXP(IMPRODUCT(Lambda_2,'Thin theory'!P74))),IMPRODUCT(IMDIV(w_a3,Lambda_3),Cj_3,IMEXP(IMPRODUCT(Lambda_3,'Thin theory'!P74))),IMPRODUCT(IMDIV(w_a4,Lambda_4),Cj_4,IMEXP(IMPRODUCT(Lambda_4,'Thin theory'!P74))))))</f>
        <v>0.0000149384144149978+2.29106091958803E-19i</v>
      </c>
      <c r="W74" s="36" t="str">
        <f t="shared" si="25"/>
        <v>-0.0000049596755580777-1.17499219303034E-19i</v>
      </c>
      <c r="X74" s="41">
        <f t="shared" si="37"/>
        <v>1.49384144149978E-5</v>
      </c>
      <c r="Y74" s="41">
        <f t="shared" si="38"/>
        <v>6.8279259679617298E-6</v>
      </c>
      <c r="Z74" s="38">
        <f t="shared" si="26"/>
        <v>-0.99999999999999911</v>
      </c>
      <c r="AA74" s="38">
        <f t="shared" si="27"/>
        <v>-2.6882961281530532E-2</v>
      </c>
      <c r="AB74" s="38">
        <f t="shared" si="28"/>
        <v>-1.3586254974081042E-2</v>
      </c>
      <c r="AC74" s="38">
        <f t="shared" si="29"/>
        <v>-4.0758764922243125E-3</v>
      </c>
      <c r="AD74" s="38">
        <f t="shared" si="30"/>
        <v>-1.0815175298444855</v>
      </c>
      <c r="AE74" s="38">
        <f t="shared" si="31"/>
        <v>-0.99999999999999911</v>
      </c>
      <c r="AF74" s="38">
        <f t="shared" si="32"/>
        <v>-0.91848247015551288</v>
      </c>
      <c r="AG74" s="38">
        <f t="shared" si="33"/>
        <v>-5.1338220234876407E-2</v>
      </c>
      <c r="AH74" s="38">
        <f t="shared" si="34"/>
        <v>-2.6882961281530532E-2</v>
      </c>
      <c r="AI74" s="38">
        <f t="shared" si="35"/>
        <v>-2.4277023281846569E-3</v>
      </c>
    </row>
    <row r="75" spans="8:35" x14ac:dyDescent="0.3">
      <c r="H75" s="2"/>
      <c r="I75" s="2"/>
      <c r="J75" s="5" t="str">
        <f>IMDIV(IMSUB(N69,IMPRODUCT(M69,J76)),L69)</f>
        <v>-3.74612094250094E-06-3.59722557273316E-07i</v>
      </c>
      <c r="K75" s="2"/>
      <c r="L75" s="2"/>
      <c r="M75" s="2"/>
      <c r="N75" s="2"/>
      <c r="Q75" s="36" t="str">
        <f>IMSUM(wm,IMPRODUCT(w_a1,Cj_1,IMEXP(IMPRODUCT(Lambda_1,'Thin theory'!P75))),IMPRODUCT(w_a2,Cj_2,IMEXP(IMPRODUCT(Lambda_2,'Thin theory'!P75))),IMPRODUCT(w_a3,Cj_3,IMEXP(IMPRODUCT(Lambda_3,'Thin theory'!P75))),IMPRODUCT(w_a4,Cj_4,IMEXP(IMPRODUCT(Lambda_4,'Thin theory'!P75))))</f>
        <v>6.69584774639833E-06+2.061443274323E-18i</v>
      </c>
      <c r="R75" s="36" t="str">
        <f>IMSUM(IMPRODUCT(w_b1,Cj_1,IMEXP(IMPRODUCT(Lambda_1,'Thin theory'!P75))),IMPRODUCT(w_b2,Cj_2,IMEXP(IMPRODUCT(Lambda_2,'Thin theory'!P75))),IMPRODUCT(w_b3,Cj_3,IMEXP(IMPRODUCT(Lambda_3,'Thin theory'!P75))),IMPRODUCT(w_b4,Cj_4,IMEXP(IMPRODUCT(Lambda_4,'Thin theory'!P75))))</f>
        <v>-1.22886981746891E-06+9.13801311938356E-19i</v>
      </c>
      <c r="S75" s="36" t="str">
        <f>IMSUM(IMPRODUCT(beta_a1,Cj_1,IMEXP(IMPRODUCT(Lambda_1,'Thin theory'!P75))),IMPRODUCT(beta_a2,Cj_2,IMEXP(IMPRODUCT(Lambda_2,'Thin theory'!P75))),IMPRODUCT(beta_a3,Cj_3,IMEXP(IMPRODUCT(Lambda_3,'Thin theory'!P75))),IMPRODUCT(beta_a4,Cj_4,IMEXP(IMPRODUCT(Lambda_4,'Thin theory'!P75))))</f>
        <v>-0.000001274460942031+6.18398571583418E-19i</v>
      </c>
      <c r="T75" s="36" t="str">
        <f>IMSUM(IMPRODUCT(beta_b1,Cj_1,IMEXP(IMPRODUCT(Lambda_1,'Thin theory'!P75))),IMPRODUCT(beta_b2,Cj_2,IMEXP(IMPRODUCT(Lambda_2,'Thin theory'!P75))),IMPRODUCT(beta_b3,Cj_3,IMEXP(IMPRODUCT(Lambda_3,'Thin theory'!P75))),IMPRODUCT(beta_b4,Cj_4,IMEXP(IMPRODUCT(Lambda_4,'Thin theory'!P75))))</f>
        <v>-7.61722611438949E-07-5.2014605842437E-19i</v>
      </c>
      <c r="U75" s="36" t="str">
        <f>IMSUM(IMPRODUCT(Lambda_1,beta_b1,Cj_1,IMEXP(IMPRODUCT(Lambda_1,'Thin theory'!P75))),IMPRODUCT(Lambda_2,beta_b2,Cj_2,IMEXP(IMPRODUCT(Lambda_2,'Thin theory'!P75))),IMPRODUCT(Lambda_3,beta_b3,Cj_3,IMEXP(IMPRODUCT(Lambda_3,'Thin theory'!P75))),IMPRODUCT(Lambda_4,beta_b4,Cj_4,IMEXP(IMPRODUCT(Lambda_4,'Thin theory'!P75))))</f>
        <v>-1.59568935967307E-07-1.03376400745447E-18i</v>
      </c>
      <c r="V75" s="36" t="str">
        <f>IMSUM(IMPRODUCT(-1,uc),Nz/Cs*'Thin theory'!P75,IMPRODUCT(-nu/rad,IMSUM(wm*'Thin theory'!P75,IMPRODUCT(IMDIV(w_a1,Lambda_1),Cj_1,IMEXP(IMPRODUCT(Lambda_1,'Thin theory'!P75))),IMPRODUCT(IMDIV(w_a2,Lambda_2),Cj_2,IMEXP(IMPRODUCT(Lambda_2,'Thin theory'!P75))),IMPRODUCT(IMDIV(w_a3,Lambda_3),Cj_3,IMEXP(IMPRODUCT(Lambda_3,'Thin theory'!P75))),IMPRODUCT(IMDIV(w_a4,Lambda_4),Cj_4,IMEXP(IMPRODUCT(Lambda_4,'Thin theory'!P75))))))</f>
        <v>0.0000143843429354095+2.1560630583859E-19i</v>
      </c>
      <c r="W75" s="36" t="str">
        <f t="shared" si="25"/>
        <v>-0.0000049517508647839-1.2368659645938E-19i</v>
      </c>
      <c r="X75" s="41">
        <f t="shared" si="37"/>
        <v>1.4384342935409501E-5</v>
      </c>
      <c r="Y75" s="41">
        <f t="shared" si="38"/>
        <v>6.6958477463983296E-6</v>
      </c>
      <c r="Z75" s="38">
        <f t="shared" si="26"/>
        <v>-0.99999999999999989</v>
      </c>
      <c r="AA75" s="38">
        <f t="shared" si="27"/>
        <v>-3.2166090144066781E-2</v>
      </c>
      <c r="AB75" s="38">
        <f t="shared" si="28"/>
        <v>-1.395096357946793E-2</v>
      </c>
      <c r="AC75" s="38">
        <f t="shared" si="29"/>
        <v>-4.1852890738403791E-3</v>
      </c>
      <c r="AD75" s="38">
        <f t="shared" si="30"/>
        <v>-1.0837057814768074</v>
      </c>
      <c r="AE75" s="38">
        <f t="shared" si="31"/>
        <v>-0.99999999999999989</v>
      </c>
      <c r="AF75" s="38">
        <f t="shared" si="32"/>
        <v>-0.91629421852319226</v>
      </c>
      <c r="AG75" s="38">
        <f t="shared" si="33"/>
        <v>-5.7277824587109054E-2</v>
      </c>
      <c r="AH75" s="38">
        <f t="shared" si="34"/>
        <v>-3.2166090144066781E-2</v>
      </c>
      <c r="AI75" s="38">
        <f t="shared" si="35"/>
        <v>-7.0543557010245075E-3</v>
      </c>
    </row>
    <row r="76" spans="8:35" x14ac:dyDescent="0.3">
      <c r="H76" s="2"/>
      <c r="I76" s="2"/>
      <c r="J76" s="5" t="str">
        <f>IMDIV(N70,M70)</f>
        <v>-3.74612094250089E-06+3.59722557273324E-07i</v>
      </c>
      <c r="K76" s="2"/>
      <c r="L76" s="2"/>
      <c r="M76" s="2"/>
      <c r="N76" s="2"/>
      <c r="Q76" s="36" t="str">
        <f>IMSUM(wm,IMPRODUCT(w_a1,Cj_1,IMEXP(IMPRODUCT(Lambda_1,'Thin theory'!P76))),IMPRODUCT(w_a2,Cj_2,IMEXP(IMPRODUCT(Lambda_2,'Thin theory'!P76))),IMPRODUCT(w_a3,Cj_3,IMEXP(IMPRODUCT(Lambda_3,'Thin theory'!P76))),IMPRODUCT(w_a4,Cj_4,IMEXP(IMPRODUCT(Lambda_4,'Thin theory'!P76))))</f>
        <v>6.55299668961882E-06+2.1612939004255E-18i</v>
      </c>
      <c r="R76" s="36" t="str">
        <f>IMSUM(IMPRODUCT(w_b1,Cj_1,IMEXP(IMPRODUCT(Lambda_1,'Thin theory'!P76))),IMPRODUCT(w_b2,Cj_2,IMEXP(IMPRODUCT(Lambda_2,'Thin theory'!P76))),IMPRODUCT(w_b3,Cj_3,IMEXP(IMPRODUCT(Lambda_3,'Thin theory'!P76))),IMPRODUCT(w_b4,Cj_4,IMEXP(IMPRODUCT(Lambda_4,'Thin theory'!P76))))</f>
        <v>-1.32714915101427E-06+8.78808263304912E-19i</v>
      </c>
      <c r="S76" s="36" t="str">
        <f>IMSUM(IMPRODUCT(beta_a1,Cj_1,IMEXP(IMPRODUCT(Lambda_1,'Thin theory'!P76))),IMPRODUCT(beta_a2,Cj_2,IMEXP(IMPRODUCT(Lambda_2,'Thin theory'!P76))),IMPRODUCT(beta_a3,Cj_3,IMEXP(IMPRODUCT(Lambda_3,'Thin theory'!P76))),IMPRODUCT(beta_a4,Cj_4,IMEXP(IMPRODUCT(Lambda_4,'Thin theory'!P76))))</f>
        <v>-1.36053605972766E-06+5.53600551118464E-19i</v>
      </c>
      <c r="T76" s="36" t="str">
        <f>IMSUM(IMPRODUCT(beta_b1,Cj_1,IMEXP(IMPRODUCT(Lambda_1,'Thin theory'!P76))),IMPRODUCT(beta_b2,Cj_2,IMEXP(IMPRODUCT(Lambda_2,'Thin theory'!P76))),IMPRODUCT(beta_b3,Cj_3,IMEXP(IMPRODUCT(Lambda_3,'Thin theory'!P76))),IMPRODUCT(beta_b4,Cj_4,IMEXP(IMPRODUCT(Lambda_4,'Thin theory'!P76))))</f>
        <v>-7.77240127481439E-07-6.41092271688811E-19i</v>
      </c>
      <c r="U76" s="36" t="str">
        <f>IMSUM(IMPRODUCT(Lambda_1,beta_b1,Cj_1,IMEXP(IMPRODUCT(Lambda_1,'Thin theory'!P76))),IMPRODUCT(Lambda_2,beta_b2,Cj_2,IMEXP(IMPRODUCT(Lambda_2,'Thin theory'!P76))),IMPRODUCT(Lambda_3,beta_b3,Cj_3,IMEXP(IMPRODUCT(Lambda_3,'Thin theory'!P76))),IMPRODUCT(Lambda_4,beta_b4,Cj_4,IMEXP(IMPRODUCT(Lambda_4,'Thin theory'!P76))))</f>
        <v>-1.16854180496861E-07-1.13678273530305E-18i</v>
      </c>
      <c r="V76" s="36" t="str">
        <f>IMSUM(IMPRODUCT(-1,uc),Nz/Cs*'Thin theory'!P76,IMPRODUCT(-nu/rad,IMSUM(wm*'Thin theory'!P76,IMPRODUCT(IMDIV(w_a1,Lambda_1),Cj_1,IMEXP(IMPRODUCT(Lambda_1,'Thin theory'!P76))),IMPRODUCT(IMDIV(w_a2,Lambda_2),Cj_2,IMEXP(IMPRODUCT(Lambda_2,'Thin theory'!P76))),IMPRODUCT(IMDIV(w_a3,Lambda_3),Cj_3,IMEXP(IMPRODUCT(Lambda_3,'Thin theory'!P76))),IMPRODUCT(IMDIV(w_a4,Lambda_4),Cj_4,IMEXP(IMPRODUCT(Lambda_4,'Thin theory'!P76))))))</f>
        <v>0.0000138311933525003+2.01509361490564E-19i</v>
      </c>
      <c r="W76" s="36" t="str">
        <f t="shared" si="25"/>
        <v>-4.94317980137713E-06-1.2967763402553E-19i</v>
      </c>
      <c r="X76" s="41">
        <f t="shared" si="37"/>
        <v>1.3831193352500299E-5</v>
      </c>
      <c r="Y76" s="41">
        <f t="shared" si="38"/>
        <v>6.5529966896188202E-6</v>
      </c>
      <c r="Z76" s="38">
        <f t="shared" si="26"/>
        <v>-1</v>
      </c>
      <c r="AA76" s="38">
        <f t="shared" si="27"/>
        <v>-3.7880132415247222E-2</v>
      </c>
      <c r="AB76" s="38">
        <f t="shared" si="28"/>
        <v>-1.4235167169989725E-2</v>
      </c>
      <c r="AC76" s="38">
        <f t="shared" si="29"/>
        <v>-4.2705501509969178E-3</v>
      </c>
      <c r="AD76" s="38">
        <f t="shared" si="30"/>
        <v>-1.0854110030199384</v>
      </c>
      <c r="AE76" s="38">
        <f t="shared" si="31"/>
        <v>-1</v>
      </c>
      <c r="AF76" s="38">
        <f t="shared" si="32"/>
        <v>-0.91458899698006169</v>
      </c>
      <c r="AG76" s="38">
        <f t="shared" si="33"/>
        <v>-6.3503433321228736E-2</v>
      </c>
      <c r="AH76" s="38">
        <f t="shared" si="34"/>
        <v>-3.7880132415247222E-2</v>
      </c>
      <c r="AI76" s="38">
        <f t="shared" si="35"/>
        <v>-1.2256831509265716E-2</v>
      </c>
    </row>
    <row r="77" spans="8:35" x14ac:dyDescent="0.3">
      <c r="Q77" s="36" t="str">
        <f>IMSUM(wm,IMPRODUCT(w_a1,Cj_1,IMEXP(IMPRODUCT(Lambda_1,'Thin theory'!P77))),IMPRODUCT(w_a2,Cj_2,IMEXP(IMPRODUCT(Lambda_2,'Thin theory'!P77))),IMPRODUCT(w_a3,Cj_3,IMEXP(IMPRODUCT(Lambda_3,'Thin theory'!P77))),IMPRODUCT(w_a4,Cj_4,IMEXP(IMPRODUCT(Lambda_4,'Thin theory'!P77))))</f>
        <v>6.39895673942173E-06+2.25732295209801E-18i</v>
      </c>
      <c r="R77" s="36" t="str">
        <f>IMSUM(IMPRODUCT(w_b1,Cj_1,IMEXP(IMPRODUCT(Lambda_1,'Thin theory'!P77))),IMPRODUCT(w_b2,Cj_2,IMEXP(IMPRODUCT(Lambda_2,'Thin theory'!P77))),IMPRODUCT(w_b3,Cj_3,IMEXP(IMPRODUCT(Lambda_3,'Thin theory'!P77))),IMPRODUCT(w_b4,Cj_4,IMEXP(IMPRODUCT(Lambda_4,'Thin theory'!P77))))</f>
        <v>-1.42895242432672E-06+8.3080697235846E-19i</v>
      </c>
      <c r="S77" s="36" t="str">
        <f>IMSUM(IMPRODUCT(beta_a1,Cj_1,IMEXP(IMPRODUCT(Lambda_1,'Thin theory'!P77))),IMPRODUCT(beta_a2,Cj_2,IMEXP(IMPRODUCT(Lambda_2,'Thin theory'!P77))),IMPRODUCT(beta_a3,Cj_3,IMEXP(IMPRODUCT(Lambda_3,'Thin theory'!P77))),IMPRODUCT(beta_a4,Cj_4,IMEXP(IMPRODUCT(Lambda_4,'Thin theory'!P77))))</f>
        <v>-0.0000014480643058506+4.7459818517475E-19i</v>
      </c>
      <c r="T77" s="36" t="str">
        <f>IMSUM(IMPRODUCT(beta_b1,Cj_1,IMEXP(IMPRODUCT(Lambda_1,'Thin theory'!P77))),IMPRODUCT(beta_b2,Cj_2,IMEXP(IMPRODUCT(Lambda_2,'Thin theory'!P77))),IMPRODUCT(beta_b3,Cj_3,IMEXP(IMPRODUCT(Lambda_3,'Thin theory'!P77))),IMPRODUCT(beta_b4,Cj_4,IMEXP(IMPRODUCT(Lambda_4,'Thin theory'!P77))))</f>
        <v>-7.87581913428743E-07-7.75062030107593E-19i</v>
      </c>
      <c r="U77" s="36" t="str">
        <f>IMSUM(IMPRODUCT(Lambda_1,beta_b1,Cj_1,IMEXP(IMPRODUCT(Lambda_1,'Thin theory'!P77))),IMPRODUCT(Lambda_2,beta_b2,Cj_2,IMEXP(IMPRODUCT(Lambda_2,'Thin theory'!P77))),IMPRODUCT(Lambda_3,beta_b3,Cj_3,IMEXP(IMPRODUCT(Lambda_3,'Thin theory'!P77))),IMPRODUCT(Lambda_4,beta_b4,Cj_4,IMEXP(IMPRODUCT(Lambda_4,'Thin theory'!P77))))</f>
        <v>-6.68915853335792E-08-1.24481914074738E-18i</v>
      </c>
      <c r="V77" s="36" t="str">
        <f>IMSUM(IMPRODUCT(-1,uc),Nz/Cs*'Thin theory'!P77,IMPRODUCT(-nu/rad,IMSUM(wm*'Thin theory'!P77,IMPRODUCT(IMDIV(w_a1,Lambda_1),Cj_1,IMEXP(IMPRODUCT(Lambda_1,'Thin theory'!P77))),IMPRODUCT(IMDIV(w_a2,Lambda_2),Cj_2,IMEXP(IMPRODUCT(Lambda_2,'Thin theory'!P77))),IMPRODUCT(IMDIV(w_a3,Lambda_3),Cj_3,IMEXP(IMPRODUCT(Lambda_3,'Thin theory'!P77))),IMPRODUCT(IMDIV(w_a4,Lambda_4),Cj_4,IMEXP(IMPRODUCT(Lambda_4,'Thin theory'!P77))))))</f>
        <v>0.0000132790393519664+1.86682248272224E-19i</v>
      </c>
      <c r="W77" s="36" t="str">
        <f t="shared" si="25"/>
        <v>-0.0000049339374043653-1.35439377125881E-19i</v>
      </c>
      <c r="X77" s="41">
        <f t="shared" si="37"/>
        <v>1.3279039351966401E-5</v>
      </c>
      <c r="Y77" s="41">
        <f t="shared" si="38"/>
        <v>6.39895673942173E-6</v>
      </c>
      <c r="Z77" s="38">
        <f t="shared" si="26"/>
        <v>-0.99999999999999911</v>
      </c>
      <c r="AA77" s="38">
        <f t="shared" si="27"/>
        <v>-4.4041730423130504E-2</v>
      </c>
      <c r="AB77" s="38">
        <f t="shared" si="28"/>
        <v>-1.4424577169024597E-2</v>
      </c>
      <c r="AC77" s="38">
        <f t="shared" si="29"/>
        <v>-4.3273731507073787E-3</v>
      </c>
      <c r="AD77" s="38">
        <f t="shared" si="30"/>
        <v>-1.0865474630141467</v>
      </c>
      <c r="AE77" s="38">
        <f t="shared" si="31"/>
        <v>-0.99999999999999911</v>
      </c>
      <c r="AF77" s="38">
        <f t="shared" si="32"/>
        <v>-0.91345253698585149</v>
      </c>
      <c r="AG77" s="38">
        <f t="shared" si="33"/>
        <v>-7.0005969327374767E-2</v>
      </c>
      <c r="AH77" s="38">
        <f t="shared" si="34"/>
        <v>-4.4041730423130504E-2</v>
      </c>
      <c r="AI77" s="38">
        <f t="shared" si="35"/>
        <v>-1.8077491518886234E-2</v>
      </c>
    </row>
    <row r="78" spans="8:35" x14ac:dyDescent="0.3">
      <c r="Q78" s="36" t="str">
        <f>IMSUM(wm,IMPRODUCT(w_a1,Cj_1,IMEXP(IMPRODUCT(Lambda_1,'Thin theory'!P78))),IMPRODUCT(w_a2,Cj_2,IMEXP(IMPRODUCT(Lambda_2,'Thin theory'!P78))),IMPRODUCT(w_a3,Cj_3,IMEXP(IMPRODUCT(Lambda_3,'Thin theory'!P78))),IMPRODUCT(w_a4,Cj_4,IMEXP(IMPRODUCT(Lambda_4,'Thin theory'!P78))))</f>
        <v>6.23335914933102E-06+2.34637059940057E-18i</v>
      </c>
      <c r="R78" s="36" t="str">
        <f>IMSUM(IMPRODUCT(w_b1,Cj_1,IMEXP(IMPRODUCT(Lambda_1,'Thin theory'!P78))),IMPRODUCT(w_b2,Cj_2,IMEXP(IMPRODUCT(Lambda_2,'Thin theory'!P78))),IMPRODUCT(w_b3,Cj_3,IMEXP(IMPRODUCT(Lambda_3,'Thin theory'!P78))),IMPRODUCT(w_b4,Cj_4,IMEXP(IMPRODUCT(Lambda_4,'Thin theory'!P78))))</f>
        <v>-1.53381327857852E-06+7.67800625100296E-19i</v>
      </c>
      <c r="S78" s="36" t="str">
        <f>IMSUM(IMPRODUCT(beta_a1,Cj_1,IMEXP(IMPRODUCT(Lambda_1,'Thin theory'!P78))),IMPRODUCT(beta_a2,Cj_2,IMEXP(IMPRODUCT(Lambda_2,'Thin theory'!P78))),IMPRODUCT(beta_a3,Cj_3,IMEXP(IMPRODUCT(Lambda_3,'Thin theory'!P78))),IMPRODUCT(beta_a4,Cj_4,IMEXP(IMPRODUCT(Lambda_4,'Thin theory'!P78))))</f>
        <v>-1.53642056904248E-06+3.80006773406861E-19i</v>
      </c>
      <c r="T78" s="36" t="str">
        <f>IMSUM(IMPRODUCT(beta_b1,Cj_1,IMEXP(IMPRODUCT(Lambda_1,'Thin theory'!P78))),IMPRODUCT(beta_b2,Cj_2,IMEXP(IMPRODUCT(Lambda_2,'Thin theory'!P78))),IMPRODUCT(beta_b3,Cj_3,IMEXP(IMPRODUCT(Lambda_3,'Thin theory'!P78))),IMPRODUCT(beta_b4,Cj_4,IMEXP(IMPRODUCT(Lambda_4,'Thin theory'!P78))))</f>
        <v>-7.91906743147042E-07-9.19040673938267E-19i</v>
      </c>
      <c r="U78" s="36" t="str">
        <f>IMSUM(IMPRODUCT(Lambda_1,beta_b1,Cj_1,IMEXP(IMPRODUCT(Lambda_1,'Thin theory'!P78))),IMPRODUCT(Lambda_2,beta_b2,Cj_2,IMEXP(IMPRODUCT(Lambda_2,'Thin theory'!P78))),IMPRODUCT(Lambda_3,beta_b3,Cj_3,IMEXP(IMPRODUCT(Lambda_3,'Thin theory'!P78))),IMPRODUCT(Lambda_4,beta_b4,Cj_4,IMEXP(IMPRODUCT(Lambda_4,'Thin theory'!P78))))</f>
        <v>-9.12551662386671E-09-1.35691203991566E-18i</v>
      </c>
      <c r="V78" s="36" t="str">
        <f>IMSUM(IMPRODUCT(-1,uc),Nz/Cs*'Thin theory'!P78,IMPRODUCT(-nu/rad,IMSUM(wm*'Thin theory'!P78,IMPRODUCT(IMDIV(w_a1,Lambda_1),Cj_1,IMEXP(IMPRODUCT(Lambda_1,'Thin theory'!P78))),IMPRODUCT(IMDIV(w_a2,Lambda_2),Cj_2,IMEXP(IMPRODUCT(Lambda_2,'Thin theory'!P78))),IMPRODUCT(IMDIV(w_a3,Lambda_3),Cj_3,IMEXP(IMPRODUCT(Lambda_3,'Thin theory'!P78))),IMPRODUCT(IMDIV(w_a4,Lambda_4),Cj_4,IMEXP(IMPRODUCT(Lambda_4,'Thin theory'!P78))))))</f>
        <v>0.0000127279572571395+1.71086651177599E-19i</v>
      </c>
      <c r="W78" s="36" t="str">
        <f t="shared" si="25"/>
        <v>-4.92400154895986E-06-1.40782235964034E-19i</v>
      </c>
      <c r="X78" s="41">
        <f t="shared" si="37"/>
        <v>1.2727957257139501E-5</v>
      </c>
      <c r="Y78" s="41">
        <f t="shared" si="38"/>
        <v>6.2333591493310199E-6</v>
      </c>
      <c r="Z78" s="38">
        <f t="shared" si="26"/>
        <v>-0.99999999999999967</v>
      </c>
      <c r="AA78" s="38">
        <f t="shared" si="27"/>
        <v>-5.0665634026759152E-2</v>
      </c>
      <c r="AB78" s="38">
        <f t="shared" si="28"/>
        <v>-1.4503786504524578E-2</v>
      </c>
      <c r="AC78" s="38">
        <f t="shared" si="29"/>
        <v>-4.351135951357373E-3</v>
      </c>
      <c r="AD78" s="38">
        <f t="shared" si="30"/>
        <v>-1.0870227190271471</v>
      </c>
      <c r="AE78" s="38">
        <f t="shared" si="31"/>
        <v>-0.99999999999999967</v>
      </c>
      <c r="AF78" s="38">
        <f t="shared" si="32"/>
        <v>-0.91297728097285225</v>
      </c>
      <c r="AG78" s="38">
        <f t="shared" si="33"/>
        <v>-7.6772449734903381E-2</v>
      </c>
      <c r="AH78" s="38">
        <f t="shared" si="34"/>
        <v>-5.0665634026759152E-2</v>
      </c>
      <c r="AI78" s="38">
        <f t="shared" si="35"/>
        <v>-2.4558818318614915E-2</v>
      </c>
    </row>
    <row r="79" spans="8:35" x14ac:dyDescent="0.3">
      <c r="Q79" s="36" t="str">
        <f>IMSUM(wm,IMPRODUCT(w_a1,Cj_1,IMEXP(IMPRODUCT(Lambda_1,'Thin theory'!P79))),IMPRODUCT(w_a2,Cj_2,IMEXP(IMPRODUCT(Lambda_2,'Thin theory'!P79))),IMPRODUCT(w_a3,Cj_3,IMEXP(IMPRODUCT(Lambda_3,'Thin theory'!P79))),IMPRODUCT(w_a4,Cj_4,IMEXP(IMPRODUCT(Lambda_4,'Thin theory'!P79))))</f>
        <v>6.05589242806601E-06+2.42831772832497E-18i</v>
      </c>
      <c r="R79" s="36" t="str">
        <f>IMSUM(IMPRODUCT(w_b1,Cj_1,IMEXP(IMPRODUCT(Lambda_1,'Thin theory'!P79))),IMPRODUCT(w_b2,Cj_2,IMEXP(IMPRODUCT(Lambda_2,'Thin theory'!P79))),IMPRODUCT(w_b3,Cj_3,IMEXP(IMPRODUCT(Lambda_3,'Thin theory'!P79))),IMPRODUCT(w_b4,Cj_4,IMEXP(IMPRODUCT(Lambda_4,'Thin theory'!P79))))</f>
        <v>-1.64117255191434E-06+6.89499708316026E-19i</v>
      </c>
      <c r="S79" s="36" t="str">
        <f>IMSUM(IMPRODUCT(beta_a1,Cj_1,IMEXP(IMPRODUCT(Lambda_1,'Thin theory'!P79))),IMPRODUCT(beta_a2,Cj_2,IMEXP(IMPRODUCT(Lambda_2,'Thin theory'!P79))),IMPRODUCT(beta_a3,Cj_3,IMEXP(IMPRODUCT(Lambda_3,'Thin theory'!P79))),IMPRODUCT(beta_a4,Cj_4,IMEXP(IMPRODUCT(Lambda_4,'Thin theory'!P79))))</f>
        <v>-1.62488217715421E-06+2.68913108418539E-19i</v>
      </c>
      <c r="T79" s="36" t="str">
        <f>IMSUM(IMPRODUCT(beta_b1,Cj_1,IMEXP(IMPRODUCT(Lambda_1,'Thin theory'!P79))),IMPRODUCT(beta_b2,Cj_2,IMEXP(IMPRODUCT(Lambda_2,'Thin theory'!P79))),IMPRODUCT(beta_b3,Cj_3,IMEXP(IMPRODUCT(Lambda_3,'Thin theory'!P79))),IMPRODUCT(beta_b4,Cj_4,IMEXP(IMPRODUCT(Lambda_4,'Thin theory'!P79))))</f>
        <v>-7.89310311819821E-07-1.07800320665802E-18i</v>
      </c>
      <c r="U79" s="36" t="str">
        <f>IMSUM(IMPRODUCT(Lambda_1,beta_b1,Cj_1,IMEXP(IMPRODUCT(Lambda_1,'Thin theory'!P79))),IMPRODUCT(Lambda_2,beta_b2,Cj_2,IMEXP(IMPRODUCT(Lambda_2,'Thin theory'!P79))),IMPRODUCT(Lambda_3,beta_b3,Cj_3,IMEXP(IMPRODUCT(Lambda_3,'Thin theory'!P79))),IMPRODUCT(Lambda_4,beta_b4,Cj_4,IMEXP(IMPRODUCT(Lambda_4,'Thin theory'!P79))))</f>
        <v>5.70163116604589E-08-1.47487130398817E-18i</v>
      </c>
      <c r="V79" s="36" t="str">
        <f>IMSUM(IMPRODUCT(-1,uc),Nz/Cs*'Thin theory'!P79,IMPRODUCT(-nu/rad,IMSUM(wm*'Thin theory'!P79,IMPRODUCT(IMDIV(w_a1,Lambda_1),Cj_1,IMEXP(IMPRODUCT(Lambda_1,'Thin theory'!P79))),IMPRODUCT(IMDIV(w_a2,Lambda_2),Cj_2,IMEXP(IMPRODUCT(Lambda_2,'Thin theory'!P79))),IMPRODUCT(IMDIV(w_a3,Lambda_3),Cj_3,IMEXP(IMPRODUCT(Lambda_3,'Thin theory'!P79))),IMPRODUCT(IMDIV(w_a4,Lambda_4),Cj_4,IMEXP(IMPRODUCT(Lambda_4,'Thin theory'!P79))))))</f>
        <v>0.0000121780256787377+1.5488714606136E-19i</v>
      </c>
      <c r="W79" s="36" t="str">
        <f t="shared" si="25"/>
        <v>-4.91335354568396E-06-1.45699063699498E-19i</v>
      </c>
      <c r="X79" s="41">
        <f t="shared" si="37"/>
        <v>1.21780256787377E-5</v>
      </c>
      <c r="Y79" s="41">
        <f t="shared" si="38"/>
        <v>6.0558924280660101E-6</v>
      </c>
      <c r="Z79" s="38">
        <f t="shared" si="26"/>
        <v>-0.99999999999999989</v>
      </c>
      <c r="AA79" s="38">
        <f t="shared" si="27"/>
        <v>-5.7764302877359563E-2</v>
      </c>
      <c r="AB79" s="38">
        <f t="shared" si="28"/>
        <v>-1.4456232817212838E-2</v>
      </c>
      <c r="AC79" s="38">
        <f t="shared" si="29"/>
        <v>-4.3368698451638514E-3</v>
      </c>
      <c r="AD79" s="38">
        <f t="shared" si="30"/>
        <v>-1.086737396903277</v>
      </c>
      <c r="AE79" s="38">
        <f t="shared" si="31"/>
        <v>-0.99999999999999989</v>
      </c>
      <c r="AF79" s="38">
        <f t="shared" si="32"/>
        <v>-0.9132626030967228</v>
      </c>
      <c r="AG79" s="38">
        <f t="shared" si="33"/>
        <v>-8.378552194834267E-2</v>
      </c>
      <c r="AH79" s="38">
        <f t="shared" si="34"/>
        <v>-5.7764302877359563E-2</v>
      </c>
      <c r="AI79" s="38">
        <f t="shared" si="35"/>
        <v>-3.1743083806376457E-2</v>
      </c>
    </row>
    <row r="80" spans="8:35" x14ac:dyDescent="0.3">
      <c r="Q80" s="36" t="str">
        <f>IMSUM(wm,IMPRODUCT(w_a1,Cj_1,IMEXP(IMPRODUCT(Lambda_1,'Thin theory'!P80))),IMPRODUCT(w_a2,Cj_2,IMEXP(IMPRODUCT(Lambda_2,'Thin theory'!P80))),IMPRODUCT(w_a3,Cj_3,IMEXP(IMPRODUCT(Lambda_3,'Thin theory'!P80))),IMPRODUCT(w_a4,Cj_4,IMEXP(IMPRODUCT(Lambda_4,'Thin theory'!P80))))</f>
        <v>5.86631316060113E-06+2.50021626716808E-18i</v>
      </c>
      <c r="R80" s="36" t="str">
        <f>IMSUM(IMPRODUCT(w_b1,Cj_1,IMEXP(IMPRODUCT(Lambda_1,'Thin theory'!P80))),IMPRODUCT(w_b2,Cj_2,IMEXP(IMPRODUCT(Lambda_2,'Thin theory'!P80))),IMPRODUCT(w_b3,Cj_3,IMEXP(IMPRODUCT(Lambda_3,'Thin theory'!P80))),IMPRODUCT(w_b4,Cj_4,IMEXP(IMPRODUCT(Lambda_4,'Thin theory'!P80))))</f>
        <v>-1.75037025572201E-06+5.93900790562048E-19i</v>
      </c>
      <c r="S80" s="36" t="str">
        <f>IMSUM(IMPRODUCT(beta_a1,Cj_1,IMEXP(IMPRODUCT(Lambda_1,'Thin theory'!P80))),IMPRODUCT(beta_a2,Cj_2,IMEXP(IMPRODUCT(Lambda_2,'Thin theory'!P80))),IMPRODUCT(beta_a3,Cj_3,IMEXP(IMPRODUCT(Lambda_3,'Thin theory'!P80))),IMPRODUCT(beta_a4,Cj_4,IMEXP(IMPRODUCT(Lambda_4,'Thin theory'!P80))))</f>
        <v>-1.71262174685143E-06+1.3788769939014E-19i</v>
      </c>
      <c r="T80" s="36" t="str">
        <f>IMSUM(IMPRODUCT(beta_b1,Cj_1,IMEXP(IMPRODUCT(Lambda_1,'Thin theory'!P80))),IMPRODUCT(beta_b2,Cj_2,IMEXP(IMPRODUCT(Lambda_2,'Thin theory'!P80))),IMPRODUCT(beta_b3,Cj_3,IMEXP(IMPRODUCT(Lambda_3,'Thin theory'!P80))),IMPRODUCT(beta_b4,Cj_4,IMEXP(IMPRODUCT(Lambda_4,'Thin theory'!P80))))</f>
        <v>-7.78823540128263E-07-1.25004278631565E-18i</v>
      </c>
      <c r="U80" s="36" t="str">
        <f>IMSUM(IMPRODUCT(Lambda_1,beta_b1,Cj_1,IMEXP(IMPRODUCT(Lambda_1,'Thin theory'!P80))),IMPRODUCT(Lambda_2,beta_b2,Cj_2,IMEXP(IMPRODUCT(Lambda_2,'Thin theory'!P80))),IMPRODUCT(Lambda_3,beta_b3,Cj_3,IMEXP(IMPRODUCT(Lambda_3,'Thin theory'!P80))),IMPRODUCT(Lambda_4,beta_b4,Cj_4,IMEXP(IMPRODUCT(Lambda_4,'Thin theory'!P80))))</f>
        <v>1.32119781047045E-07-1.59485302465838E-18i</v>
      </c>
      <c r="V80" s="36" t="str">
        <f>IMSUM(IMPRODUCT(-1,uc),Nz/Cs*'Thin theory'!P80,IMPRODUCT(-nu/rad,IMSUM(wm*'Thin theory'!P80,IMPRODUCT(IMDIV(w_a1,Lambda_1),Cj_1,IMEXP(IMPRODUCT(Lambda_1,'Thin theory'!P80))),IMPRODUCT(IMDIV(w_a2,Lambda_2),Cj_2,IMEXP(IMPRODUCT(Lambda_2,'Thin theory'!P80))),IMPRODUCT(IMDIV(w_a3,Lambda_3),Cj_3,IMEXP(IMPRODUCT(Lambda_3,'Thin theory'!P80))),IMPRODUCT(IMDIV(w_a4,Lambda_4),Cj_4,IMEXP(IMPRODUCT(Lambda_4,'Thin theory'!P80))))))</f>
        <v>0.0000116293250949928+1.38674935450913E-19i</v>
      </c>
      <c r="W80" s="36" t="str">
        <f t="shared" si="25"/>
        <v>-4.90197878963607E-06-1.50012976030085E-19i</v>
      </c>
      <c r="X80" s="41">
        <f t="shared" si="37"/>
        <v>1.1629325094992799E-5</v>
      </c>
      <c r="Y80" s="41">
        <f t="shared" si="38"/>
        <v>5.8663131606011303E-6</v>
      </c>
      <c r="Z80" s="38">
        <f t="shared" si="26"/>
        <v>-1.0000000000000004</v>
      </c>
      <c r="AA80" s="38">
        <f t="shared" si="27"/>
        <v>-6.5347473575954926E-2</v>
      </c>
      <c r="AB80" s="38">
        <f t="shared" si="28"/>
        <v>-1.4264167401616538E-2</v>
      </c>
      <c r="AC80" s="38">
        <f t="shared" si="29"/>
        <v>-4.2792502204849611E-3</v>
      </c>
      <c r="AD80" s="38">
        <f t="shared" si="30"/>
        <v>-1.0855850044096997</v>
      </c>
      <c r="AE80" s="38">
        <f t="shared" si="31"/>
        <v>-1.0000000000000004</v>
      </c>
      <c r="AF80" s="38">
        <f t="shared" si="32"/>
        <v>-0.91441499559030126</v>
      </c>
      <c r="AG80" s="38">
        <f t="shared" si="33"/>
        <v>-9.1022974898864684E-2</v>
      </c>
      <c r="AH80" s="38">
        <f t="shared" si="34"/>
        <v>-6.5347473575954926E-2</v>
      </c>
      <c r="AI80" s="38">
        <f t="shared" si="35"/>
        <v>-3.9671972253045161E-2</v>
      </c>
    </row>
    <row r="81" spans="17:35" x14ac:dyDescent="0.3">
      <c r="Q81" s="36" t="str">
        <f>IMSUM(wm,IMPRODUCT(w_a1,Cj_1,IMEXP(IMPRODUCT(Lambda_1,'Thin theory'!P81))),IMPRODUCT(w_a2,Cj_2,IMEXP(IMPRODUCT(Lambda_2,'Thin theory'!P81))),IMPRODUCT(w_a3,Cj_3,IMEXP(IMPRODUCT(Lambda_3,'Thin theory'!P81))),IMPRODUCT(w_a4,Cj_4,IMEXP(IMPRODUCT(Lambda_4,'Thin theory'!P81))))</f>
        <v>5.66445774483784E-06+2.5613019010439E-18i</v>
      </c>
      <c r="R81" s="36" t="str">
        <f>IMSUM(IMPRODUCT(w_b1,Cj_1,IMEXP(IMPRODUCT(Lambda_1,'Thin theory'!P81))),IMPRODUCT(w_b2,Cj_2,IMEXP(IMPRODUCT(Lambda_2,'Thin theory'!P81))),IMPRODUCT(w_b3,Cj_3,IMEXP(IMPRODUCT(Lambda_3,'Thin theory'!P81))),IMPRODUCT(w_b4,Cj_4,IMEXP(IMPRODUCT(Lambda_4,'Thin theory'!P81))))</f>
        <v>-1.86063722420056E-06+4.79400795811233E-19i</v>
      </c>
      <c r="S81" s="36" t="str">
        <f>IMSUM(IMPRODUCT(beta_a1,Cj_1,IMEXP(IMPRODUCT(Lambda_1,'Thin theory'!P81))),IMPRODUCT(beta_a2,Cj_2,IMEXP(IMPRODUCT(Lambda_2,'Thin theory'!P81))),IMPRODUCT(beta_a3,Cj_3,IMEXP(IMPRODUCT(Lambda_3,'Thin theory'!P81))),IMPRODUCT(beta_a4,Cj_4,IMEXP(IMPRODUCT(Lambda_4,'Thin theory'!P81))))</f>
        <v>-1.79869986385055E-06-1.20652564146985E-20i</v>
      </c>
      <c r="T81" s="36" t="str">
        <f>IMSUM(IMPRODUCT(beta_b1,Cj_1,IMEXP(IMPRODUCT(Lambda_1,'Thin theory'!P81))),IMPRODUCT(beta_b2,Cj_2,IMEXP(IMPRODUCT(Lambda_2,'Thin theory'!P81))),IMPRODUCT(beta_b3,Cj_3,IMEXP(IMPRODUCT(Lambda_3,'Thin theory'!P81))),IMPRODUCT(beta_b4,Cj_4,IMEXP(IMPRODUCT(Lambda_4,'Thin theory'!P81))))</f>
        <v>-7.5941125054447E-07-1.43499954410189E-18i</v>
      </c>
      <c r="U81" s="36" t="str">
        <f>IMSUM(IMPRODUCT(Lambda_1,beta_b1,Cj_1,IMEXP(IMPRODUCT(Lambda_1,'Thin theory'!P81))),IMPRODUCT(Lambda_2,beta_b2,Cj_2,IMEXP(IMPRODUCT(Lambda_2,'Thin theory'!P81))),IMPRODUCT(Lambda_3,beta_b3,Cj_3,IMEXP(IMPRODUCT(Lambda_3,'Thin theory'!P81))),IMPRODUCT(Lambda_4,beta_b4,Cj_4,IMEXP(IMPRODUCT(Lambda_4,'Thin theory'!P81))))</f>
        <v>2.16780761225047E-07-1.71789448641442E-18i</v>
      </c>
      <c r="V81" s="36" t="str">
        <f>IMSUM(IMPRODUCT(-1,uc),Nz/Cs*'Thin theory'!P81,IMPRODUCT(-nu/rad,IMSUM(wm*'Thin theory'!P81,IMPRODUCT(IMDIV(w_a1,Lambda_1),Cj_1,IMEXP(IMPRODUCT(Lambda_1,'Thin theory'!P81))),IMPRODUCT(IMDIV(w_a2,Lambda_2),Cj_2,IMEXP(IMPRODUCT(Lambda_2,'Thin theory'!P81))),IMPRODUCT(IMDIV(w_a3,Lambda_3),Cj_3,IMEXP(IMPRODUCT(Lambda_3,'Thin theory'!P81))),IMPRODUCT(IMDIV(w_a4,Lambda_4),Cj_4,IMEXP(IMPRODUCT(Lambda_4,'Thin theory'!P81))))))</f>
        <v>0.0000110819373561368+1.21275058916962E-19i</v>
      </c>
      <c r="W81" s="36" t="str">
        <f t="shared" si="25"/>
        <v>-4.88986746469027E-06-1.53678114062634E-19i</v>
      </c>
      <c r="X81" s="41">
        <f t="shared" si="37"/>
        <v>1.1081937356136799E-5</v>
      </c>
      <c r="Y81" s="41">
        <f t="shared" si="38"/>
        <v>5.6644577448378399E-6</v>
      </c>
      <c r="Z81" s="38">
        <f t="shared" si="26"/>
        <v>-0.99999999999999989</v>
      </c>
      <c r="AA81" s="38">
        <f t="shared" si="27"/>
        <v>-7.3421690206486409E-2</v>
      </c>
      <c r="AB81" s="38">
        <f t="shared" si="28"/>
        <v>-1.390863096235293E-2</v>
      </c>
      <c r="AC81" s="38">
        <f t="shared" si="29"/>
        <v>-4.1725892887058786E-3</v>
      </c>
      <c r="AD81" s="38">
        <f t="shared" si="30"/>
        <v>-1.0834517857741175</v>
      </c>
      <c r="AE81" s="38">
        <f t="shared" si="31"/>
        <v>-0.99999999999999989</v>
      </c>
      <c r="AF81" s="38">
        <f t="shared" si="32"/>
        <v>-0.91654821422588229</v>
      </c>
      <c r="AG81" s="38">
        <f t="shared" si="33"/>
        <v>-9.8457225938721679E-2</v>
      </c>
      <c r="AH81" s="38">
        <f t="shared" si="34"/>
        <v>-7.3421690206486409E-2</v>
      </c>
      <c r="AI81" s="38">
        <f t="shared" si="35"/>
        <v>-4.8386154474251139E-2</v>
      </c>
    </row>
    <row r="82" spans="17:35" x14ac:dyDescent="0.3">
      <c r="Q82" s="36" t="str">
        <f>IMSUM(wm,IMPRODUCT(w_a1,Cj_1,IMEXP(IMPRODUCT(Lambda_1,'Thin theory'!P82))),IMPRODUCT(w_a2,Cj_2,IMEXP(IMPRODUCT(Lambda_2,'Thin theory'!P82))),IMPRODUCT(w_a3,Cj_3,IMEXP(IMPRODUCT(Lambda_3,'Thin theory'!P82))),IMPRODUCT(w_a4,Cj_4,IMEXP(IMPRODUCT(Lambda_4,'Thin theory'!P82))))</f>
        <v>5.45025507868158E-06+2.60609869429732E-18i</v>
      </c>
      <c r="R82" s="36" t="str">
        <f>IMSUM(IMPRODUCT(w_b1,Cj_1,IMEXP(IMPRODUCT(Lambda_1,'Thin theory'!P82))),IMPRODUCT(w_b2,Cj_2,IMEXP(IMPRODUCT(Lambda_2,'Thin theory'!P82))),IMPRODUCT(w_b3,Cj_3,IMEXP(IMPRODUCT(Lambda_3,'Thin theory'!P82))),IMPRODUCT(w_b4,Cj_4,IMEXP(IMPRODUCT(Lambda_4,'Thin theory'!P82))))</f>
        <v>-0.0000019710864693427+3.43900339668921E-19i</v>
      </c>
      <c r="S82" s="36" t="str">
        <f>IMSUM(IMPRODUCT(beta_a1,Cj_1,IMEXP(IMPRODUCT(Lambda_1,'Thin theory'!P82))),IMPRODUCT(beta_a2,Cj_2,IMEXP(IMPRODUCT(Lambda_2,'Thin theory'!P82))),IMPRODUCT(beta_a3,Cj_3,IMEXP(IMPRODUCT(Lambda_3,'Thin theory'!P82))),IMPRODUCT(beta_a4,Cj_4,IMEXP(IMPRODUCT(Lambda_4,'Thin theory'!P82))))</f>
        <v>-1.88205763892401E-06-1.83058378280435E-19i</v>
      </c>
      <c r="T82" s="36" t="str">
        <f>IMSUM(IMPRODUCT(beta_b1,Cj_1,IMEXP(IMPRODUCT(Lambda_1,'Thin theory'!P82))),IMPRODUCT(beta_b2,Cj_2,IMEXP(IMPRODUCT(Lambda_2,'Thin theory'!P82))),IMPRODUCT(beta_b3,Cj_3,IMEXP(IMPRODUCT(Lambda_3,'Thin theory'!P82))),IMPRODUCT(beta_b4,Cj_4,IMEXP(IMPRODUCT(Lambda_4,'Thin theory'!P82))))</f>
        <v>-7.29971279836054E-07-1.6340423605393E-18i</v>
      </c>
      <c r="U82" s="36" t="str">
        <f>IMSUM(IMPRODUCT(Lambda_1,beta_b1,Cj_1,IMEXP(IMPRODUCT(Lambda_1,'Thin theory'!P82))),IMPRODUCT(Lambda_2,beta_b2,Cj_2,IMEXP(IMPRODUCT(Lambda_2,'Thin theory'!P82))),IMPRODUCT(Lambda_3,beta_b3,Cj_3,IMEXP(IMPRODUCT(Lambda_3,'Thin theory'!P82))),IMPRODUCT(Lambda_4,beta_b4,Cj_4,IMEXP(IMPRODUCT(Lambda_4,'Thin theory'!P82))))</f>
        <v>3.11600906465418E-07-1.84390056348584E-18i</v>
      </c>
      <c r="V82" s="36" t="str">
        <f>IMSUM(IMPRODUCT(-1,uc),Nz/Cs*'Thin theory'!P82,IMPRODUCT(-nu/rad,IMSUM(wm*'Thin theory'!P82,IMPRODUCT(IMDIV(w_a1,Lambda_1),Cj_1,IMEXP(IMPRODUCT(Lambda_1,'Thin theory'!P82))),IMPRODUCT(IMDIV(w_a2,Lambda_2),Cj_2,IMEXP(IMPRODUCT(Lambda_2,'Thin theory'!P82))),IMPRODUCT(IMDIV(w_a3,Lambda_3),Cj_3,IMEXP(IMPRODUCT(Lambda_3,'Thin theory'!P82))),IMPRODUCT(IMDIV(w_a4,Lambda_4),Cj_4,IMEXP(IMPRODUCT(Lambda_4,'Thin theory'!P82))))))</f>
        <v>0.0000105359451069872+1.044656900787E-19i</v>
      </c>
      <c r="W82" s="36" t="str">
        <f t="shared" si="25"/>
        <v>-0.0000048770153047209-1.56365921657839E-19i</v>
      </c>
      <c r="X82" s="41">
        <f t="shared" si="37"/>
        <v>1.05359451069872E-5</v>
      </c>
      <c r="Y82" s="41">
        <f t="shared" si="38"/>
        <v>5.4502550786815803E-6</v>
      </c>
      <c r="Z82" s="38">
        <f t="shared" si="26"/>
        <v>-1.0000000000000011</v>
      </c>
      <c r="AA82" s="38">
        <f t="shared" si="27"/>
        <v>-8.1989796852737121E-2</v>
      </c>
      <c r="AB82" s="38">
        <f t="shared" si="28"/>
        <v>-1.336943735963469E-2</v>
      </c>
      <c r="AC82" s="38">
        <f t="shared" si="29"/>
        <v>-4.0108312078904066E-3</v>
      </c>
      <c r="AD82" s="38">
        <f t="shared" si="30"/>
        <v>-1.0802166241578093</v>
      </c>
      <c r="AE82" s="38">
        <f t="shared" si="31"/>
        <v>-1.0000000000000011</v>
      </c>
      <c r="AF82" s="38">
        <f t="shared" si="32"/>
        <v>-0.91978337584219294</v>
      </c>
      <c r="AG82" s="38">
        <f t="shared" si="33"/>
        <v>-0.10605478410007957</v>
      </c>
      <c r="AH82" s="38">
        <f t="shared" si="34"/>
        <v>-8.1989796852737121E-2</v>
      </c>
      <c r="AI82" s="38">
        <f t="shared" si="35"/>
        <v>-5.792480960539468E-2</v>
      </c>
    </row>
    <row r="83" spans="17:35" x14ac:dyDescent="0.3">
      <c r="Q83" s="36" t="str">
        <f>IMSUM(wm,IMPRODUCT(w_a1,Cj_1,IMEXP(IMPRODUCT(Lambda_1,'Thin theory'!P83))),IMPRODUCT(w_a2,Cj_2,IMEXP(IMPRODUCT(Lambda_2,'Thin theory'!P83))),IMPRODUCT(w_a3,Cj_3,IMEXP(IMPRODUCT(Lambda_3,'Thin theory'!P83))),IMPRODUCT(w_a4,Cj_4,IMEXP(IMPRODUCT(Lambda_4,'Thin theory'!P83))))</f>
        <v>5.22374022834144E-06+2.63616836392485E-18i</v>
      </c>
      <c r="R83" s="36" t="str">
        <f>IMSUM(IMPRODUCT(w_b1,Cj_1,IMEXP(IMPRODUCT(Lambda_1,'Thin theory'!P83))),IMPRODUCT(w_b2,Cj_2,IMEXP(IMPRODUCT(Lambda_2,'Thin theory'!P83))),IMPRODUCT(w_b3,Cj_3,IMEXP(IMPRODUCT(Lambda_3,'Thin theory'!P83))),IMPRODUCT(w_b4,Cj_4,IMEXP(IMPRODUCT(Lambda_4,'Thin theory'!P83))))</f>
        <v>-2.08070428044417E-06+1.85776493773284E-19i</v>
      </c>
      <c r="S83" s="36" t="str">
        <f>IMSUM(IMPRODUCT(beta_a1,Cj_1,IMEXP(IMPRODUCT(Lambda_1,'Thin theory'!P83))),IMPRODUCT(beta_a2,Cj_2,IMEXP(IMPRODUCT(Lambda_2,'Thin theory'!P83))),IMPRODUCT(beta_a3,Cj_3,IMEXP(IMPRODUCT(Lambda_3,'Thin theory'!P83))),IMPRODUCT(beta_a4,Cj_4,IMEXP(IMPRODUCT(Lambda_4,'Thin theory'!P83))))</f>
        <v>-1.96150919226828E-06-3.77083517122099E-19i</v>
      </c>
      <c r="T83" s="36" t="str">
        <f>IMSUM(IMPRODUCT(beta_b1,Cj_1,IMEXP(IMPRODUCT(Lambda_1,'Thin theory'!P83))),IMPRODUCT(beta_b2,Cj_2,IMEXP(IMPRODUCT(Lambda_2,'Thin theory'!P83))),IMPRODUCT(beta_b3,Cj_3,IMEXP(IMPRODUCT(Lambda_3,'Thin theory'!P83))),IMPRODUCT(beta_b4,Cj_4,IMEXP(IMPRODUCT(Lambda_4,'Thin theory'!P83))))</f>
        <v>-6.89334097067109E-07-1.84706122060641E-18i</v>
      </c>
      <c r="U83" s="36" t="str">
        <f>IMSUM(IMPRODUCT(Lambda_1,beta_b1,Cj_1,IMEXP(IMPRODUCT(Lambda_1,'Thin theory'!P83))),IMPRODUCT(Lambda_2,beta_b2,Cj_2,IMEXP(IMPRODUCT(Lambda_2,'Thin theory'!P83))),IMPRODUCT(Lambda_3,beta_b3,Cj_3,IMEXP(IMPRODUCT(Lambda_3,'Thin theory'!P83))),IMPRODUCT(Lambda_4,beta_b4,Cj_4,IMEXP(IMPRODUCT(Lambda_4,'Thin theory'!P83))))</f>
        <v>4.17182808615652E-07-1.97287125587266E-18i</v>
      </c>
      <c r="V83" s="36" t="str">
        <f>IMSUM(IMPRODUCT(-1,uc),Nz/Cs*'Thin theory'!P83,IMPRODUCT(-nu/rad,IMSUM(wm*'Thin theory'!P83,IMPRODUCT(IMDIV(w_a1,Lambda_1),Cj_1,IMEXP(IMPRODUCT(Lambda_1,'Thin theory'!P83))),IMPRODUCT(IMDIV(w_a2,Lambda_2),Cj_2,IMEXP(IMPRODUCT(Lambda_2,'Thin theory'!P83))),IMPRODUCT(IMDIV(w_a3,Lambda_3),Cj_3,IMEXP(IMPRODUCT(Lambda_3,'Thin theory'!P83))),IMPRODUCT(IMDIV(w_a4,Lambda_4),Cj_4,IMEXP(IMPRODUCT(Lambda_4,'Thin theory'!P83))))))</f>
        <v>9.99143112114935E-06+8.7070677366751E-20i</v>
      </c>
      <c r="W83" s="36" t="str">
        <f t="shared" si="25"/>
        <v>-4.86342441370049E-06-1.58170101835491E-19i</v>
      </c>
      <c r="X83" s="41">
        <f t="shared" si="37"/>
        <v>9.9914311211493508E-6</v>
      </c>
      <c r="Y83" s="41">
        <f t="shared" si="38"/>
        <v>5.2237402283414401E-6</v>
      </c>
      <c r="Z83" s="38">
        <f t="shared" si="26"/>
        <v>-1.0000000000000007</v>
      </c>
      <c r="AA83" s="38">
        <f t="shared" si="27"/>
        <v>-9.105039086634259E-2</v>
      </c>
      <c r="AB83" s="38">
        <f t="shared" si="28"/>
        <v>-1.2625166612950713E-2</v>
      </c>
      <c r="AC83" s="38">
        <f t="shared" si="29"/>
        <v>-3.7875499838852136E-3</v>
      </c>
      <c r="AD83" s="38">
        <f t="shared" si="30"/>
        <v>-1.075750999677705</v>
      </c>
      <c r="AE83" s="38">
        <f t="shared" si="31"/>
        <v>-1.0000000000000007</v>
      </c>
      <c r="AF83" s="38">
        <f t="shared" si="32"/>
        <v>-0.9242490003222964</v>
      </c>
      <c r="AG83" s="38">
        <f t="shared" si="33"/>
        <v>-0.11377569076965387</v>
      </c>
      <c r="AH83" s="38">
        <f t="shared" si="34"/>
        <v>-9.105039086634259E-2</v>
      </c>
      <c r="AI83" s="38">
        <f t="shared" si="35"/>
        <v>-6.8325090963031312E-2</v>
      </c>
    </row>
    <row r="84" spans="17:35" x14ac:dyDescent="0.3">
      <c r="Q84" s="36" t="str">
        <f>IMSUM(wm,IMPRODUCT(w_a1,Cj_1,IMEXP(IMPRODUCT(Lambda_1,'Thin theory'!P84))),IMPRODUCT(w_a2,Cj_2,IMEXP(IMPRODUCT(Lambda_2,'Thin theory'!P84))),IMPRODUCT(w_a3,Cj_3,IMEXP(IMPRODUCT(Lambda_3,'Thin theory'!P84))),IMPRODUCT(w_a4,Cj_4,IMEXP(IMPRODUCT(Lambda_4,'Thin theory'!P84))))</f>
        <v>4.98506910387557E-06+2.64823692906199E-18i</v>
      </c>
      <c r="R84" s="36" t="str">
        <f>IMSUM(IMPRODUCT(w_b1,Cj_1,IMEXP(IMPRODUCT(Lambda_1,'Thin theory'!P84))),IMPRODUCT(w_b2,Cj_2,IMEXP(IMPRODUCT(Lambda_2,'Thin theory'!P84))),IMPRODUCT(w_b3,Cj_3,IMEXP(IMPRODUCT(Lambda_3,'Thin theory'!P84))),IMPRODUCT(w_b4,Cj_4,IMEXP(IMPRODUCT(Lambda_4,'Thin theory'!P84))))</f>
        <v>-2.18834111489971E-06+3.7702892320167E-21i</v>
      </c>
      <c r="S84" s="36" t="str">
        <f>IMSUM(IMPRODUCT(beta_a1,Cj_1,IMEXP(IMPRODUCT(Lambda_1,'Thin theory'!P84))),IMPRODUCT(beta_a2,Cj_2,IMEXP(IMPRODUCT(Lambda_2,'Thin theory'!P84))),IMPRODUCT(beta_a3,Cj_3,IMEXP(IMPRODUCT(Lambda_3,'Thin theory'!P84))),IMPRODUCT(beta_a4,Cj_4,IMEXP(IMPRODUCT(Lambda_4,'Thin theory'!P84))))</f>
        <v>-2.03573412687304E-06-5.96094473546539E-19i</v>
      </c>
      <c r="T84" s="36" t="str">
        <f>IMSUM(IMPRODUCT(beta_b1,Cj_1,IMEXP(IMPRODUCT(Lambda_1,'Thin theory'!P84))),IMPRODUCT(beta_b2,Cj_2,IMEXP(IMPRODUCT(Lambda_2,'Thin theory'!P84))),IMPRODUCT(beta_b3,Cj_3,IMEXP(IMPRODUCT(Lambda_3,'Thin theory'!P84))),IMPRODUCT(beta_b4,Cj_4,IMEXP(IMPRODUCT(Lambda_4,'Thin theory'!P84))))</f>
        <v>-6.36263001736663E-07-2.07500903636887E-18i</v>
      </c>
      <c r="U84" s="36" t="str">
        <f>IMSUM(IMPRODUCT(Lambda_1,beta_b1,Cj_1,IMEXP(IMPRODUCT(Lambda_1,'Thin theory'!P84))),IMPRODUCT(Lambda_2,beta_b2,Cj_2,IMEXP(IMPRODUCT(Lambda_2,'Thin theory'!P84))),IMPRODUCT(Lambda_3,beta_b3,Cj_3,IMEXP(IMPRODUCT(Lambda_3,'Thin theory'!P84))),IMPRODUCT(Lambda_4,beta_b4,Cj_4,IMEXP(IMPRODUCT(Lambda_4,'Thin theory'!P84))))</f>
        <v>5.34124458093388E-07-2.10194824096819E-18i</v>
      </c>
      <c r="V84" s="36" t="str">
        <f>IMSUM(IMPRODUCT(-1,uc),Nz/Cs*'Thin theory'!P84,IMPRODUCT(-nu/rad,IMSUM(wm*'Thin theory'!P84,IMPRODUCT(IMDIV(w_a1,Lambda_1),Cj_1,IMEXP(IMPRODUCT(Lambda_1,'Thin theory'!P84))),IMPRODUCT(IMDIV(w_a2,Lambda_2),Cj_2,IMEXP(IMPRODUCT(Lambda_2,'Thin theory'!P84))),IMPRODUCT(IMDIV(w_a3,Lambda_3),Cj_3,IMEXP(IMPRODUCT(Lambda_3,'Thin theory'!P84))),IMPRODUCT(IMDIV(w_a4,Lambda_4),Cj_4,IMEXP(IMPRODUCT(Lambda_4,'Thin theory'!P84))))))</f>
        <v>9.44847754016421E-06+6.9078506426987E-20i</v>
      </c>
      <c r="W84" s="36" t="str">
        <f t="shared" si="25"/>
        <v>-4.84910414623253E-06-1.58894215743719E-19i</v>
      </c>
      <c r="X84" s="41">
        <f t="shared" si="37"/>
        <v>9.4484775401642097E-6</v>
      </c>
      <c r="Y84" s="41">
        <f t="shared" si="38"/>
        <v>4.9850691038755697E-6</v>
      </c>
      <c r="Z84" s="38">
        <f t="shared" si="26"/>
        <v>-0.99999999999999911</v>
      </c>
      <c r="AA84" s="38">
        <f t="shared" si="27"/>
        <v>-0.10059723584497691</v>
      </c>
      <c r="AB84" s="38">
        <f t="shared" si="28"/>
        <v>-1.1653168529975512E-2</v>
      </c>
      <c r="AC84" s="38">
        <f t="shared" si="29"/>
        <v>-3.4959505589926532E-3</v>
      </c>
      <c r="AD84" s="38">
        <f t="shared" si="30"/>
        <v>-1.0699190111798522</v>
      </c>
      <c r="AE84" s="38">
        <f t="shared" si="31"/>
        <v>-0.99999999999999911</v>
      </c>
      <c r="AF84" s="38">
        <f t="shared" si="32"/>
        <v>-0.930080988820146</v>
      </c>
      <c r="AG84" s="38">
        <f t="shared" si="33"/>
        <v>-0.12157293919893283</v>
      </c>
      <c r="AH84" s="38">
        <f t="shared" si="34"/>
        <v>-0.10059723584497691</v>
      </c>
      <c r="AI84" s="38">
        <f t="shared" si="35"/>
        <v>-7.9621532491020997E-2</v>
      </c>
    </row>
    <row r="85" spans="17:35" x14ac:dyDescent="0.3">
      <c r="Q85" s="36" t="str">
        <f>IMSUM(wm,IMPRODUCT(w_a1,Cj_1,IMEXP(IMPRODUCT(Lambda_1,'Thin theory'!P85))),IMPRODUCT(w_a2,Cj_2,IMEXP(IMPRODUCT(Lambda_2,'Thin theory'!P85))),IMPRODUCT(w_a3,Cj_3,IMEXP(IMPRODUCT(Lambda_3,'Thin theory'!P85))),IMPRODUCT(w_a4,Cj_4,IMEXP(IMPRODUCT(Lambda_4,'Thin theory'!P85))))</f>
        <v>4.73453416231883E-06+2.6361716726473E-18i</v>
      </c>
      <c r="R85" s="36" t="str">
        <f>IMSUM(IMPRODUCT(w_b1,Cj_1,IMEXP(IMPRODUCT(Lambda_1,'Thin theory'!P85))),IMPRODUCT(w_b2,Cj_2,IMEXP(IMPRODUCT(Lambda_2,'Thin theory'!P85))),IMPRODUCT(w_b3,Cj_3,IMEXP(IMPRODUCT(Lambda_3,'Thin theory'!P85))),IMPRODUCT(w_b4,Cj_4,IMEXP(IMPRODUCT(Lambda_4,'Thin theory'!P85))))</f>
        <v>-2.29270233537141E-06-2.05182150943779E-19i</v>
      </c>
      <c r="S85" s="36" t="str">
        <f>IMSUM(IMPRODUCT(beta_a1,Cj_1,IMEXP(IMPRODUCT(Lambda_1,'Thin theory'!P85))),IMPRODUCT(beta_a2,Cj_2,IMEXP(IMPRODUCT(Lambda_2,'Thin theory'!P85))),IMPRODUCT(beta_a3,Cj_3,IMEXP(IMPRODUCT(Lambda_3,'Thin theory'!P85))),IMPRODUCT(beta_a4,Cj_4,IMEXP(IMPRODUCT(Lambda_4,'Thin theory'!P85))))</f>
        <v>-2.10327006018063E-06-8.42155890362688E-19i</v>
      </c>
      <c r="T85" s="36" t="str">
        <f>IMSUM(IMPRODUCT(beta_b1,Cj_1,IMEXP(IMPRODUCT(Lambda_1,'Thin theory'!P85))),IMPRODUCT(beta_b2,Cj_2,IMEXP(IMPRODUCT(Lambda_2,'Thin theory'!P85))),IMPRODUCT(beta_b3,Cj_3,IMEXP(IMPRODUCT(Lambda_3,'Thin theory'!P85))),IMPRODUCT(beta_b4,Cj_4,IMEXP(IMPRODUCT(Lambda_4,'Thin theory'!P85))))</f>
        <v>-5.69454982192159E-07-2.31693289576103E-18i</v>
      </c>
      <c r="U85" s="36" t="str">
        <f>IMSUM(IMPRODUCT(Lambda_1,beta_b1,Cj_1,IMEXP(IMPRODUCT(Lambda_1,'Thin theory'!P85))),IMPRODUCT(Lambda_2,beta_b2,Cj_2,IMEXP(IMPRODUCT(Lambda_2,'Thin theory'!P85))),IMPRODUCT(Lambda_3,beta_b3,Cj_3,IMEXP(IMPRODUCT(Lambda_3,'Thin theory'!P85))),IMPRODUCT(Lambda_4,beta_b4,Cj_4,IMEXP(IMPRODUCT(Lambda_4,'Thin theory'!P85))))</f>
        <v>6.63012963167739E-07-2.22986014217094E-18i</v>
      </c>
      <c r="V85" s="36" t="str">
        <f>IMSUM(IMPRODUCT(-1,uc),Nz/Cs*'Thin theory'!P85,IMPRODUCT(-nu/rad,IMSUM(wm*'Thin theory'!P85,IMPRODUCT(IMDIV(w_a1,Lambda_1),Cj_1,IMEXP(IMPRODUCT(Lambda_1,'Thin theory'!P85))),IMPRODUCT(IMDIV(w_a2,Lambda_2),Cj_2,IMEXP(IMPRODUCT(Lambda_2,'Thin theory'!P85))),IMPRODUCT(IMDIV(w_a3,Lambda_3),Cj_3,IMEXP(IMPRODUCT(Lambda_3,'Thin theory'!P85))),IMPRODUCT(IMDIV(w_a4,Lambda_4),Cj_4,IMEXP(IMPRODUCT(Lambda_4,'Thin theory'!P85))))))</f>
        <v>0.000008907165010772+5.1073629993015E-20i</v>
      </c>
      <c r="W85" s="36" t="str">
        <f t="shared" si="25"/>
        <v>-4.83407204973913E-06-1.58170300358838E-19i</v>
      </c>
      <c r="X85" s="41">
        <f t="shared" si="37"/>
        <v>8.9071650107720002E-6</v>
      </c>
      <c r="Y85" s="41">
        <f t="shared" si="38"/>
        <v>4.7345341623188302E-6</v>
      </c>
      <c r="Z85" s="38">
        <f t="shared" si="26"/>
        <v>-1</v>
      </c>
      <c r="AA85" s="38">
        <f t="shared" si="27"/>
        <v>-0.11061863350724678</v>
      </c>
      <c r="AB85" s="38">
        <f t="shared" si="28"/>
        <v>-1.0429578428427821E-2</v>
      </c>
      <c r="AC85" s="38">
        <f t="shared" si="29"/>
        <v>-3.1288735285283464E-3</v>
      </c>
      <c r="AD85" s="38">
        <f t="shared" si="30"/>
        <v>-1.0625774705705668</v>
      </c>
      <c r="AE85" s="38">
        <f t="shared" si="31"/>
        <v>-1</v>
      </c>
      <c r="AF85" s="38">
        <f t="shared" si="32"/>
        <v>-0.93742252942943305</v>
      </c>
      <c r="AG85" s="38">
        <f t="shared" si="33"/>
        <v>-0.12939187467841687</v>
      </c>
      <c r="AH85" s="38">
        <f t="shared" si="34"/>
        <v>-0.11061863350724678</v>
      </c>
      <c r="AI85" s="38">
        <f t="shared" si="35"/>
        <v>-9.1845392336076706E-2</v>
      </c>
    </row>
    <row r="86" spans="17:35" x14ac:dyDescent="0.3">
      <c r="Q86" s="36" t="str">
        <f>IMSUM(wm,IMPRODUCT(w_a1,Cj_1,IMEXP(IMPRODUCT(Lambda_1,'Thin theory'!P86))),IMPRODUCT(w_a2,Cj_2,IMEXP(IMPRODUCT(Lambda_2,'Thin theory'!P86))),IMPRODUCT(w_a3,Cj_3,IMEXP(IMPRODUCT(Lambda_3,'Thin theory'!P86))),IMPRODUCT(w_a4,Cj_4,IMEXP(IMPRODUCT(Lambda_4,'Thin theory'!P86))))</f>
        <v>0.0000044725811520715+2.60122660048938E-18i</v>
      </c>
      <c r="R86" s="36" t="str">
        <f>IMSUM(IMPRODUCT(w_b1,Cj_1,IMEXP(IMPRODUCT(Lambda_1,'Thin theory'!P86))),IMPRODUCT(w_b2,Cj_2,IMEXP(IMPRODUCT(Lambda_2,'Thin theory'!P86))),IMPRODUCT(w_b3,Cj_3,IMEXP(IMPRODUCT(Lambda_3,'Thin theory'!P86))),IMPRODUCT(w_b4,Cj_4,IMEXP(IMPRODUCT(Lambda_4,'Thin theory'!P86))))</f>
        <v>-2.39233885744989E-06-4.42144581021844E-19i</v>
      </c>
      <c r="S86" s="36" t="str">
        <f>IMSUM(IMPRODUCT(beta_a1,Cj_1,IMEXP(IMPRODUCT(Lambda_1,'Thin theory'!P86))),IMPRODUCT(beta_a2,Cj_2,IMEXP(IMPRODUCT(Lambda_2,'Thin theory'!P86))),IMPRODUCT(beta_a3,Cj_3,IMEXP(IMPRODUCT(Lambda_3,'Thin theory'!P86))),IMPRODUCT(beta_a4,Cj_4,IMEXP(IMPRODUCT(Lambda_4,'Thin theory'!P86))))</f>
        <v>-2.16250529259777E-06-1.11513376431131E-18i</v>
      </c>
      <c r="T86" s="36" t="str">
        <f>IMSUM(IMPRODUCT(beta_b1,Cj_1,IMEXP(IMPRODUCT(Lambda_1,'Thin theory'!P86))),IMPRODUCT(beta_b2,Cj_2,IMEXP(IMPRODUCT(Lambda_2,'Thin theory'!P86))),IMPRODUCT(beta_b3,Cj_3,IMEXP(IMPRODUCT(Lambda_3,'Thin theory'!P86))),IMPRODUCT(beta_b4,Cj_4,IMEXP(IMPRODUCT(Lambda_4,'Thin theory'!P86))))</f>
        <v>-4.8754232006345E-07-2.57008986787166E-18i</v>
      </c>
      <c r="U86" s="36" t="str">
        <f>IMSUM(IMPRODUCT(Lambda_1,beta_b1,Cj_1,IMEXP(IMPRODUCT(Lambda_1,'Thin theory'!P86))),IMPRODUCT(Lambda_2,beta_b2,Cj_2,IMEXP(IMPRODUCT(Lambda_2,'Thin theory'!P86))),IMPRODUCT(Lambda_3,beta_b3,Cj_3,IMEXP(IMPRODUCT(Lambda_3,'Thin theory'!P86))),IMPRODUCT(Lambda_4,beta_b4,Cj_4,IMEXP(IMPRODUCT(Lambda_4,'Thin theory'!P86))))</f>
        <v>8.04417476982426E-07-2.35893671367617E-18i</v>
      </c>
      <c r="V86" s="36" t="str">
        <f>IMSUM(IMPRODUCT(-1,uc),Nz/Cs*'Thin theory'!P86,IMPRODUCT(-nu/rad,IMSUM(wm*'Thin theory'!P86,IMPRODUCT(IMDIV(w_a1,Lambda_1),Cj_1,IMEXP(IMPRODUCT(Lambda_1,'Thin theory'!P86))),IMPRODUCT(IMDIV(w_a2,Lambda_2),Cj_2,IMEXP(IMPRODUCT(Lambda_2,'Thin theory'!P86))),IMPRODUCT(IMDIV(w_a3,Lambda_3),Cj_3,IMEXP(IMPRODUCT(Lambda_3,'Thin theory'!P86))),IMPRODUCT(IMDIV(w_a4,Lambda_4),Cj_4,IMEXP(IMPRODUCT(Lambda_4,'Thin theory'!P86))))))</f>
        <v>8.36757171334963E-06+3.366586215602E-20i</v>
      </c>
      <c r="W86" s="36" t="str">
        <f t="shared" si="25"/>
        <v>-4.81835486912429E-06-1.56073596029363E-19i</v>
      </c>
      <c r="X86" s="41">
        <f t="shared" si="37"/>
        <v>8.3675717133496301E-6</v>
      </c>
      <c r="Y86" s="41">
        <f t="shared" si="38"/>
        <v>4.4725811520715002E-6</v>
      </c>
      <c r="Z86" s="38">
        <f t="shared" si="26"/>
        <v>-1</v>
      </c>
      <c r="AA86" s="38">
        <f t="shared" si="27"/>
        <v>-0.12109675391714</v>
      </c>
      <c r="AB86" s="38">
        <f t="shared" si="28"/>
        <v>-8.9293465213086069E-3</v>
      </c>
      <c r="AC86" s="38">
        <f t="shared" si="29"/>
        <v>-2.6788039563925819E-3</v>
      </c>
      <c r="AD86" s="38">
        <f t="shared" si="30"/>
        <v>-1.0535760791278517</v>
      </c>
      <c r="AE86" s="38">
        <f t="shared" si="31"/>
        <v>-1</v>
      </c>
      <c r="AF86" s="38">
        <f t="shared" si="32"/>
        <v>-0.94642392087214833</v>
      </c>
      <c r="AG86" s="38">
        <f t="shared" si="33"/>
        <v>-0.13716957765549551</v>
      </c>
      <c r="AH86" s="38">
        <f t="shared" si="34"/>
        <v>-0.12109675391714</v>
      </c>
      <c r="AI86" s="38">
        <f t="shared" si="35"/>
        <v>-0.10502393017878452</v>
      </c>
    </row>
    <row r="87" spans="17:35" x14ac:dyDescent="0.3">
      <c r="Q87" s="36" t="str">
        <f>IMSUM(wm,IMPRODUCT(w_a1,Cj_1,IMEXP(IMPRODUCT(Lambda_1,'Thin theory'!P87))),IMPRODUCT(w_a2,Cj_2,IMEXP(IMPRODUCT(Lambda_2,'Thin theory'!P87))),IMPRODUCT(w_a3,Cj_3,IMEXP(IMPRODUCT(Lambda_3,'Thin theory'!P87))),IMPRODUCT(w_a4,Cj_4,IMEXP(IMPRODUCT(Lambda_4,'Thin theory'!P87))))</f>
        <v>4.19982690452091E-06+2.53621682178761E-18i</v>
      </c>
      <c r="R87" s="36" t="str">
        <f>IMSUM(IMPRODUCT(w_b1,Cj_1,IMEXP(IMPRODUCT(Lambda_1,'Thin theory'!P87))),IMPRODUCT(w_b2,Cj_2,IMEXP(IMPRODUCT(Lambda_2,'Thin theory'!P87))),IMPRODUCT(w_b3,Cj_3,IMEXP(IMPRODUCT(Lambda_3,'Thin theory'!P87))),IMPRODUCT(w_b4,Cj_4,IMEXP(IMPRODUCT(Lambda_4,'Thin theory'!P87))))</f>
        <v>-2.48563778169347E-06-7.09095617027408E-19i</v>
      </c>
      <c r="S87" s="36" t="str">
        <f>IMSUM(IMPRODUCT(beta_a1,Cj_1,IMEXP(IMPRODUCT(Lambda_1,'Thin theory'!P87))),IMPRODUCT(beta_a2,Cj_2,IMEXP(IMPRODUCT(Lambda_2,'Thin theory'!P87))),IMPRODUCT(beta_a3,Cj_3,IMEXP(IMPRODUCT(Lambda_3,'Thin theory'!P87))),IMPRODUCT(beta_a4,Cj_4,IMEXP(IMPRODUCT(Lambda_4,'Thin theory'!P87))))</f>
        <v>-2.21167170132473E-06-1.41815980119154E-18i</v>
      </c>
      <c r="T87" s="36" t="str">
        <f>IMSUM(IMPRODUCT(beta_b1,Cj_1,IMEXP(IMPRODUCT(Lambda_1,'Thin theory'!P87))),IMPRODUCT(beta_b2,Cj_2,IMEXP(IMPRODUCT(Lambda_2,'Thin theory'!P87))),IMPRODUCT(beta_b3,Cj_3,IMEXP(IMPRODUCT(Lambda_3,'Thin theory'!P87))),IMPRODUCT(beta_b4,Cj_4,IMEXP(IMPRODUCT(Lambda_4,'Thin theory'!P87))))</f>
        <v>-3.89095032144312E-07-2.85003342975859E-18i</v>
      </c>
      <c r="U87" s="36" t="str">
        <f>IMSUM(IMPRODUCT(Lambda_1,beta_b1,Cj_1,IMEXP(IMPRODUCT(Lambda_1,'Thin theory'!P87))),IMPRODUCT(Lambda_2,beta_b2,Cj_2,IMEXP(IMPRODUCT(Lambda_2,'Thin theory'!P87))),IMPRODUCT(Lambda_3,beta_b3,Cj_3,IMEXP(IMPRODUCT(Lambda_3,'Thin theory'!P87))),IMPRODUCT(Lambda_4,beta_b4,Cj_4,IMEXP(IMPRODUCT(Lambda_4,'Thin theory'!P87))))</f>
        <v>9.58881281290583E-07-2.48398015930974E-18i</v>
      </c>
      <c r="V87" s="36" t="str">
        <f>IMSUM(IMPRODUCT(-1,uc),Nz/Cs*'Thin theory'!P87,IMPRODUCT(-nu/rad,IMSUM(wm*'Thin theory'!P87,IMPRODUCT(IMDIV(w_a1,Lambda_1),Cj_1,IMEXP(IMPRODUCT(Lambda_1,'Thin theory'!P87))),IMPRODUCT(IMDIV(w_a2,Lambda_2),Cj_2,IMEXP(IMPRODUCT(Lambda_2,'Thin theory'!P87))),IMPRODUCT(IMDIV(w_a3,Lambda_3),Cj_3,IMEXP(IMPRODUCT(Lambda_3,'Thin theory'!P87))),IMPRODUCT(IMDIV(w_a4,Lambda_4),Cj_4,IMEXP(IMPRODUCT(Lambda_4,'Thin theory'!P87))))))</f>
        <v>7.82977227451151E-06+1.6270849444072E-20i</v>
      </c>
      <c r="W87" s="36" t="str">
        <f t="shared" si="25"/>
        <v>-4.80198961427126E-06-1.52173009307257E-19i</v>
      </c>
      <c r="X87" s="41">
        <f t="shared" si="37"/>
        <v>7.8297722745115105E-6</v>
      </c>
      <c r="Y87" s="41">
        <f t="shared" si="38"/>
        <v>4.1998269045209102E-6</v>
      </c>
      <c r="Z87" s="38">
        <f t="shared" si="26"/>
        <v>-1.0000000000000011</v>
      </c>
      <c r="AA87" s="38">
        <f t="shared" si="27"/>
        <v>-0.13200692381916398</v>
      </c>
      <c r="AB87" s="38">
        <f t="shared" si="28"/>
        <v>-7.1262826400057145E-3</v>
      </c>
      <c r="AC87" s="38">
        <f t="shared" si="29"/>
        <v>-2.1378847920017143E-3</v>
      </c>
      <c r="AD87" s="38">
        <f t="shared" si="30"/>
        <v>-1.0427576958400353</v>
      </c>
      <c r="AE87" s="38">
        <f t="shared" si="31"/>
        <v>-1.0000000000000011</v>
      </c>
      <c r="AF87" s="38">
        <f t="shared" si="32"/>
        <v>-0.95724230415996681</v>
      </c>
      <c r="AG87" s="38">
        <f t="shared" si="33"/>
        <v>-0.14483423257117428</v>
      </c>
      <c r="AH87" s="38">
        <f t="shared" si="34"/>
        <v>-0.13200692381916398</v>
      </c>
      <c r="AI87" s="38">
        <f t="shared" si="35"/>
        <v>-0.1191796150671537</v>
      </c>
    </row>
    <row r="88" spans="17:35" x14ac:dyDescent="0.3">
      <c r="Q88" s="36" t="str">
        <f>IMSUM(wm,IMPRODUCT(w_a1,Cj_1,IMEXP(IMPRODUCT(Lambda_1,'Thin theory'!P88))),IMPRODUCT(w_a2,Cj_2,IMEXP(IMPRODUCT(Lambda_2,'Thin theory'!P88))),IMPRODUCT(w_a3,Cj_3,IMEXP(IMPRODUCT(Lambda_3,'Thin theory'!P88))),IMPRODUCT(w_a4,Cj_4,IMEXP(IMPRODUCT(Lambda_4,'Thin theory'!P88))))</f>
        <v>3.91707817002536E-06+2.44113075601342E-18i</v>
      </c>
      <c r="R88" s="36" t="str">
        <f>IMSUM(IMPRODUCT(w_b1,Cj_1,IMEXP(IMPRODUCT(Lambda_1,'Thin theory'!P88))),IMPRODUCT(w_b2,Cj_2,IMEXP(IMPRODUCT(Lambda_2,'Thin theory'!P88))),IMPRODUCT(w_b3,Cj_3,IMEXP(IMPRODUCT(Lambda_3,'Thin theory'!P88))),IMPRODUCT(w_b4,Cj_4,IMEXP(IMPRODUCT(Lambda_4,'Thin theory'!P88))))</f>
        <v>-2.57081309444864E-06-1.00808997560205E-18i</v>
      </c>
      <c r="S88" s="36" t="str">
        <f>IMSUM(IMPRODUCT(beta_a1,Cj_1,IMEXP(IMPRODUCT(Lambda_1,'Thin theory'!P88))),IMPRODUCT(beta_a2,Cj_2,IMEXP(IMPRODUCT(Lambda_2,'Thin theory'!P88))),IMPRODUCT(beta_a3,Cj_3,IMEXP(IMPRODUCT(Lambda_3,'Thin theory'!P88))),IMPRODUCT(beta_a4,Cj_4,IMEXP(IMPRODUCT(Lambda_4,'Thin theory'!P88))))</f>
        <v>-2.24883795850851E-06-1.7521984935976E-18i</v>
      </c>
      <c r="T88" s="36" t="str">
        <f>IMSUM(IMPRODUCT(beta_b1,Cj_1,IMEXP(IMPRODUCT(Lambda_1,'Thin theory'!P88))),IMPRODUCT(beta_b2,Cj_2,IMEXP(IMPRODUCT(Lambda_2,'Thin theory'!P88))),IMPRODUCT(beta_b3,Cj_3,IMEXP(IMPRODUCT(Lambda_3,'Thin theory'!P88))),IMPRODUCT(beta_b4,Cj_4,IMEXP(IMPRODUCT(Lambda_4,'Thin theory'!P88))))</f>
        <v>-2.72624246862483E-07-3.12996789265879E-18i</v>
      </c>
      <c r="U88" s="36" t="str">
        <f>IMSUM(IMPRODUCT(Lambda_1,beta_b1,Cj_1,IMEXP(IMPRODUCT(Lambda_1,'Thin theory'!P88))),IMPRODUCT(Lambda_2,beta_b2,Cj_2,IMEXP(IMPRODUCT(Lambda_2,'Thin theory'!P88))),IMPRODUCT(Lambda_3,beta_b3,Cj_3,IMEXP(IMPRODUCT(Lambda_3,'Thin theory'!P88))),IMPRODUCT(Lambda_4,beta_b4,Cj_4,IMEXP(IMPRODUCT(Lambda_4,'Thin theory'!P88))))</f>
        <v>1.12691297579046E-06-2.60597275604906E-18i</v>
      </c>
      <c r="V88" s="36" t="str">
        <f>IMSUM(IMPRODUCT(-1,uc),Nz/Cs*'Thin theory'!P88,IMPRODUCT(-nu/rad,IMSUM(wm*'Thin theory'!P88,IMPRODUCT(IMDIV(w_a1,Lambda_1),Cj_1,IMEXP(IMPRODUCT(Lambda_1,'Thin theory'!P88))),IMPRODUCT(IMDIV(w_a2,Lambda_2),Cj_2,IMEXP(IMPRODUCT(Lambda_2,'Thin theory'!P88))),IMPRODUCT(IMDIV(w_a3,Lambda_3),Cj_3,IMEXP(IMPRODUCT(Lambda_3,'Thin theory'!P88))),IMPRODUCT(IMDIV(w_a4,Lambda_4),Cj_4,IMEXP(IMPRODUCT(Lambda_4,'Thin theory'!P88))))))</f>
        <v>7.29383655685359E-06+7.01531877510055E-23i</v>
      </c>
      <c r="W88" s="36" t="str">
        <f t="shared" si="25"/>
        <v>-4.78502469020152E-06-1.46467845360805E-19i</v>
      </c>
      <c r="X88" s="41">
        <f t="shared" si="37"/>
        <v>7.2938365568535902E-6</v>
      </c>
      <c r="Y88" s="41">
        <f t="shared" si="38"/>
        <v>3.9170781700253597E-6</v>
      </c>
      <c r="Z88" s="38">
        <f t="shared" si="26"/>
        <v>-0.99999999999999956</v>
      </c>
      <c r="AA88" s="38">
        <f t="shared" si="27"/>
        <v>-0.14331687319898545</v>
      </c>
      <c r="AB88" s="38">
        <f t="shared" si="28"/>
        <v>-4.9931180744044509E-3</v>
      </c>
      <c r="AC88" s="38">
        <f t="shared" si="29"/>
        <v>-1.4979354223213352E-3</v>
      </c>
      <c r="AD88" s="38">
        <f t="shared" si="30"/>
        <v>-1.0299587084464263</v>
      </c>
      <c r="AE88" s="38">
        <f t="shared" si="31"/>
        <v>-0.99999999999999956</v>
      </c>
      <c r="AF88" s="38">
        <f t="shared" si="32"/>
        <v>-0.97004129155357288</v>
      </c>
      <c r="AG88" s="38">
        <f t="shared" si="33"/>
        <v>-0.15230448573291347</v>
      </c>
      <c r="AH88" s="38">
        <f t="shared" si="34"/>
        <v>-0.14331687319898545</v>
      </c>
      <c r="AI88" s="38">
        <f t="shared" si="35"/>
        <v>-0.13432926066505743</v>
      </c>
    </row>
    <row r="89" spans="17:35" x14ac:dyDescent="0.3">
      <c r="Q89" s="36" t="str">
        <f>IMSUM(wm,IMPRODUCT(w_a1,Cj_1,IMEXP(IMPRODUCT(Lambda_1,'Thin theory'!P89))),IMPRODUCT(w_a2,Cj_2,IMEXP(IMPRODUCT(Lambda_2,'Thin theory'!P89))),IMPRODUCT(w_a3,Cj_3,IMEXP(IMPRODUCT(Lambda_3,'Thin theory'!P89))),IMPRODUCT(w_a4,Cj_4,IMEXP(IMPRODUCT(Lambda_4,'Thin theory'!P89))))</f>
        <v>3.62535148533003E-06+2.31014670601565E-18i</v>
      </c>
      <c r="R89" s="36" t="str">
        <f>IMSUM(IMPRODUCT(w_b1,Cj_1,IMEXP(IMPRODUCT(Lambda_1,'Thin theory'!P89))),IMPRODUCT(w_b2,Cj_2,IMEXP(IMPRODUCT(Lambda_2,'Thin theory'!P89))),IMPRODUCT(w_b3,Cj_3,IMEXP(IMPRODUCT(Lambda_3,'Thin theory'!P89))),IMPRODUCT(w_b4,Cj_4,IMEXP(IMPRODUCT(Lambda_4,'Thin theory'!P89))))</f>
        <v>-0.0000026458965331441-1.3410798029914E-18i</v>
      </c>
      <c r="S89" s="36" t="str">
        <f>IMSUM(IMPRODUCT(beta_a1,Cj_1,IMEXP(IMPRODUCT(Lambda_1,'Thin theory'!P89))),IMPRODUCT(beta_a2,Cj_2,IMEXP(IMPRODUCT(Lambda_2,'Thin theory'!P89))),IMPRODUCT(beta_a3,Cj_3,IMEXP(IMPRODUCT(Lambda_3,'Thin theory'!P89))),IMPRODUCT(beta_a4,Cj_4,IMEXP(IMPRODUCT(Lambda_4,'Thin theory'!P89))))</f>
        <v>-2.27190318390631E-06-2.12001097041421E-18i</v>
      </c>
      <c r="T89" s="36" t="str">
        <f>IMSUM(IMPRODUCT(beta_b1,Cj_1,IMEXP(IMPRODUCT(Lambda_1,'Thin theory'!P89))),IMPRODUCT(beta_b2,Cj_2,IMEXP(IMPRODUCT(Lambda_2,'Thin theory'!P89))),IMPRODUCT(beta_b3,Cj_3,IMEXP(IMPRODUCT(Lambda_3,'Thin theory'!P89))),IMPRODUCT(beta_b4,Cj_4,IMEXP(IMPRODUCT(Lambda_4,'Thin theory'!P89))))</f>
        <v>-1.36586618176827E-07-3.41985499268922E-18i</v>
      </c>
      <c r="U89" s="36" t="str">
        <f>IMSUM(IMPRODUCT(Lambda_1,beta_b1,Cj_1,IMEXP(IMPRODUCT(Lambda_1,'Thin theory'!P89))),IMPRODUCT(Lambda_2,beta_b2,Cj_2,IMEXP(IMPRODUCT(Lambda_2,'Thin theory'!P89))),IMPRODUCT(Lambda_3,beta_b3,Cj_3,IMEXP(IMPRODUCT(Lambda_3,'Thin theory'!P89))),IMPRODUCT(Lambda_4,beta_b4,Cj_4,IMEXP(IMPRODUCT(Lambda_4,'Thin theory'!P89))))</f>
        <v>1.30897672233223E-06-2.72201720040109E-18i</v>
      </c>
      <c r="V89" s="36" t="str">
        <f>IMSUM(IMPRODUCT(-1,uc),Nz/Cs*'Thin theory'!P89,IMPRODUCT(-nu/rad,IMSUM(wm*'Thin theory'!P89,IMPRODUCT(IMDIV(w_a1,Lambda_1),Cj_1,IMEXP(IMPRODUCT(Lambda_1,'Thin theory'!P89))),IMPRODUCT(IMDIV(w_a2,Lambda_2),Cj_2,IMEXP(IMPRODUCT(Lambda_2,'Thin theory'!P89))),IMPRODUCT(IMDIV(w_a3,Lambda_3),Cj_3,IMEXP(IMPRODUCT(Lambda_3,'Thin theory'!P89))),IMPRODUCT(IMDIV(w_a4,Lambda_4),Cj_4,IMEXP(IMPRODUCT(Lambda_4,'Thin theory'!P89))))))</f>
        <v>6.75982831887174E-06-1.6129972313947E-20i</v>
      </c>
      <c r="W89" s="36" t="str">
        <f t="shared" si="25"/>
        <v>-0.0000047675210891198-1.38608802360939E-19i</v>
      </c>
      <c r="X89" s="41">
        <f t="shared" si="37"/>
        <v>6.7598283188717397E-6</v>
      </c>
      <c r="Y89" s="41">
        <f t="shared" si="38"/>
        <v>3.62535148533003E-6</v>
      </c>
      <c r="Z89" s="38">
        <f t="shared" si="26"/>
        <v>-0.99999999999999967</v>
      </c>
      <c r="AA89" s="38">
        <f t="shared" si="27"/>
        <v>-0.15498594058679868</v>
      </c>
      <c r="AB89" s="38">
        <f t="shared" si="28"/>
        <v>-2.5015864134949996E-3</v>
      </c>
      <c r="AC89" s="38">
        <f t="shared" si="29"/>
        <v>-7.5047592404849984E-4</v>
      </c>
      <c r="AD89" s="38">
        <f t="shared" si="30"/>
        <v>-1.0150095184809698</v>
      </c>
      <c r="AE89" s="38">
        <f t="shared" si="31"/>
        <v>-0.99999999999999967</v>
      </c>
      <c r="AF89" s="38">
        <f t="shared" si="32"/>
        <v>-0.98499048151902968</v>
      </c>
      <c r="AG89" s="38">
        <f t="shared" si="33"/>
        <v>-0.15948879613108968</v>
      </c>
      <c r="AH89" s="38">
        <f t="shared" si="34"/>
        <v>-0.15498594058679868</v>
      </c>
      <c r="AI89" s="38">
        <f t="shared" si="35"/>
        <v>-0.15048308504250768</v>
      </c>
    </row>
    <row r="90" spans="17:35" x14ac:dyDescent="0.3">
      <c r="Q90" s="36" t="str">
        <f>IMSUM(wm,IMPRODUCT(w_a1,Cj_1,IMEXP(IMPRODUCT(Lambda_1,'Thin theory'!P90))),IMPRODUCT(w_a2,Cj_2,IMEXP(IMPRODUCT(Lambda_2,'Thin theory'!P90))),IMPRODUCT(w_a3,Cj_3,IMEXP(IMPRODUCT(Lambda_3,'Thin theory'!P90))),IMPRODUCT(w_a4,Cj_4,IMEXP(IMPRODUCT(Lambda_4,'Thin theory'!P90))))</f>
        <v>0.0000033258940481184+2.14012221264721E-18i</v>
      </c>
      <c r="R90" s="36" t="str">
        <f>IMSUM(IMPRODUCT(w_b1,Cj_1,IMEXP(IMPRODUCT(Lambda_1,'Thin theory'!P90))),IMPRODUCT(w_b2,Cj_2,IMEXP(IMPRODUCT(Lambda_2,'Thin theory'!P90))),IMPRODUCT(w_b3,Cj_3,IMEXP(IMPRODUCT(Lambda_3,'Thin theory'!P90))),IMPRODUCT(w_b4,Cj_4,IMEXP(IMPRODUCT(Lambda_4,'Thin theory'!P90))))</f>
        <v>-2.70872872382119E-06-1.71026870834729E-18i</v>
      </c>
      <c r="S90" s="36" t="str">
        <f>IMSUM(IMPRODUCT(beta_a1,Cj_1,IMEXP(IMPRODUCT(Lambda_1,'Thin theory'!P90))),IMPRODUCT(beta_a2,Cj_2,IMEXP(IMPRODUCT(Lambda_2,'Thin theory'!P90))),IMPRODUCT(beta_a3,Cj_3,IMEXP(IMPRODUCT(Lambda_3,'Thin theory'!P90))),IMPRODUCT(beta_a4,Cj_4,IMEXP(IMPRODUCT(Lambda_4,'Thin theory'!P90))))</f>
        <v>-2.27859115405861E-06-2.52002227975505E-18i</v>
      </c>
      <c r="T90" s="36" t="str">
        <f>IMSUM(IMPRODUCT(beta_b1,Cj_1,IMEXP(IMPRODUCT(Lambda_1,'Thin theory'!P90))),IMPRODUCT(beta_b2,Cj_2,IMEXP(IMPRODUCT(Lambda_2,'Thin theory'!P90))),IMPRODUCT(beta_b3,Cj_3,IMEXP(IMPRODUCT(Lambda_3,'Thin theory'!P90))),IMPRODUCT(beta_b4,Cj_4,IMEXP(IMPRODUCT(Lambda_4,'Thin theory'!P90))))</f>
        <v>2.06101146332329E-08-3.74003427393196E-18i</v>
      </c>
      <c r="U90" s="36" t="str">
        <f>IMSUM(IMPRODUCT(Lambda_1,beta_b1,Cj_1,IMEXP(IMPRODUCT(Lambda_1,'Thin theory'!P90))),IMPRODUCT(Lambda_2,beta_b2,Cj_2,IMEXP(IMPRODUCT(Lambda_2,'Thin theory'!P90))),IMPRODUCT(Lambda_3,beta_b3,Cj_3,IMEXP(IMPRODUCT(Lambda_3,'Thin theory'!P90))),IMPRODUCT(Lambda_4,beta_b4,Cj_4,IMEXP(IMPRODUCT(Lambda_4,'Thin theory'!P90))))</f>
        <v>1.50548149416905E-06-2.8309728619999E-18i</v>
      </c>
      <c r="V90" s="36" t="str">
        <f>IMSUM(IMPRODUCT(-1,uc),Nz/Cs*'Thin theory'!P90,IMPRODUCT(-nu/rad,IMSUM(wm*'Thin theory'!P90,IMPRODUCT(IMDIV(w_a1,Lambda_1),Cj_1,IMEXP(IMPRODUCT(Lambda_1,'Thin theory'!P90))),IMPRODUCT(IMDIV(w_a2,Lambda_2),Cj_2,IMEXP(IMPRODUCT(Lambda_2,'Thin theory'!P90))),IMPRODUCT(IMDIV(w_a3,Lambda_3),Cj_3,IMEXP(IMPRODUCT(Lambda_3,'Thin theory'!P90))),IMPRODUCT(IMDIV(w_a4,Lambda_4),Cj_4,IMEXP(IMPRODUCT(Lambda_4,'Thin theory'!P90))))))</f>
        <v>6.22780373821065E-06-3.1136178406711E-20i</v>
      </c>
      <c r="W90" s="36" t="str">
        <f t="shared" si="25"/>
        <v>-0.0000047495536428871-1.28407332758833E-19i</v>
      </c>
      <c r="X90" s="41">
        <f t="shared" si="37"/>
        <v>6.22780373821065E-6</v>
      </c>
      <c r="Y90" s="41">
        <f t="shared" si="38"/>
        <v>3.3258940481184002E-6</v>
      </c>
      <c r="Z90" s="38">
        <f t="shared" si="26"/>
        <v>-0.999999999999999</v>
      </c>
      <c r="AA90" s="38">
        <f t="shared" si="27"/>
        <v>-0.1669642380752637</v>
      </c>
      <c r="AB90" s="38">
        <f t="shared" si="28"/>
        <v>3.7747462698228752E-4</v>
      </c>
      <c r="AC90" s="38">
        <f t="shared" si="29"/>
        <v>1.1324238809468625E-4</v>
      </c>
      <c r="AD90" s="38">
        <f t="shared" si="30"/>
        <v>-0.99773515223810527</v>
      </c>
      <c r="AE90" s="38">
        <f t="shared" si="31"/>
        <v>-0.999999999999999</v>
      </c>
      <c r="AF90" s="38">
        <f t="shared" si="32"/>
        <v>-1.0022648477618927</v>
      </c>
      <c r="AG90" s="38">
        <f t="shared" si="33"/>
        <v>-0.16628478374669559</v>
      </c>
      <c r="AH90" s="38">
        <f t="shared" si="34"/>
        <v>-0.1669642380752637</v>
      </c>
      <c r="AI90" s="38">
        <f t="shared" si="35"/>
        <v>-0.16764369240383181</v>
      </c>
    </row>
    <row r="91" spans="17:35" x14ac:dyDescent="0.3">
      <c r="Q91" s="36" t="str">
        <f>IMSUM(wm,IMPRODUCT(w_a1,Cj_1,IMEXP(IMPRODUCT(Lambda_1,'Thin theory'!P91))),IMPRODUCT(w_a2,Cj_2,IMEXP(IMPRODUCT(Lambda_2,'Thin theory'!P91))),IMPRODUCT(w_a3,Cj_3,IMEXP(IMPRODUCT(Lambda_3,'Thin theory'!P91))),IMPRODUCT(w_a4,Cj_4,IMEXP(IMPRODUCT(Lambda_4,'Thin theory'!P91))))</f>
        <v>3.02020556164211E-06+1.92631587663695E-18i</v>
      </c>
      <c r="R91" s="36" t="str">
        <f>IMSUM(IMPRODUCT(w_b1,Cj_1,IMEXP(IMPRODUCT(Lambda_1,'Thin theory'!P91))),IMPRODUCT(w_b2,Cj_2,IMEXP(IMPRODUCT(Lambda_2,'Thin theory'!P91))),IMPRODUCT(w_b3,Cj_3,IMEXP(IMPRODUCT(Lambda_3,'Thin theory'!P91))),IMPRODUCT(w_b4,Cj_4,IMEXP(IMPRODUCT(Lambda_4,'Thin theory'!P91))))</f>
        <v>-2.75695071152604E-06-2.12001262477543E-18i</v>
      </c>
      <c r="S91" s="36" t="str">
        <f>IMSUM(IMPRODUCT(beta_a1,Cj_1,IMEXP(IMPRODUCT(Lambda_1,'Thin theory'!P91))),IMPRODUCT(beta_a2,Cj_2,IMEXP(IMPRODUCT(Lambda_2,'Thin theory'!P91))),IMPRODUCT(beta_a3,Cj_3,IMEXP(IMPRODUCT(Lambda_3,'Thin theory'!P91))),IMPRODUCT(beta_a4,Cj_4,IMEXP(IMPRODUCT(Lambda_4,'Thin theory'!P91))))</f>
        <v>-2.26644520240642E-06-2.96004596968631E-18i</v>
      </c>
      <c r="T91" s="36" t="str">
        <f>IMSUM(IMPRODUCT(beta_b1,Cj_1,IMEXP(IMPRODUCT(Lambda_1,'Thin theory'!P91))),IMPRODUCT(beta_b2,Cj_2,IMEXP(IMPRODUCT(Lambda_2,'Thin theory'!P91))),IMPRODUCT(beta_b3,Cj_3,IMEXP(IMPRODUCT(Lambda_3,'Thin theory'!P91))),IMPRODUCT(beta_b4,Cj_4,IMEXP(IMPRODUCT(Lambda_4,'Thin theory'!P91))))</f>
        <v>2.00600307327966E-07-4.06000096975727E-18i</v>
      </c>
      <c r="U91" s="36" t="str">
        <f>IMSUM(IMPRODUCT(Lambda_1,beta_b1,Cj_1,IMEXP(IMPRODUCT(Lambda_1,'Thin theory'!P91))),IMPRODUCT(Lambda_2,beta_b2,Cj_2,IMEXP(IMPRODUCT(Lambda_2,'Thin theory'!P91))),IMPRODUCT(Lambda_3,beta_b3,Cj_3,IMEXP(IMPRODUCT(Lambda_3,'Thin theory'!P91))),IMPRODUCT(Lambda_4,beta_b4,Cj_4,IMEXP(IMPRODUCT(Lambda_4,'Thin theory'!P91))))</f>
        <v>1.71676928191862E-06-2.93092835909443E-18i</v>
      </c>
      <c r="V91" s="36" t="str">
        <f>IMSUM(IMPRODUCT(-1,uc),Nz/Cs*'Thin theory'!P91,IMPRODUCT(-nu/rad,IMSUM(wm*'Thin theory'!P91,IMPRODUCT(IMDIV(w_a1,Lambda_1),Cj_1,IMEXP(IMPRODUCT(Lambda_1,'Thin theory'!P91))),IMPRODUCT(IMDIV(w_a2,Lambda_2),Cj_2,IMEXP(IMPRODUCT(Lambda_2,'Thin theory'!P91))),IMPRODUCT(IMDIV(w_a3,Lambda_3),Cj_3,IMEXP(IMPRODUCT(Lambda_3,'Thin theory'!P91))),IMPRODUCT(IMDIV(w_a4,Lambda_4),Cj_4,IMEXP(IMPRODUCT(Lambda_4,'Thin theory'!P91))))))</f>
        <v>0.0000056978097916035-4.4947796625207E-20i</v>
      </c>
      <c r="W91" s="36" t="str">
        <f t="shared" si="25"/>
        <v>-4.73121233369853E-06-1.15578952598217E-19i</v>
      </c>
      <c r="X91" s="41">
        <f t="shared" si="37"/>
        <v>5.6978097916035003E-6</v>
      </c>
      <c r="Y91" s="41">
        <f t="shared" si="38"/>
        <v>3.0202055616421099E-6</v>
      </c>
      <c r="Z91" s="38">
        <f t="shared" si="26"/>
        <v>-1.0000000000000007</v>
      </c>
      <c r="AA91" s="38">
        <f t="shared" si="27"/>
        <v>-0.17919177753431578</v>
      </c>
      <c r="AB91" s="38">
        <f t="shared" si="28"/>
        <v>3.6739983027100002E-3</v>
      </c>
      <c r="AC91" s="38">
        <f t="shared" si="29"/>
        <v>1.1021994908129999E-3</v>
      </c>
      <c r="AD91" s="38">
        <f t="shared" si="30"/>
        <v>-0.97795601018374068</v>
      </c>
      <c r="AE91" s="38">
        <f t="shared" si="31"/>
        <v>-1.0000000000000007</v>
      </c>
      <c r="AF91" s="38">
        <f t="shared" si="32"/>
        <v>-1.0220439898162608</v>
      </c>
      <c r="AG91" s="38">
        <f t="shared" si="33"/>
        <v>-0.17257858058943779</v>
      </c>
      <c r="AH91" s="38">
        <f t="shared" si="34"/>
        <v>-0.17919177753431578</v>
      </c>
      <c r="AI91" s="38">
        <f t="shared" si="35"/>
        <v>-0.18580497447919378</v>
      </c>
    </row>
    <row r="92" spans="17:35" x14ac:dyDescent="0.3">
      <c r="Q92" s="36" t="str">
        <f>IMSUM(wm,IMPRODUCT(w_a1,Cj_1,IMEXP(IMPRODUCT(Lambda_1,'Thin theory'!P92))),IMPRODUCT(w_a2,Cj_2,IMEXP(IMPRODUCT(Lambda_2,'Thin theory'!P92))),IMPRODUCT(w_a3,Cj_3,IMEXP(IMPRODUCT(Lambda_3,'Thin theory'!P92))),IMPRODUCT(w_a4,Cj_4,IMEXP(IMPRODUCT(Lambda_4,'Thin theory'!P92))))</f>
        <v>2.71006099813086E-06+1.66490364201304E-18i</v>
      </c>
      <c r="R92" s="36" t="str">
        <f>IMSUM(IMPRODUCT(w_b1,Cj_1,IMEXP(IMPRODUCT(Lambda_1,'Thin theory'!P92))),IMPRODUCT(w_b2,Cj_2,IMEXP(IMPRODUCT(Lambda_2,'Thin theory'!P92))),IMPRODUCT(w_b3,Cj_3,IMEXP(IMPRODUCT(Lambda_3,'Thin theory'!P92))),IMPRODUCT(w_b4,Cj_4,IMEXP(IMPRODUCT(Lambda_4,'Thin theory'!P92))))</f>
        <v>-2.78799601784165E-06-2.56003548752608E-18i</v>
      </c>
      <c r="S92" s="36" t="str">
        <f>IMSUM(IMPRODUCT(beta_a1,Cj_1,IMEXP(IMPRODUCT(Lambda_1,'Thin theory'!P92))),IMPRODUCT(beta_a2,Cj_2,IMEXP(IMPRODUCT(Lambda_2,'Thin theory'!P92))),IMPRODUCT(beta_a3,Cj_3,IMEXP(IMPRODUCT(Lambda_3,'Thin theory'!P92))),IMPRODUCT(beta_a4,Cj_4,IMEXP(IMPRODUCT(Lambda_4,'Thin theory'!P92))))</f>
        <v>-2.23282395782682E-06-3.42019744546282E-18i</v>
      </c>
      <c r="T92" s="36" t="str">
        <f>IMSUM(IMPRODUCT(beta_b1,Cj_1,IMEXP(IMPRODUCT(Lambda_1,'Thin theory'!P92))),IMPRODUCT(beta_b2,Cj_2,IMEXP(IMPRODUCT(Lambda_2,'Thin theory'!P92))),IMPRODUCT(beta_b3,Cj_3,IMEXP(IMPRODUCT(Lambda_3,'Thin theory'!P92))),IMPRODUCT(beta_b4,Cj_4,IMEXP(IMPRODUCT(Lambda_4,'Thin theory'!P92))))</f>
        <v>4.05052211968641E-07-4.38991947553221E-18i</v>
      </c>
      <c r="U92" s="36" t="str">
        <f>IMSUM(IMPRODUCT(Lambda_1,beta_b1,Cj_1,IMEXP(IMPRODUCT(Lambda_1,'Thin theory'!P92))),IMPRODUCT(Lambda_2,beta_b2,Cj_2,IMEXP(IMPRODUCT(Lambda_2,'Thin theory'!P92))),IMPRODUCT(Lambda_3,beta_b3,Cj_3,IMEXP(IMPRODUCT(Lambda_3,'Thin theory'!P92))),IMPRODUCT(Lambda_4,beta_b4,Cj_4,IMEXP(IMPRODUCT(Lambda_4,'Thin theory'!P92))))</f>
        <v>0.0000019431022100519-3.01902513643347E-18i</v>
      </c>
      <c r="V92" s="36" t="str">
        <f>IMSUM(IMPRODUCT(-1,uc),Nz/Cs*'Thin theory'!P92,IMPRODUCT(-nu/rad,IMSUM(wm*'Thin theory'!P92,IMPRODUCT(IMDIV(w_a1,Lambda_1),Cj_1,IMEXP(IMPRODUCT(Lambda_1,'Thin theory'!P92))),IMPRODUCT(IMDIV(w_a2,Lambda_2),Cj_2,IMEXP(IMPRODUCT(Lambda_2,'Thin theory'!P92))),IMPRODUCT(IMDIV(w_a3,Lambda_3),Cj_3,IMEXP(IMPRODUCT(Lambda_3,'Thin theory'!P92))),IMPRODUCT(IMDIV(w_a4,Lambda_4),Cj_4,IMEXP(IMPRODUCT(Lambda_4,'Thin theory'!P92))))))</f>
        <v>5.16988248515894E-06-5.6942414400533E-20i</v>
      </c>
      <c r="W92" s="36" t="str">
        <f t="shared" si="25"/>
        <v>-4.71260365988785E-06-9.98942185207824E-20i</v>
      </c>
      <c r="X92" s="41">
        <f t="shared" si="37"/>
        <v>5.1698824851589399E-6</v>
      </c>
      <c r="Y92" s="41">
        <f t="shared" si="38"/>
        <v>2.7100609981308601E-6</v>
      </c>
      <c r="Z92" s="38">
        <f t="shared" si="26"/>
        <v>-0.99999999999999967</v>
      </c>
      <c r="AA92" s="38">
        <f t="shared" si="27"/>
        <v>-0.19159756007476547</v>
      </c>
      <c r="AB92" s="38">
        <f t="shared" si="28"/>
        <v>7.4185386807443408E-3</v>
      </c>
      <c r="AC92" s="38">
        <f t="shared" si="29"/>
        <v>2.2255616042233021E-3</v>
      </c>
      <c r="AD92" s="38">
        <f t="shared" si="30"/>
        <v>-0.95548876791553361</v>
      </c>
      <c r="AE92" s="38">
        <f t="shared" si="31"/>
        <v>-0.99999999999999967</v>
      </c>
      <c r="AF92" s="38">
        <f t="shared" si="32"/>
        <v>-1.0445112320844656</v>
      </c>
      <c r="AG92" s="38">
        <f t="shared" si="33"/>
        <v>-0.17824419044942566</v>
      </c>
      <c r="AH92" s="38">
        <f t="shared" si="34"/>
        <v>-0.19159756007476547</v>
      </c>
      <c r="AI92" s="38">
        <f t="shared" si="35"/>
        <v>-0.20495092970010528</v>
      </c>
    </row>
    <row r="93" spans="17:35" x14ac:dyDescent="0.3">
      <c r="Q93" s="36" t="str">
        <f>IMSUM(wm,IMPRODUCT(w_a1,Cj_1,IMEXP(IMPRODUCT(Lambda_1,'Thin theory'!P93))),IMPRODUCT(w_a2,Cj_2,IMEXP(IMPRODUCT(Lambda_2,'Thin theory'!P93))),IMPRODUCT(w_a3,Cj_3,IMEXP(IMPRODUCT(Lambda_3,'Thin theory'!P93))),IMPRODUCT(w_a4,Cj_4,IMEXP(IMPRODUCT(Lambda_4,'Thin theory'!P93))))</f>
        <v>2.39753421387057E-06+1.35107049042981E-18i</v>
      </c>
      <c r="R93" s="36" t="str">
        <f>IMSUM(IMPRODUCT(w_b1,Cj_1,IMEXP(IMPRODUCT(Lambda_1,'Thin theory'!P93))),IMPRODUCT(w_b2,Cj_2,IMEXP(IMPRODUCT(Lambda_2,'Thin theory'!P93))),IMPRODUCT(w_b3,Cj_3,IMEXP(IMPRODUCT(Lambda_3,'Thin theory'!P93))),IMPRODUCT(w_b4,Cj_4,IMEXP(IMPRODUCT(Lambda_4,'Thin theory'!P93))))</f>
        <v>-2.79908337427832E-06-3.05999668464293E-18i</v>
      </c>
      <c r="S93" s="36" t="str">
        <f>IMSUM(IMPRODUCT(beta_a1,Cj_1,IMEXP(IMPRODUCT(Lambda_1,'Thin theory'!P93))),IMPRODUCT(beta_a2,Cj_2,IMEXP(IMPRODUCT(Lambda_2,'Thin theory'!P93))),IMPRODUCT(beta_a3,Cj_3,IMEXP(IMPRODUCT(Lambda_3,'Thin theory'!P93))),IMPRODUCT(beta_a4,Cj_4,IMEXP(IMPRODUCT(Lambda_4,'Thin theory'!P93))))</f>
        <v>-2.17489808267519E-06-3.94006391684015E-18i</v>
      </c>
      <c r="T93" s="36" t="str">
        <f>IMSUM(IMPRODUCT(beta_b1,Cj_1,IMEXP(IMPRODUCT(Lambda_1,'Thin theory'!P93))),IMPRODUCT(beta_b2,Cj_2,IMEXP(IMPRODUCT(Lambda_2,'Thin theory'!P93))),IMPRODUCT(beta_b3,Cj_3,IMEXP(IMPRODUCT(Lambda_3,'Thin theory'!P93))),IMPRODUCT(beta_b4,Cj_4,IMEXP(IMPRODUCT(Lambda_4,'Thin theory'!P93))))</f>
        <v>6.35658274822398E-07-4.73995666816566E-18i</v>
      </c>
      <c r="U93" s="36" t="str">
        <f>IMSUM(IMPRODUCT(Lambda_1,beta_b1,Cj_1,IMEXP(IMPRODUCT(Lambda_1,'Thin theory'!P93))),IMPRODUCT(Lambda_2,beta_b2,Cj_2,IMEXP(IMPRODUCT(Lambda_2,'Thin theory'!P93))),IMPRODUCT(Lambda_3,beta_b3,Cj_3,IMEXP(IMPRODUCT(Lambda_3,'Thin theory'!P93))),IMPRODUCT(Lambda_4,beta_b4,Cj_4,IMEXP(IMPRODUCT(Lambda_4,'Thin theory'!P93))))</f>
        <v>2.18464852061093E-06-3.09293274188811E-18i</v>
      </c>
      <c r="V93" s="36" t="str">
        <f>IMSUM(IMPRODUCT(-1,uc),Nz/Cs*'Thin theory'!P93,IMPRODUCT(-nu/rad,IMSUM(wm*'Thin theory'!P93,IMPRODUCT(IMDIV(w_a1,Lambda_1),Cj_1,IMEXP(IMPRODUCT(Lambda_1,'Thin theory'!P93))),IMPRODUCT(IMDIV(w_a2,Lambda_2),Cj_2,IMEXP(IMPRODUCT(Lambda_2,'Thin theory'!P93))),IMPRODUCT(IMDIV(w_a3,Lambda_3),Cj_3,IMEXP(IMPRODUCT(Lambda_3,'Thin theory'!P93))),IMPRODUCT(IMDIV(w_a4,Lambda_4),Cj_4,IMEXP(IMPRODUCT(Lambda_4,'Thin theory'!P93))))))</f>
        <v>0.0000046440449290476-6.7132816326043E-20i</v>
      </c>
      <c r="W93" s="36" t="str">
        <f t="shared" si="25"/>
        <v>-4.69385205283223E-06-8.10642294257886E-20i</v>
      </c>
      <c r="X93" s="41">
        <f t="shared" si="37"/>
        <v>4.6440449290475996E-6</v>
      </c>
      <c r="Y93" s="41">
        <f t="shared" si="38"/>
        <v>2.3975342138705701E-6</v>
      </c>
      <c r="Z93" s="38">
        <f t="shared" si="26"/>
        <v>-0.99999999999999911</v>
      </c>
      <c r="AA93" s="38">
        <f t="shared" si="27"/>
        <v>-0.20409863144517693</v>
      </c>
      <c r="AB93" s="38">
        <f t="shared" si="28"/>
        <v>1.1642092945465164E-2</v>
      </c>
      <c r="AC93" s="38">
        <f t="shared" si="29"/>
        <v>3.492627883639549E-3</v>
      </c>
      <c r="AD93" s="38">
        <f t="shared" si="30"/>
        <v>-0.93014744232720814</v>
      </c>
      <c r="AE93" s="38">
        <f t="shared" si="31"/>
        <v>-0.99999999999999911</v>
      </c>
      <c r="AF93" s="38">
        <f t="shared" si="32"/>
        <v>-1.0698525576727902</v>
      </c>
      <c r="AG93" s="38">
        <f t="shared" si="33"/>
        <v>-0.18314286414333963</v>
      </c>
      <c r="AH93" s="38">
        <f t="shared" si="34"/>
        <v>-0.20409863144517693</v>
      </c>
      <c r="AI93" s="38">
        <f t="shared" si="35"/>
        <v>-0.22505439874701422</v>
      </c>
    </row>
    <row r="94" spans="17:35" x14ac:dyDescent="0.3">
      <c r="Q94" s="36" t="str">
        <f>IMSUM(wm,IMPRODUCT(w_a1,Cj_1,IMEXP(IMPRODUCT(Lambda_1,'Thin theory'!P94))),IMPRODUCT(w_a2,Cj_2,IMEXP(IMPRODUCT(Lambda_2,'Thin theory'!P94))),IMPRODUCT(w_a3,Cj_3,IMEXP(IMPRODUCT(Lambda_3,'Thin theory'!P94))),IMPRODUCT(w_a4,Cj_4,IMEXP(IMPRODUCT(Lambda_4,'Thin theory'!P94))))</f>
        <v>2.08502233136849E-06+9.81093281950157E-19i</v>
      </c>
      <c r="R94" s="36" t="str">
        <f>IMSUM(IMPRODUCT(w_b1,Cj_1,IMEXP(IMPRODUCT(Lambda_1,'Thin theory'!P94))),IMPRODUCT(w_b2,Cj_2,IMEXP(IMPRODUCT(Lambda_2,'Thin theory'!P94))),IMPRODUCT(w_b3,Cj_3,IMEXP(IMPRODUCT(Lambda_3,'Thin theory'!P94))),IMPRODUCT(w_b4,Cj_4,IMEXP(IMPRODUCT(Lambda_4,'Thin theory'!P94))))</f>
        <v>-2.78721029545207E-06-3.58007491425707E-18i</v>
      </c>
      <c r="S94" s="36" t="str">
        <f>IMSUM(IMPRODUCT(beta_a1,Cj_1,IMEXP(IMPRODUCT(Lambda_1,'Thin theory'!P94))),IMPRODUCT(beta_a2,Cj_2,IMEXP(IMPRODUCT(Lambda_2,'Thin theory'!P94))),IMPRODUCT(beta_a3,Cj_3,IMEXP(IMPRODUCT(Lambda_3,'Thin theory'!P94))),IMPRODUCT(beta_a4,Cj_4,IMEXP(IMPRODUCT(Lambda_4,'Thin theory'!P94))))</f>
        <v>-2.08964818557932E-06-4.49020106273385E-18i</v>
      </c>
      <c r="T94" s="36" t="str">
        <f>IMSUM(IMPRODUCT(beta_b1,Cj_1,IMEXP(IMPRODUCT(Lambda_1,'Thin theory'!P94))),IMPRODUCT(beta_b2,Cj_2,IMEXP(IMPRODUCT(Lambda_2,'Thin theory'!P94))),IMPRODUCT(beta_b3,Cj_3,IMEXP(IMPRODUCT(Lambda_3,'Thin theory'!P94))),IMPRODUCT(beta_b4,Cj_4,IMEXP(IMPRODUCT(Lambda_4,'Thin theory'!P94))))</f>
        <v>0.0000008941238020107-5.08999220643789E-18i</v>
      </c>
      <c r="U94" s="36" t="str">
        <f>IMSUM(IMPRODUCT(Lambda_1,beta_b1,Cj_1,IMEXP(IMPRODUCT(Lambda_1,'Thin theory'!P94))),IMPRODUCT(Lambda_2,beta_b2,Cj_2,IMEXP(IMPRODUCT(Lambda_2,'Thin theory'!P94))),IMPRODUCT(Lambda_3,beta_b3,Cj_3,IMEXP(IMPRODUCT(Lambda_3,'Thin theory'!P94))),IMPRODUCT(Lambda_4,beta_b4,Cj_4,IMEXP(IMPRODUCT(Lambda_4,'Thin theory'!P94))))</f>
        <v>0.0000024414673845546-3.15000561921485E-18i</v>
      </c>
      <c r="V94" s="36" t="str">
        <f>IMSUM(IMPRODUCT(-1,uc),Nz/Cs*'Thin theory'!P94,IMPRODUCT(-nu/rad,IMSUM(wm*'Thin theory'!P94,IMPRODUCT(IMDIV(w_a1,Lambda_1),Cj_1,IMEXP(IMPRODUCT(Lambda_1,'Thin theory'!P94))),IMPRODUCT(IMDIV(w_a2,Lambda_2),Cj_2,IMEXP(IMPRODUCT(Lambda_2,'Thin theory'!P94))),IMPRODUCT(IMDIV(w_a3,Lambda_3),Cj_3,IMEXP(IMPRODUCT(Lambda_3,'Thin theory'!P94))),IMPRODUCT(IMDIV(w_a4,Lambda_4),Cj_4,IMEXP(IMPRODUCT(Lambda_4,'Thin theory'!P94))))))</f>
        <v>4.12030525114843E-06-7.4934597748005E-20i</v>
      </c>
      <c r="W94" s="36" t="str">
        <f t="shared" si="25"/>
        <v>-4.67510133988211E-06-5.88655969170094E-20i</v>
      </c>
      <c r="X94" s="41">
        <f t="shared" si="37"/>
        <v>4.1203052511484297E-6</v>
      </c>
      <c r="Y94" s="41">
        <f t="shared" si="38"/>
        <v>2.08502233136849E-6</v>
      </c>
      <c r="Z94" s="38">
        <f t="shared" si="26"/>
        <v>-1</v>
      </c>
      <c r="AA94" s="38">
        <f t="shared" si="27"/>
        <v>-0.21659910674526039</v>
      </c>
      <c r="AB94" s="38">
        <f t="shared" si="28"/>
        <v>1.637589380971978E-2</v>
      </c>
      <c r="AC94" s="38">
        <f t="shared" si="29"/>
        <v>4.9127681429159339E-3</v>
      </c>
      <c r="AD94" s="38">
        <f t="shared" si="30"/>
        <v>-0.90174463714168129</v>
      </c>
      <c r="AE94" s="38">
        <f t="shared" si="31"/>
        <v>-1</v>
      </c>
      <c r="AF94" s="38">
        <f t="shared" si="32"/>
        <v>-1.0982553628583187</v>
      </c>
      <c r="AG94" s="38">
        <f t="shared" si="33"/>
        <v>-0.1871224978877648</v>
      </c>
      <c r="AH94" s="38">
        <f t="shared" si="34"/>
        <v>-0.21659910674526039</v>
      </c>
      <c r="AI94" s="38">
        <f t="shared" si="35"/>
        <v>-0.24607571560275598</v>
      </c>
    </row>
    <row r="95" spans="17:35" x14ac:dyDescent="0.3">
      <c r="Q95" s="36" t="str">
        <f>IMSUM(wm,IMPRODUCT(w_a1,Cj_1,IMEXP(IMPRODUCT(Lambda_1,'Thin theory'!P95))),IMPRODUCT(w_a2,Cj_2,IMEXP(IMPRODUCT(Lambda_2,'Thin theory'!P95))),IMPRODUCT(w_a3,Cj_3,IMEXP(IMPRODUCT(Lambda_3,'Thin theory'!P95))),IMPRODUCT(w_a4,Cj_4,IMEXP(IMPRODUCT(Lambda_4,'Thin theory'!P95))))</f>
        <v>1.77527078480898E-06+5.47994334516886E-19i</v>
      </c>
      <c r="R95" s="36" t="str">
        <f>IMSUM(IMPRODUCT(w_b1,Cj_1,IMEXP(IMPRODUCT(Lambda_1,'Thin theory'!P95))),IMPRODUCT(w_b2,Cj_2,IMEXP(IMPRODUCT(Lambda_2,'Thin theory'!P95))),IMPRODUCT(w_b3,Cj_3,IMEXP(IMPRODUCT(Lambda_3,'Thin theory'!P95))),IMPRODUCT(w_b4,Cj_4,IMEXP(IMPRODUCT(Lambda_4,'Thin theory'!P95))))</f>
        <v>-2.74914767194409E-06-4.15985904048529E-18i</v>
      </c>
      <c r="S95" s="36" t="str">
        <f>IMSUM(IMPRODUCT(beta_a1,Cj_1,IMEXP(IMPRODUCT(Lambda_1,'Thin theory'!P95))),IMPRODUCT(beta_a2,Cj_2,IMEXP(IMPRODUCT(Lambda_2,'Thin theory'!P95))),IMPRODUCT(beta_a3,Cj_3,IMEXP(IMPRODUCT(Lambda_3,'Thin theory'!P95))),IMPRODUCT(beta_a4,Cj_4,IMEXP(IMPRODUCT(Lambda_4,'Thin theory'!P95))))</f>
        <v>-1.97386409888021E-06-5.07041863160305E-18i</v>
      </c>
      <c r="T95" s="36" t="str">
        <f>IMSUM(IMPRODUCT(beta_b1,Cj_1,IMEXP(IMPRODUCT(Lambda_1,'Thin theory'!P95))),IMPRODUCT(beta_b2,Cj_2,IMEXP(IMPRODUCT(Lambda_2,'Thin theory'!P95))),IMPRODUCT(beta_b3,Cj_3,IMEXP(IMPRODUCT(Lambda_3,'Thin theory'!P95))),IMPRODUCT(beta_b4,Cj_4,IMEXP(IMPRODUCT(Lambda_4,'Thin theory'!P95))))</f>
        <v>0.0000011821538598219-5.43980771466718E-18i</v>
      </c>
      <c r="U95" s="36" t="str">
        <f>IMSUM(IMPRODUCT(Lambda_1,beta_b1,Cj_1,IMEXP(IMPRODUCT(Lambda_1,'Thin theory'!P95))),IMPRODUCT(Lambda_2,beta_b2,Cj_2,IMEXP(IMPRODUCT(Lambda_2,'Thin theory'!P95))),IMPRODUCT(Lambda_3,beta_b3,Cj_3,IMEXP(IMPRODUCT(Lambda_3,'Thin theory'!P95))),IMPRODUCT(Lambda_4,beta_b4,Cj_4,IMEXP(IMPRODUCT(Lambda_4,'Thin theory'!P95))))</f>
        <v>2.71349250572362E-06-3.18696146404431E-18i</v>
      </c>
      <c r="V95" s="36" t="str">
        <f>IMSUM(IMPRODUCT(-1,uc),Nz/Cs*'Thin theory'!P95,IMPRODUCT(-nu/rad,IMSUM(wm*'Thin theory'!P95,IMPRODUCT(IMDIV(w_a1,Lambda_1),Cj_1,IMEXP(IMPRODUCT(Lambda_1,'Thin theory'!P95))),IMPRODUCT(IMDIV(w_a2,Lambda_2),Cj_2,IMEXP(IMPRODUCT(Lambda_2,'Thin theory'!P95))),IMPRODUCT(IMDIV(w_a3,Lambda_3),Cj_3,IMEXP(IMPRODUCT(Lambda_3,'Thin theory'!P95))),IMPRODUCT(IMDIV(w_a4,Lambda_4),Cj_4,IMEXP(IMPRODUCT(Lambda_4,'Thin theory'!P95))))))</f>
        <v>3.59865434484616E-06-7.9737870128978E-20i</v>
      </c>
      <c r="W95" s="36" t="str">
        <f t="shared" si="25"/>
        <v>-4.65651624708854E-06-3.28796600710132E-20i</v>
      </c>
      <c r="X95" s="41">
        <f t="shared" si="37"/>
        <v>3.59865434484616E-6</v>
      </c>
      <c r="Y95" s="41">
        <f t="shared" si="38"/>
        <v>1.7752707848089801E-6</v>
      </c>
      <c r="Z95" s="38">
        <f t="shared" si="26"/>
        <v>-1.0000000000000002</v>
      </c>
      <c r="AA95" s="38">
        <f t="shared" si="27"/>
        <v>-0.22898916860764082</v>
      </c>
      <c r="AB95" s="38">
        <f t="shared" si="28"/>
        <v>2.1651169593807688E-2</v>
      </c>
      <c r="AC95" s="38">
        <f t="shared" si="29"/>
        <v>6.4953508781423067E-3</v>
      </c>
      <c r="AD95" s="38">
        <f t="shared" si="30"/>
        <v>-0.87009298243715416</v>
      </c>
      <c r="AE95" s="38">
        <f t="shared" si="31"/>
        <v>-1.0000000000000002</v>
      </c>
      <c r="AF95" s="38">
        <f t="shared" si="32"/>
        <v>-1.1299070175628463</v>
      </c>
      <c r="AG95" s="38">
        <f t="shared" si="33"/>
        <v>-0.19001706333878698</v>
      </c>
      <c r="AH95" s="38">
        <f t="shared" si="34"/>
        <v>-0.22898916860764082</v>
      </c>
      <c r="AI95" s="38">
        <f t="shared" si="35"/>
        <v>-0.26796127387649465</v>
      </c>
    </row>
    <row r="96" spans="17:35" x14ac:dyDescent="0.3">
      <c r="Q96" s="36" t="str">
        <f>IMSUM(wm,IMPRODUCT(w_a1,Cj_1,IMEXP(IMPRODUCT(Lambda_1,'Thin theory'!P96))),IMPRODUCT(w_a2,Cj_2,IMEXP(IMPRODUCT(Lambda_2,'Thin theory'!P96))),IMPRODUCT(w_a3,Cj_3,IMEXP(IMPRODUCT(Lambda_3,'Thin theory'!P96))),IMPRODUCT(w_a4,Cj_4,IMEXP(IMPRODUCT(Lambda_4,'Thin theory'!P96))))</f>
        <v>1.47139890396677E-06+4.80232112326849E-20i</v>
      </c>
      <c r="R96" s="36" t="str">
        <f>IMSUM(IMPRODUCT(w_b1,Cj_1,IMEXP(IMPRODUCT(Lambda_1,'Thin theory'!P96))),IMPRODUCT(w_b2,Cj_2,IMEXP(IMPRODUCT(Lambda_2,'Thin theory'!P96))),IMPRODUCT(w_b3,Cj_3,IMEXP(IMPRODUCT(Lambda_3,'Thin theory'!P96))),IMPRODUCT(w_b4,Cj_4,IMEXP(IMPRODUCT(Lambda_4,'Thin theory'!P96))))</f>
        <v>-2.68143557941217E-06-4.7802999210011E-18i</v>
      </c>
      <c r="S96" s="36" t="str">
        <f>IMSUM(IMPRODUCT(beta_a1,Cj_1,IMEXP(IMPRODUCT(Lambda_1,'Thin theory'!P96))),IMPRODUCT(beta_a2,Cj_2,IMEXP(IMPRODUCT(Lambda_2,'Thin theory'!P96))),IMPRODUCT(beta_a3,Cj_3,IMEXP(IMPRODUCT(Lambda_3,'Thin theory'!P96))),IMPRODUCT(beta_a4,Cj_4,IMEXP(IMPRODUCT(Lambda_4,'Thin theory'!P96))))</f>
        <v>-0.0000018241457257003-5.70017852889988E-18i</v>
      </c>
      <c r="T96" s="36" t="str">
        <f>IMSUM(IMPRODUCT(beta_b1,Cj_1,IMEXP(IMPRODUCT(Lambda_1,'Thin theory'!P96))),IMPRODUCT(beta_b2,Cj_2,IMEXP(IMPRODUCT(Lambda_2,'Thin theory'!P96))),IMPRODUCT(beta_b3,Cj_3,IMEXP(IMPRODUCT(Lambda_3,'Thin theory'!P96))),IMPRODUCT(beta_b4,Cj_4,IMEXP(IMPRODUCT(Lambda_4,'Thin theory'!P96))))</f>
        <v>1.50143827299657E-06-5.78985400628737E-18i</v>
      </c>
      <c r="U96" s="36" t="str">
        <f>IMSUM(IMPRODUCT(Lambda_1,beta_b1,Cj_1,IMEXP(IMPRODUCT(Lambda_1,'Thin theory'!P96))),IMPRODUCT(Lambda_2,beta_b2,Cj_2,IMEXP(IMPRODUCT(Lambda_2,'Thin theory'!P96))),IMPRODUCT(Lambda_3,beta_b3,Cj_3,IMEXP(IMPRODUCT(Lambda_3,'Thin theory'!P96))),IMPRODUCT(Lambda_4,beta_b4,Cj_4,IMEXP(IMPRODUCT(Lambda_4,'Thin theory'!P96))))</f>
        <v>3.00051448799154E-06-3.20199629885807E-18i</v>
      </c>
      <c r="V96" s="36" t="str">
        <f>IMSUM(IMPRODUCT(-1,uc),Nz/Cs*'Thin theory'!P96,IMPRODUCT(-nu/rad,IMSUM(wm*'Thin theory'!P96,IMPRODUCT(IMDIV(w_a1,Lambda_1),Cj_1,IMEXP(IMPRODUCT(Lambda_1,'Thin theory'!P96))),IMPRODUCT(IMDIV(w_a2,Lambda_2),Cj_2,IMEXP(IMPRODUCT(Lambda_2,'Thin theory'!P96))),IMPRODUCT(IMDIV(w_a3,Lambda_3),Cj_3,IMEXP(IMPRODUCT(Lambda_3,'Thin theory'!P96))),IMPRODUCT(IMDIV(w_a4,Lambda_4),Cj_4,IMEXP(IMPRODUCT(Lambda_4,'Thin theory'!P96))))))</f>
        <v>0.0000030790634469366-8.2139208534444E-20i</v>
      </c>
      <c r="W96" s="36" t="str">
        <f t="shared" si="25"/>
        <v>-4.63828393423801E-06-2.88139267396109E-21i</v>
      </c>
      <c r="X96" s="41">
        <f t="shared" si="37"/>
        <v>3.0790634469366E-6</v>
      </c>
      <c r="Y96" s="41">
        <f t="shared" si="38"/>
        <v>1.4713989039667701E-6</v>
      </c>
      <c r="Z96" s="38">
        <f t="shared" si="26"/>
        <v>-1.0000000000000009</v>
      </c>
      <c r="AA96" s="38">
        <f t="shared" si="27"/>
        <v>-0.24114404384132943</v>
      </c>
      <c r="AB96" s="38">
        <f t="shared" si="28"/>
        <v>2.7498869468801646E-2</v>
      </c>
      <c r="AC96" s="38">
        <f t="shared" si="29"/>
        <v>8.2496608406404937E-3</v>
      </c>
      <c r="AD96" s="38">
        <f t="shared" si="30"/>
        <v>-0.83500678318719102</v>
      </c>
      <c r="AE96" s="38">
        <f t="shared" si="31"/>
        <v>-1.0000000000000009</v>
      </c>
      <c r="AF96" s="38">
        <f t="shared" si="32"/>
        <v>-1.1649932168128108</v>
      </c>
      <c r="AG96" s="38">
        <f t="shared" si="33"/>
        <v>-0.19164607879748646</v>
      </c>
      <c r="AH96" s="38">
        <f t="shared" si="34"/>
        <v>-0.24114404384132943</v>
      </c>
      <c r="AI96" s="38">
        <f t="shared" si="35"/>
        <v>-0.29064200888517239</v>
      </c>
    </row>
    <row r="97" spans="17:35" x14ac:dyDescent="0.3">
      <c r="Q97" s="36" t="str">
        <f>IMSUM(wm,IMPRODUCT(w_a1,Cj_1,IMEXP(IMPRODUCT(Lambda_1,'Thin theory'!P97))),IMPRODUCT(w_a2,Cj_2,IMEXP(IMPRODUCT(Lambda_2,'Thin theory'!P97))),IMPRODUCT(w_a3,Cj_3,IMEXP(IMPRODUCT(Lambda_3,'Thin theory'!P97))),IMPRODUCT(w_a4,Cj_4,IMEXP(IMPRODUCT(Lambda_4,'Thin theory'!P97))))</f>
        <v>1.17692588880259E-06-5.29980822317319E-19i</v>
      </c>
      <c r="R97" s="36" t="str">
        <f>IMSUM(IMPRODUCT(w_b1,Cj_1,IMEXP(IMPRODUCT(Lambda_1,'Thin theory'!P97))),IMPRODUCT(w_b2,Cj_2,IMEXP(IMPRODUCT(Lambda_2,'Thin theory'!P97))),IMPRODUCT(w_b3,Cj_3,IMEXP(IMPRODUCT(Lambda_3,'Thin theory'!P97))),IMPRODUCT(w_b4,Cj_4,IMEXP(IMPRODUCT(Lambda_4,'Thin theory'!P97))))</f>
        <v>-2.58038051787864E-06-5.46004468835329E-18i</v>
      </c>
      <c r="S97" s="36" t="str">
        <f>IMSUM(IMPRODUCT(beta_a1,Cj_1,IMEXP(IMPRODUCT(Lambda_1,'Thin theory'!P97))),IMPRODUCT(beta_a2,Cj_2,IMEXP(IMPRODUCT(Lambda_2,'Thin theory'!P97))),IMPRODUCT(beta_a3,Cj_3,IMEXP(IMPRODUCT(Lambda_3,'Thin theory'!P97))),IMPRODUCT(beta_a4,Cj_4,IMEXP(IMPRODUCT(Lambda_4,'Thin theory'!P97))))</f>
        <v>-1.63690567707398E-06-6.37017083683007E-18i</v>
      </c>
      <c r="T97" s="36" t="str">
        <f>IMSUM(IMPRODUCT(beta_b1,Cj_1,IMEXP(IMPRODUCT(Lambda_1,'Thin theory'!P97))),IMPRODUCT(beta_b2,Cj_2,IMEXP(IMPRODUCT(Lambda_2,'Thin theory'!P97))),IMPRODUCT(beta_b3,Cj_3,IMEXP(IMPRODUCT(Lambda_3,'Thin theory'!P97))),IMPRODUCT(beta_b4,Cj_4,IMEXP(IMPRODUCT(Lambda_4,'Thin theory'!P97))))</f>
        <v>1.85363458136454E-06-6.15025577199611E-18i</v>
      </c>
      <c r="U97" s="36" t="str">
        <f>IMSUM(IMPRODUCT(Lambda_1,beta_b1,Cj_1,IMEXP(IMPRODUCT(Lambda_1,'Thin theory'!P97))),IMPRODUCT(Lambda_2,beta_b2,Cj_2,IMEXP(IMPRODUCT(Lambda_2,'Thin theory'!P97))),IMPRODUCT(Lambda_3,beta_b3,Cj_3,IMEXP(IMPRODUCT(Lambda_3,'Thin theory'!P97))),IMPRODUCT(Lambda_4,beta_b4,Cj_4,IMEXP(IMPRODUCT(Lambda_4,'Thin theory'!P97))))</f>
        <v>0.0000033021619428163-3.1900319584781E-18i</v>
      </c>
      <c r="V97" s="36" t="str">
        <f>IMSUM(IMPRODUCT(-1,uc),Nz/Cs*'Thin theory'!P97,IMPRODUCT(-nu/rad,IMSUM(wm*'Thin theory'!P97,IMPRODUCT(IMDIV(w_a1,Lambda_1),Cj_1,IMEXP(IMPRODUCT(Lambda_1,'Thin theory'!P97))),IMPRODUCT(IMDIV(w_a2,Lambda_2),Cj_2,IMEXP(IMPRODUCT(Lambda_2,'Thin theory'!P97))),IMPRODUCT(IMDIV(w_a3,Lambda_3),Cj_3,IMEXP(IMPRODUCT(Lambda_3,'Thin theory'!P97))),IMPRODUCT(IMDIV(w_a4,Lambda_4),Cj_4,IMEXP(IMPRODUCT(Lambda_4,'Thin theory'!P97))))))</f>
        <v>0.0000025614815425101-8.0335623926833E-20i</v>
      </c>
      <c r="W97" s="36" t="str">
        <f t="shared" si="25"/>
        <v>-4.62061555332816E-06+3.17988493390391E-20i</v>
      </c>
      <c r="X97" s="41">
        <f t="shared" si="37"/>
        <v>2.5614815425100999E-6</v>
      </c>
      <c r="Y97" s="41">
        <f t="shared" si="38"/>
        <v>1.17692588880259E-6</v>
      </c>
      <c r="Z97" s="38">
        <f t="shared" si="26"/>
        <v>-1.0000000000000011</v>
      </c>
      <c r="AA97" s="38">
        <f t="shared" si="27"/>
        <v>-0.25292296444789669</v>
      </c>
      <c r="AB97" s="38">
        <f t="shared" si="28"/>
        <v>3.3949351307042859E-2</v>
      </c>
      <c r="AC97" s="38">
        <f t="shared" si="29"/>
        <v>1.0184805392112858E-2</v>
      </c>
      <c r="AD97" s="38">
        <f t="shared" si="30"/>
        <v>-0.79630389215774389</v>
      </c>
      <c r="AE97" s="38">
        <f t="shared" si="31"/>
        <v>-1.0000000000000011</v>
      </c>
      <c r="AF97" s="38">
        <f t="shared" si="32"/>
        <v>-1.2036961078422583</v>
      </c>
      <c r="AG97" s="38">
        <f t="shared" si="33"/>
        <v>-0.19181413209521955</v>
      </c>
      <c r="AH97" s="38">
        <f t="shared" si="34"/>
        <v>-0.25292296444789669</v>
      </c>
      <c r="AI97" s="38">
        <f t="shared" si="35"/>
        <v>-0.31403179680057386</v>
      </c>
    </row>
    <row r="98" spans="17:35" x14ac:dyDescent="0.3">
      <c r="Q98" s="36" t="str">
        <f>IMSUM(wm,IMPRODUCT(w_a1,Cj_1,IMEXP(IMPRODUCT(Lambda_1,'Thin theory'!P98))),IMPRODUCT(w_a2,Cj_2,IMEXP(IMPRODUCT(Lambda_2,'Thin theory'!P98))),IMPRODUCT(w_a3,Cj_3,IMEXP(IMPRODUCT(Lambda_3,'Thin theory'!P98))),IMPRODUCT(w_a4,Cj_4,IMEXP(IMPRODUCT(Lambda_4,'Thin theory'!P98))))</f>
        <v>8.95797002048478E-07-1.17012597220476E-18i</v>
      </c>
      <c r="R98" s="36" t="str">
        <f>IMSUM(IMPRODUCT(w_b1,Cj_1,IMEXP(IMPRODUCT(Lambda_1,'Thin theory'!P98))),IMPRODUCT(w_b2,Cj_2,IMEXP(IMPRODUCT(Lambda_2,'Thin theory'!P98))),IMPRODUCT(w_b3,Cj_3,IMEXP(IMPRODUCT(Lambda_3,'Thin theory'!P98))),IMPRODUCT(w_b4,Cj_4,IMEXP(IMPRODUCT(Lambda_4,'Thin theory'!P98))))</f>
        <v>-2.44205431308991E-06-6.16984754480443E-18i</v>
      </c>
      <c r="S98" s="36" t="str">
        <f>IMSUM(IMPRODUCT(beta_a1,Cj_1,IMEXP(IMPRODUCT(Lambda_1,'Thin theory'!P98))),IMPRODUCT(beta_a2,Cj_2,IMEXP(IMPRODUCT(Lambda_2,'Thin theory'!P98))),IMPRODUCT(beta_a3,Cj_3,IMEXP(IMPRODUCT(Lambda_3,'Thin theory'!P98))),IMPRODUCT(beta_a4,Cj_4,IMEXP(IMPRODUCT(Lambda_4,'Thin theory'!P98))))</f>
        <v>-1.40837393531136E-06-7.07024439491636E-18i</v>
      </c>
      <c r="T98" s="36" t="str">
        <f>IMSUM(IMPRODUCT(beta_b1,Cj_1,IMEXP(IMPRODUCT(Lambda_1,'Thin theory'!P98))),IMPRODUCT(beta_b2,Cj_2,IMEXP(IMPRODUCT(Lambda_2,'Thin theory'!P98))),IMPRODUCT(beta_b3,Cj_3,IMEXP(IMPRODUCT(Lambda_3,'Thin theory'!P98))),IMPRODUCT(beta_b4,Cj_4,IMEXP(IMPRODUCT(Lambda_4,'Thin theory'!P98))))</f>
        <v>2.24034881309104E-06-6.50982167169587E-18i</v>
      </c>
      <c r="U98" s="36" t="str">
        <f>IMSUM(IMPRODUCT(Lambda_1,beta_b1,Cj_1,IMEXP(IMPRODUCT(Lambda_1,'Thin theory'!P98))),IMPRODUCT(Lambda_2,beta_b2,Cj_2,IMEXP(IMPRODUCT(Lambda_2,'Thin theory'!P98))),IMPRODUCT(Lambda_3,beta_b3,Cj_3,IMEXP(IMPRODUCT(Lambda_3,'Thin theory'!P98))),IMPRODUCT(Lambda_4,beta_b4,Cj_4,IMEXP(IMPRODUCT(Lambda_4,'Thin theory'!P98))))</f>
        <v>3.61788132222497E-06-3.14896078670362E-18i</v>
      </c>
      <c r="V98" s="36" t="str">
        <f>IMSUM(IMPRODUCT(-1,uc),Nz/Cs*'Thin theory'!P98,IMPRODUCT(-nu/rad,IMSUM(wm*'Thin theory'!P98,IMPRODUCT(IMDIV(w_a1,Lambda_1),Cj_1,IMEXP(IMPRODUCT(Lambda_1,'Thin theory'!P98))),IMPRODUCT(IMDIV(w_a2,Lambda_2),Cj_2,IMEXP(IMPRODUCT(Lambda_2,'Thin theory'!P98))),IMPRODUCT(IMDIV(w_a3,Lambda_3),Cj_3,IMEXP(IMPRODUCT(Lambda_3,'Thin theory'!P98))),IMPRODUCT(IMDIV(w_a4,Lambda_4),Cj_4,IMEXP(IMPRODUCT(Lambda_4,'Thin theory'!P98))))))</f>
        <v>2.04583259475723E-06-7.4949089952337E-20i</v>
      </c>
      <c r="W98" s="36" t="str">
        <f t="shared" si="25"/>
        <v>-4.60374782012291E-06+7.02075583322856E-20i</v>
      </c>
      <c r="X98" s="41">
        <f t="shared" si="37"/>
        <v>2.0458325947572299E-6</v>
      </c>
      <c r="Y98" s="41">
        <f t="shared" si="38"/>
        <v>8.9579700204847802E-7</v>
      </c>
      <c r="Z98" s="38">
        <f t="shared" si="26"/>
        <v>-1.0000000000000002</v>
      </c>
      <c r="AA98" s="38">
        <f t="shared" si="27"/>
        <v>-0.26416811991806094</v>
      </c>
      <c r="AB98" s="38">
        <f t="shared" si="28"/>
        <v>4.103202954379194E-2</v>
      </c>
      <c r="AC98" s="38">
        <f t="shared" ref="AC98:AC129" si="39">nu*AB98</f>
        <v>1.2309608863137582E-2</v>
      </c>
      <c r="AD98" s="38">
        <f t="shared" si="30"/>
        <v>-0.75380782273724856</v>
      </c>
      <c r="AE98" s="38">
        <f t="shared" si="31"/>
        <v>-1.0000000000000002</v>
      </c>
      <c r="AF98" s="38">
        <f t="shared" si="32"/>
        <v>-1.2461921772627518</v>
      </c>
      <c r="AG98" s="38">
        <f t="shared" si="33"/>
        <v>-0.19031046673923546</v>
      </c>
      <c r="AH98" s="38">
        <f t="shared" si="34"/>
        <v>-0.26416811991806094</v>
      </c>
      <c r="AI98" s="38">
        <f t="shared" si="35"/>
        <v>-0.33802577309688642</v>
      </c>
    </row>
    <row r="99" spans="17:35" x14ac:dyDescent="0.3">
      <c r="Q99" s="36" t="str">
        <f>IMSUM(wm,IMPRODUCT(w_a1,Cj_1,IMEXP(IMPRODUCT(Lambda_1,'Thin theory'!P99))),IMPRODUCT(w_a2,Cj_2,IMEXP(IMPRODUCT(Lambda_2,'Thin theory'!P99))),IMPRODUCT(w_a3,Cj_3,IMEXP(IMPRODUCT(Lambda_3,'Thin theory'!P99))),IMPRODUCT(w_a4,Cj_4,IMEXP(IMPRODUCT(Lambda_4,'Thin theory'!P99))))</f>
        <v>6.32409780135424E-07-1.90006674746365E-18i</v>
      </c>
      <c r="R99" s="36" t="str">
        <f>IMSUM(IMPRODUCT(w_b1,Cj_1,IMEXP(IMPRODUCT(Lambda_1,'Thin theory'!P99))),IMPRODUCT(w_b2,Cj_2,IMEXP(IMPRODUCT(Lambda_2,'Thin theory'!P99))),IMPRODUCT(w_b3,Cj_3,IMEXP(IMPRODUCT(Lambda_3,'Thin theory'!P99))),IMPRODUCT(w_b4,Cj_4,IMEXP(IMPRODUCT(Lambda_4,'Thin theory'!P99))))</f>
        <v>-2.26229493035954E-06-6.93979056769124E-18i</v>
      </c>
      <c r="S99" s="36" t="str">
        <f>IMSUM(IMPRODUCT(beta_a1,Cj_1,IMEXP(IMPRODUCT(Lambda_1,'Thin theory'!P99))),IMPRODUCT(beta_a2,Cj_2,IMEXP(IMPRODUCT(Lambda_2,'Thin theory'!P99))),IMPRODUCT(beta_a3,Cj_3,IMEXP(IMPRODUCT(Lambda_3,'Thin theory'!P99))),IMPRODUCT(beta_a4,Cj_4,IMEXP(IMPRODUCT(Lambda_4,'Thin theory'!P99))))</f>
        <v>-1.13460479568919E-06-7.83003294860347E-18i</v>
      </c>
      <c r="T99" s="36" t="str">
        <f>IMSUM(IMPRODUCT(beta_b1,Cj_1,IMEXP(IMPRODUCT(Lambda_1,'Thin theory'!P99))),IMPRODUCT(beta_b2,Cj_2,IMEXP(IMPRODUCT(Lambda_2,'Thin theory'!P99))),IMPRODUCT(beta_b3,Cj_3,IMEXP(IMPRODUCT(Lambda_3,'Thin theory'!P99))),IMPRODUCT(beta_b4,Cj_4,IMEXP(IMPRODUCT(Lambda_4,'Thin theory'!P99))))</f>
        <v>2.66311393161089E-06-6.85965620507924E-18i</v>
      </c>
      <c r="U99" s="36" t="str">
        <f>IMSUM(IMPRODUCT(Lambda_1,beta_b1,Cj_1,IMEXP(IMPRODUCT(Lambda_1,'Thin theory'!P99))),IMPRODUCT(Lambda_2,beta_b2,Cj_2,IMEXP(IMPRODUCT(Lambda_2,'Thin theory'!P99))),IMPRODUCT(Lambda_3,beta_b3,Cj_3,IMEXP(IMPRODUCT(Lambda_3,'Thin theory'!P99))),IMPRODUCT(Lambda_4,beta_b4,Cj_4,IMEXP(IMPRODUCT(Lambda_4,'Thin theory'!P99))))</f>
        <v>3.94691547134621E-06-3.07495128293727E-18i</v>
      </c>
      <c r="V99" s="36" t="str">
        <f>IMSUM(IMPRODUCT(-1,uc),Nz/Cs*'Thin theory'!P99,IMPRODUCT(-nu/rad,IMSUM(wm*'Thin theory'!P99,IMPRODUCT(IMDIV(w_a1,Lambda_1),Cj_1,IMEXP(IMPRODUCT(Lambda_1,'Thin theory'!P99))),IMPRODUCT(IMDIV(w_a2,Lambda_2),Cj_2,IMEXP(IMPRODUCT(Lambda_2,'Thin theory'!P99))),IMPRODUCT(IMDIV(w_a3,Lambda_3),Cj_3,IMEXP(IMPRODUCT(Lambda_3,'Thin theory'!P99))),IMPRODUCT(IMDIV(w_a4,Lambda_4),Cj_4,IMEXP(IMPRODUCT(Lambda_4,'Thin theory'!P99))))))</f>
        <v>1.53201259888794E-06-6.473387260845E-20i</v>
      </c>
      <c r="W99" s="36" t="str">
        <f t="shared" si="25"/>
        <v>-4.58794458680813E-06+1.14004004847819E-19i</v>
      </c>
      <c r="X99" s="41">
        <f t="shared" si="37"/>
        <v>1.5320125988879401E-6</v>
      </c>
      <c r="Y99" s="41">
        <f t="shared" si="38"/>
        <v>6.3240978013542403E-7</v>
      </c>
      <c r="Z99" s="38">
        <f t="shared" si="26"/>
        <v>-1.0000000000000011</v>
      </c>
      <c r="AA99" s="38">
        <f t="shared" si="27"/>
        <v>-0.27470360879458333</v>
      </c>
      <c r="AB99" s="38">
        <f t="shared" si="28"/>
        <v>4.8774980432433883E-2</v>
      </c>
      <c r="AC99" s="38">
        <f t="shared" si="39"/>
        <v>1.4632494129730163E-2</v>
      </c>
      <c r="AD99" s="38">
        <f t="shared" si="30"/>
        <v>-0.70735011740539777</v>
      </c>
      <c r="AE99" s="38">
        <f t="shared" si="31"/>
        <v>-1.0000000000000011</v>
      </c>
      <c r="AF99" s="38">
        <f t="shared" si="32"/>
        <v>-1.2926498825946044</v>
      </c>
      <c r="AG99" s="38">
        <f t="shared" si="33"/>
        <v>-0.18690864401620236</v>
      </c>
      <c r="AH99" s="38">
        <f t="shared" si="34"/>
        <v>-0.27470360879458333</v>
      </c>
      <c r="AI99" s="38">
        <f t="shared" si="35"/>
        <v>-0.36249857357296433</v>
      </c>
    </row>
    <row r="100" spans="17:35" x14ac:dyDescent="0.3">
      <c r="Q100" s="36" t="str">
        <f>IMSUM(wm,IMPRODUCT(w_a1,Cj_1,IMEXP(IMPRODUCT(Lambda_1,'Thin theory'!P100))),IMPRODUCT(w_a2,Cj_2,IMEXP(IMPRODUCT(Lambda_2,'Thin theory'!P100))),IMPRODUCT(w_a3,Cj_3,IMEXP(IMPRODUCT(Lambda_3,'Thin theory'!P100))),IMPRODUCT(w_a4,Cj_4,IMEXP(IMPRODUCT(Lambda_4,'Thin theory'!P100))))</f>
        <v>3.91640033758762E-07-2.7299572037034E-18i</v>
      </c>
      <c r="R100" s="36" t="str">
        <f>IMSUM(IMPRODUCT(w_b1,Cj_1,IMEXP(IMPRODUCT(Lambda_1,'Thin theory'!P100))),IMPRODUCT(w_b2,Cj_2,IMEXP(IMPRODUCT(Lambda_2,'Thin theory'!P100))),IMPRODUCT(w_b3,Cj_3,IMEXP(IMPRODUCT(Lambda_3,'Thin theory'!P100))),IMPRODUCT(w_b4,Cj_4,IMEXP(IMPRODUCT(Lambda_4,'Thin theory'!P100))))</f>
        <v>-2.03670947028859E-06-7.76014239069733E-18i</v>
      </c>
      <c r="S100" s="36" t="str">
        <f>IMSUM(IMPRODUCT(beta_a1,Cj_1,IMEXP(IMPRODUCT(Lambda_1,'Thin theory'!P100))),IMPRODUCT(beta_a2,Cj_2,IMEXP(IMPRODUCT(Lambda_2,'Thin theory'!P100))),IMPRODUCT(beta_a3,Cj_3,IMEXP(IMPRODUCT(Lambda_3,'Thin theory'!P100))),IMPRODUCT(beta_a4,Cj_4,IMEXP(IMPRODUCT(Lambda_4,'Thin theory'!P100))))</f>
        <v>-8.11486354557834E-07-8.61014946584407E-18i</v>
      </c>
      <c r="T100" s="36" t="str">
        <f>IMSUM(IMPRODUCT(beta_b1,Cj_1,IMEXP(IMPRODUCT(Lambda_1,'Thin theory'!P100))),IMPRODUCT(beta_b2,Cj_2,IMEXP(IMPRODUCT(Lambda_2,'Thin theory'!P100))),IMPRODUCT(beta_b3,Cj_3,IMEXP(IMPRODUCT(Lambda_3,'Thin theory'!P100))),IMPRODUCT(beta_b4,Cj_4,IMEXP(IMPRODUCT(Lambda_4,'Thin theory'!P100))))</f>
        <v>3.12336581324352E-06-7.20017378963313E-18i</v>
      </c>
      <c r="U100" s="36" t="str">
        <f>IMSUM(IMPRODUCT(Lambda_1,beta_b1,Cj_1,IMEXP(IMPRODUCT(Lambda_1,'Thin theory'!P100))),IMPRODUCT(Lambda_2,beta_b2,Cj_2,IMEXP(IMPRODUCT(Lambda_2,'Thin theory'!P100))),IMPRODUCT(Lambda_3,beta_b3,Cj_3,IMEXP(IMPRODUCT(Lambda_3,'Thin theory'!P100))),IMPRODUCT(Lambda_4,beta_b4,Cj_4,IMEXP(IMPRODUCT(Lambda_4,'Thin theory'!P100))))</f>
        <v>4.28828090505761E-06-2.96102535153157E-18i</v>
      </c>
      <c r="V100" s="36" t="str">
        <f>IMSUM(IMPRODUCT(-1,uc),Nz/Cs*'Thin theory'!P100,IMPRODUCT(-nu/rad,IMSUM(wm*'Thin theory'!P100,IMPRODUCT(IMDIV(w_a1,Lambda_1),Cj_1,IMEXP(IMPRODUCT(Lambda_1,'Thin theory'!P100))),IMPRODUCT(IMDIV(w_a2,Lambda_2),Cj_2,IMEXP(IMPRODUCT(Lambda_2,'Thin theory'!P100))),IMPRODUCT(IMDIV(w_a3,Lambda_3),Cj_3,IMEXP(IMPRODUCT(Lambda_3,'Thin theory'!P100))),IMPRODUCT(IMDIV(w_a4,Lambda_4),Cj_4,IMEXP(IMPRODUCT(Lambda_4,'Thin theory'!P100))))))</f>
        <v>1.01988646079205E-06-4.9132146105485E-20i</v>
      </c>
      <c r="W100" s="36" t="str">
        <f t="shared" si="25"/>
        <v>-4.57349840202553E-06+1.63797432222204E-19i</v>
      </c>
      <c r="X100" s="41">
        <f t="shared" si="37"/>
        <v>1.0198864607920499E-6</v>
      </c>
      <c r="Y100" s="41">
        <f t="shared" si="38"/>
        <v>3.91640033758762E-7</v>
      </c>
      <c r="Z100" s="38">
        <f t="shared" si="26"/>
        <v>-1.0000000000000009</v>
      </c>
      <c r="AA100" s="38">
        <f t="shared" si="27"/>
        <v>-0.28433439864964977</v>
      </c>
      <c r="AB100" s="38">
        <f t="shared" si="28"/>
        <v>5.720450207405714E-2</v>
      </c>
      <c r="AC100" s="38">
        <f t="shared" si="39"/>
        <v>1.7161350622217141E-2</v>
      </c>
      <c r="AD100" s="38">
        <f t="shared" si="30"/>
        <v>-0.65677298755565805</v>
      </c>
      <c r="AE100" s="38">
        <f t="shared" si="31"/>
        <v>-1.0000000000000009</v>
      </c>
      <c r="AF100" s="38">
        <f t="shared" si="32"/>
        <v>-1.3432270124443437</v>
      </c>
      <c r="AG100" s="38">
        <f t="shared" si="33"/>
        <v>-0.18136629491634693</v>
      </c>
      <c r="AH100" s="38">
        <f t="shared" si="34"/>
        <v>-0.28433439864964977</v>
      </c>
      <c r="AI100" s="38">
        <f t="shared" si="35"/>
        <v>-0.38730250238295261</v>
      </c>
    </row>
    <row r="101" spans="17:35" x14ac:dyDescent="0.3">
      <c r="Q101" s="36" t="str">
        <f>IMSUM(wm,IMPRODUCT(w_a1,Cj_1,IMEXP(IMPRODUCT(Lambda_1,'Thin theory'!P101))),IMPRODUCT(w_a2,Cj_2,IMEXP(IMPRODUCT(Lambda_2,'Thin theory'!P101))),IMPRODUCT(w_a3,Cj_3,IMEXP(IMPRODUCT(Lambda_3,'Thin theory'!P101))),IMPRODUCT(w_a4,Cj_4,IMEXP(IMPRODUCT(Lambda_4,'Thin theory'!P101))))</f>
        <v>1.78867378181605E-07-3.64010010258759E-18i</v>
      </c>
      <c r="R101" s="36" t="str">
        <f>IMSUM(IMPRODUCT(w_b1,Cj_1,IMEXP(IMPRODUCT(Lambda_1,'Thin theory'!P101))),IMPRODUCT(w_b2,Cj_2,IMEXP(IMPRODUCT(Lambda_2,'Thin theory'!P101))),IMPRODUCT(w_b3,Cj_3,IMEXP(IMPRODUCT(Lambda_3,'Thin theory'!P101))),IMPRODUCT(w_b4,Cj_4,IMEXP(IMPRODUCT(Lambda_4,'Thin theory'!P101))))</f>
        <v>-1.76067963509887E-06-8.64019928313689E-18i</v>
      </c>
      <c r="S101" s="36" t="str">
        <f>IMSUM(IMPRODUCT(beta_a1,Cj_1,IMEXP(IMPRODUCT(Lambda_1,'Thin theory'!P101))),IMPRODUCT(beta_a2,Cj_2,IMEXP(IMPRODUCT(Lambda_2,'Thin theory'!P101))),IMPRODUCT(beta_a3,Cj_3,IMEXP(IMPRODUCT(Lambda_3,'Thin theory'!P101))),IMPRODUCT(beta_a4,Cj_4,IMEXP(IMPRODUCT(Lambda_4,'Thin theory'!P101))))</f>
        <v>-4.34752827888852E-07-9.44023224157624E-18i</v>
      </c>
      <c r="T101" s="36" t="str">
        <f>IMSUM(IMPRODUCT(beta_b1,Cj_1,IMEXP(IMPRODUCT(Lambda_1,'Thin theory'!P101))),IMPRODUCT(beta_b2,Cj_2,IMEXP(IMPRODUCT(Lambda_2,'Thin theory'!P101))),IMPRODUCT(beta_b3,Cj_3,IMEXP(IMPRODUCT(Lambda_3,'Thin theory'!P101))),IMPRODUCT(beta_b4,Cj_4,IMEXP(IMPRODUCT(Lambda_4,'Thin theory'!P101))))</f>
        <v>3.62241661364355E-06-7.51017750857055E-18i</v>
      </c>
      <c r="U101" s="36" t="str">
        <f>IMSUM(IMPRODUCT(Lambda_1,beta_b1,Cj_1,IMEXP(IMPRODUCT(Lambda_1,'Thin theory'!P101))),IMPRODUCT(Lambda_2,beta_b2,Cj_2,IMEXP(IMPRODUCT(Lambda_2,'Thin theory'!P101))),IMPRODUCT(Lambda_3,beta_b3,Cj_3,IMEXP(IMPRODUCT(Lambda_3,'Thin theory'!P101))),IMPRODUCT(Lambda_4,beta_b4,Cj_4,IMEXP(IMPRODUCT(Lambda_4,'Thin theory'!P101))))</f>
        <v>4.64074382523504E-06-2.80601832218403E-18i</v>
      </c>
      <c r="V101" s="36" t="str">
        <f>IMSUM(IMPRODUCT(-1,uc),Nz/Cs*'Thin theory'!P101,IMPRODUCT(-nu/rad,IMSUM(wm*'Thin theory'!P101,IMPRODUCT(IMDIV(w_a1,Lambda_1),Cj_1,IMEXP(IMPRODUCT(Lambda_1,'Thin theory'!P101))),IMPRODUCT(IMDIV(w_a2,Lambda_2),Cj_2,IMEXP(IMPRODUCT(Lambda_2,'Thin theory'!P101))),IMPRODUCT(IMDIV(w_a3,Lambda_3),Cj_3,IMEXP(IMPRODUCT(Lambda_3,'Thin theory'!P101))),IMPRODUCT(IMDIV(w_a4,Lambda_4),Cj_4,IMEXP(IMPRODUCT(Lambda_4,'Thin theory'!P101))))))</f>
        <v>5.09284702705204E-07-2.7837712996094E-20i</v>
      </c>
      <c r="W101" s="36" t="str">
        <f t="shared" si="25"/>
        <v>-0.0000045607320426909+2.18406006155255E-19i</v>
      </c>
      <c r="X101" s="41">
        <f t="shared" si="37"/>
        <v>5.0928470270520398E-7</v>
      </c>
      <c r="Y101" s="41">
        <f t="shared" si="38"/>
        <v>1.7886737818160501E-7</v>
      </c>
      <c r="Z101" s="38">
        <f t="shared" si="26"/>
        <v>-1.0000000000000009</v>
      </c>
      <c r="AA101" s="38">
        <f t="shared" si="27"/>
        <v>-0.29284530487273608</v>
      </c>
      <c r="AB101" s="38">
        <f t="shared" si="28"/>
        <v>6.6344626623508249E-2</v>
      </c>
      <c r="AC101" s="38">
        <f t="shared" si="39"/>
        <v>1.9903387987052473E-2</v>
      </c>
      <c r="AD101" s="38">
        <f t="shared" si="30"/>
        <v>-0.60193224025895142</v>
      </c>
      <c r="AE101" s="38">
        <f t="shared" si="31"/>
        <v>-1.0000000000000009</v>
      </c>
      <c r="AF101" s="38">
        <f t="shared" si="32"/>
        <v>-1.3980677597410502</v>
      </c>
      <c r="AG101" s="38">
        <f t="shared" si="33"/>
        <v>-0.17342497695042125</v>
      </c>
      <c r="AH101" s="38">
        <f t="shared" si="34"/>
        <v>-0.29284530487273608</v>
      </c>
      <c r="AI101" s="38">
        <f t="shared" si="35"/>
        <v>-0.41226563279505091</v>
      </c>
    </row>
    <row r="102" spans="17:35" x14ac:dyDescent="0.3">
      <c r="Q102" s="6" t="str">
        <f>IMSUM(wm,IMPRODUCT(w_a1,Cj_1,IMEXP(IMPRODUCT(Lambda_1,'Thin theory'!P102))),IMPRODUCT(w_a2,Cj_2,IMEXP(IMPRODUCT(Lambda_2,'Thin theory'!P102))),IMPRODUCT(w_a3,Cj_3,IMEXP(IMPRODUCT(Lambda_3,'Thin theory'!P102))),IMPRODUCT(w_a4,Cj_4,IMEXP(IMPRODUCT(Lambda_4,'Thin theory'!P102))))</f>
        <v>1.09677614497692E-18-4.65993175188847E-18i</v>
      </c>
      <c r="R102" s="6" t="str">
        <f>IMSUM(IMPRODUCT(w_b1,Cj_1,IMEXP(IMPRODUCT(Lambda_1,'Thin theory'!P102))),IMPRODUCT(w_b2,Cj_2,IMEXP(IMPRODUCT(Lambda_2,'Thin theory'!P102))),IMPRODUCT(w_b3,Cj_3,IMEXP(IMPRODUCT(Lambda_3,'Thin theory'!P102))),IMPRODUCT(w_b4,Cj_4,IMEXP(IMPRODUCT(Lambda_4,'Thin theory'!P102))))</f>
        <v>-1.42936997389969E-06-9.54018212935224E-18i</v>
      </c>
      <c r="S102" s="6" t="str">
        <f>IMSUM(IMPRODUCT(beta_a1,Cj_1,IMEXP(IMPRODUCT(Lambda_1,'Thin theory'!P102))),IMPRODUCT(beta_a2,Cj_2,IMEXP(IMPRODUCT(Lambda_2,'Thin theory'!P102))),IMPRODUCT(beta_a3,Cj_3,IMEXP(IMPRODUCT(Lambda_3,'Thin theory'!P102))),IMPRODUCT(beta_a4,Cj_4,IMEXP(IMPRODUCT(Lambda_4,'Thin theory'!P102))))</f>
        <v>-1.6586029659282E-17-1.02898062876723E-17i</v>
      </c>
      <c r="T102" s="6" t="str">
        <f>IMSUM(IMPRODUCT(beta_b1,Cj_1,IMEXP(IMPRODUCT(Lambda_1,'Thin theory'!P102))),IMPRODUCT(beta_b2,Cj_2,IMEXP(IMPRODUCT(Lambda_2,'Thin theory'!P102))),IMPRODUCT(beta_b3,Cj_3,IMEXP(IMPRODUCT(Lambda_3,'Thin theory'!P102))),IMPRODUCT(beta_b4,Cj_4,IMEXP(IMPRODUCT(Lambda_4,'Thin theory'!P102))))</f>
        <v>0.0000041614253838251-7.81976805079199E-18i</v>
      </c>
      <c r="U102" s="6" t="str">
        <f>IMSUM(IMPRODUCT(Lambda_1,beta_b1,Cj_1,IMEXP(IMPRODUCT(Lambda_1,'Thin theory'!P102))),IMPRODUCT(Lambda_2,beta_b2,Cj_2,IMEXP(IMPRODUCT(Lambda_2,'Thin theory'!P102))),IMPRODUCT(Lambda_3,beta_b3,Cj_3,IMEXP(IMPRODUCT(Lambda_3,'Thin theory'!P102))),IMPRODUCT(Lambda_4,beta_b4,Cj_4,IMEXP(IMPRODUCT(Lambda_4,'Thin theory'!P102))))</f>
        <v>5.00279490859084E-06-2.60400117105904E-18i</v>
      </c>
      <c r="V102" s="6" t="str">
        <f>IMSUM(IMPRODUCT(-1,uc),Nz/Cs*'Thin theory'!P102,IMPRODUCT(-nu/rad,IMSUM(wm*'Thin theory'!P102,IMPRODUCT(IMDIV(w_a1,Lambda_1),Cj_1,IMEXP(IMPRODUCT(Lambda_1,'Thin theory'!P102))),IMPRODUCT(IMDIV(w_a2,Lambda_2),Cj_2,IMEXP(IMPRODUCT(Lambda_2,'Thin theory'!P102))),IMPRODUCT(IMDIV(w_a3,Lambda_3),Cj_3,IMEXP(IMPRODUCT(Lambda_3,'Thin theory'!P102))),IMPRODUCT(IMDIV(w_a4,Lambda_4),Cj_4,IMEXP(IMPRODUCT(Lambda_4,'Thin theory'!P102))))))</f>
        <v>1.77876918923403E-20</v>
      </c>
      <c r="W102" s="6" t="str">
        <f t="shared" si="25"/>
        <v>-4.55000000000007E-06+2.79595905113308E-19i</v>
      </c>
      <c r="X102" s="41">
        <f t="shared" si="37"/>
        <v>1.7787691892340301E-20</v>
      </c>
      <c r="Y102" s="42">
        <f t="shared" si="38"/>
        <v>1.0967761449769199E-18</v>
      </c>
      <c r="Z102" s="39">
        <f t="shared" si="26"/>
        <v>-1.0000000000000009</v>
      </c>
      <c r="AA102" s="39">
        <f t="shared" si="27"/>
        <v>-0.29999999999995641</v>
      </c>
      <c r="AB102" s="39">
        <f t="shared" si="28"/>
        <v>7.6216582121338819E-2</v>
      </c>
      <c r="AC102" s="39">
        <f t="shared" si="39"/>
        <v>2.2864974636401646E-2</v>
      </c>
      <c r="AD102" s="39">
        <f t="shared" si="30"/>
        <v>-0.54270050727196795</v>
      </c>
      <c r="AE102" s="39">
        <f t="shared" si="31"/>
        <v>-1.0000000000000009</v>
      </c>
      <c r="AF102" s="39">
        <f t="shared" si="32"/>
        <v>-1.4572994927280338</v>
      </c>
      <c r="AG102" s="39">
        <f t="shared" si="33"/>
        <v>-0.16281015218154654</v>
      </c>
      <c r="AH102" s="39">
        <f t="shared" si="34"/>
        <v>-0.29999999999995641</v>
      </c>
      <c r="AI102" s="39">
        <f t="shared" si="35"/>
        <v>-0.43718984781836628</v>
      </c>
    </row>
  </sheetData>
  <mergeCells count="30">
    <mergeCell ref="J71:M71"/>
    <mergeCell ref="J66:M66"/>
    <mergeCell ref="H51:H52"/>
    <mergeCell ref="H53:H54"/>
    <mergeCell ref="H57:H58"/>
    <mergeCell ref="H59:H60"/>
    <mergeCell ref="H69:H70"/>
    <mergeCell ref="I4:J5"/>
    <mergeCell ref="I10:J10"/>
    <mergeCell ref="I16:J16"/>
    <mergeCell ref="I11:J11"/>
    <mergeCell ref="I21:J21"/>
    <mergeCell ref="J50:M50"/>
    <mergeCell ref="J61:M61"/>
    <mergeCell ref="J56:M56"/>
    <mergeCell ref="L4:M5"/>
    <mergeCell ref="L6:M6"/>
    <mergeCell ref="L27:M27"/>
    <mergeCell ref="I26:J26"/>
    <mergeCell ref="A8:D8"/>
    <mergeCell ref="I1:N3"/>
    <mergeCell ref="H62:H63"/>
    <mergeCell ref="H64:H65"/>
    <mergeCell ref="H67:H68"/>
    <mergeCell ref="A9:B9"/>
    <mergeCell ref="A10:B10"/>
    <mergeCell ref="C9:D9"/>
    <mergeCell ref="C10:D10"/>
    <mergeCell ref="C11:D11"/>
    <mergeCell ref="A11:B11"/>
  </mergeCells>
  <pageMargins left="0.7" right="0.7" top="0.75" bottom="0.75" header="0.3" footer="0.3"/>
  <ignoredErrors>
    <ignoredError sqref="N5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C4E5-ED0E-446A-AD1B-1E8642E361FD}">
  <dimension ref="A1"/>
  <sheetViews>
    <sheetView workbookViewId="0"/>
  </sheetViews>
  <sheetFormatPr defaultColWidth="0" defaultRowHeight="14.4" zeroHeight="1" x14ac:dyDescent="0.3"/>
  <cols>
    <col min="1" max="1" width="154.44140625" customWidth="1"/>
    <col min="2" max="16384" width="8.88671875" hidden="1"/>
  </cols>
  <sheetData>
    <row r="1" ht="409.2" customHeight="1" x14ac:dyDescent="0.3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6604-FB60-47E0-A5E3-22C629AD23B4}">
  <dimension ref="A1"/>
  <sheetViews>
    <sheetView workbookViewId="0">
      <selection activeCell="A2" sqref="A2:XFD1048576"/>
    </sheetView>
  </sheetViews>
  <sheetFormatPr defaultColWidth="0" defaultRowHeight="14.4" zeroHeight="1" x14ac:dyDescent="0.3"/>
  <cols>
    <col min="1" max="1" width="154.44140625" customWidth="1"/>
    <col min="2" max="16384" width="8.88671875" hidden="1"/>
  </cols>
  <sheetData>
    <row r="1" ht="409.2" customHeight="1" x14ac:dyDescent="0.3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67A2-241A-48F5-B40B-5C30F79B01C8}">
  <dimension ref="A1"/>
  <sheetViews>
    <sheetView workbookViewId="0">
      <selection sqref="A1:A1048576"/>
    </sheetView>
  </sheetViews>
  <sheetFormatPr defaultColWidth="0" defaultRowHeight="14.4" zeroHeight="1" x14ac:dyDescent="0.3"/>
  <cols>
    <col min="1" max="1" width="154.44140625" customWidth="1"/>
    <col min="2" max="16384" width="8.88671875" hidden="1"/>
  </cols>
  <sheetData>
    <row r="1" ht="409.2" customHeight="1" x14ac:dyDescent="0.3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BC68-BB3F-4251-874B-8F16EEE02BA4}">
  <dimension ref="A1:D1"/>
  <sheetViews>
    <sheetView workbookViewId="0">
      <selection sqref="A1:A1048576"/>
    </sheetView>
  </sheetViews>
  <sheetFormatPr defaultColWidth="0" defaultRowHeight="14.4" zeroHeight="1" x14ac:dyDescent="0.3"/>
  <cols>
    <col min="1" max="1" width="154.44140625" customWidth="1"/>
    <col min="2" max="3" width="8.88671875" hidden="1" customWidth="1"/>
    <col min="4" max="4" width="133.5546875" hidden="1" customWidth="1"/>
    <col min="5" max="16384" width="8.88671875" hidden="1"/>
  </cols>
  <sheetData>
    <row r="1" ht="409.2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45</vt:i4>
      </vt:variant>
    </vt:vector>
  </HeadingPairs>
  <TitlesOfParts>
    <vt:vector size="53" baseType="lpstr">
      <vt:lpstr>Info</vt:lpstr>
      <vt:lpstr>Inputs</vt:lpstr>
      <vt:lpstr>Thin theory</vt:lpstr>
      <vt:lpstr>Thick theory</vt:lpstr>
      <vt:lpstr>u</vt:lpstr>
      <vt:lpstr>w</vt:lpstr>
      <vt:lpstr>σφ</vt:lpstr>
      <vt:lpstr>σθ</vt:lpstr>
      <vt:lpstr>a</vt:lpstr>
      <vt:lpstr>b</vt:lpstr>
      <vt:lpstr>beta_a1</vt:lpstr>
      <vt:lpstr>beta_a2</vt:lpstr>
      <vt:lpstr>beta_a3</vt:lpstr>
      <vt:lpstr>beta_a4</vt:lpstr>
      <vt:lpstr>beta_b1</vt:lpstr>
      <vt:lpstr>beta_b2</vt:lpstr>
      <vt:lpstr>beta_b3</vt:lpstr>
      <vt:lpstr>beta_b4</vt:lpstr>
      <vt:lpstr>betam</vt:lpstr>
      <vt:lpstr>Cj_1</vt:lpstr>
      <vt:lpstr>Cj_2</vt:lpstr>
      <vt:lpstr>Cj_3</vt:lpstr>
      <vt:lpstr>Cj_4</vt:lpstr>
      <vt:lpstr>Cs</vt:lpstr>
      <vt:lpstr>D</vt:lpstr>
      <vt:lpstr>DD</vt:lpstr>
      <vt:lpstr>Dm</vt:lpstr>
      <vt:lpstr>Ds</vt:lpstr>
      <vt:lpstr>E</vt:lpstr>
      <vt:lpstr>G</vt:lpstr>
      <vt:lpstr>k</vt:lpstr>
      <vt:lpstr>L</vt:lpstr>
      <vt:lpstr>Lambda_1</vt:lpstr>
      <vt:lpstr>Lambda_2</vt:lpstr>
      <vt:lpstr>Lambda_3</vt:lpstr>
      <vt:lpstr>Lambda_4</vt:lpstr>
      <vt:lpstr>lambda_thick</vt:lpstr>
      <vt:lpstr>lambda_thin</vt:lpstr>
      <vt:lpstr>nu</vt:lpstr>
      <vt:lpstr>Nz</vt:lpstr>
      <vt:lpstr>p</vt:lpstr>
      <vt:lpstr>rad</vt:lpstr>
      <vt:lpstr>t</vt:lpstr>
      <vt:lpstr>uc</vt:lpstr>
      <vt:lpstr>w_a1</vt:lpstr>
      <vt:lpstr>w_a2</vt:lpstr>
      <vt:lpstr>w_a3</vt:lpstr>
      <vt:lpstr>w_a4</vt:lpstr>
      <vt:lpstr>w_b1</vt:lpstr>
      <vt:lpstr>w_b2</vt:lpstr>
      <vt:lpstr>w_b3</vt:lpstr>
      <vt:lpstr>w_b4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Filippidis, Achilleas</dc:creator>
  <cp:lastModifiedBy>Filippidis, Achilleas</cp:lastModifiedBy>
  <dcterms:created xsi:type="dcterms:W3CDTF">2024-10-02T10:50:25Z</dcterms:created>
  <dcterms:modified xsi:type="dcterms:W3CDTF">2024-10-23T13:29:29Z</dcterms:modified>
</cp:coreProperties>
</file>