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67524\Desktop\"/>
    </mc:Choice>
  </mc:AlternateContent>
  <bookViews>
    <workbookView xWindow="0" yWindow="0" windowWidth="19200" windowHeight="6990"/>
  </bookViews>
  <sheets>
    <sheet name="Damage Outpu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6" i="1"/>
  <c r="F33" i="1"/>
  <c r="D36" i="1"/>
  <c r="D35" i="1"/>
  <c r="D28" i="1"/>
  <c r="D21" i="1"/>
  <c r="E36" i="1"/>
  <c r="E37" i="1" s="1"/>
  <c r="B36" i="1"/>
  <c r="C36" i="1"/>
  <c r="C33" i="1"/>
  <c r="C35" i="1" s="1"/>
  <c r="B33" i="1"/>
  <c r="B35" i="1" s="1"/>
  <c r="B37" i="1" s="1"/>
  <c r="H12" i="1"/>
  <c r="G12" i="1"/>
  <c r="G14" i="1" s="1"/>
  <c r="F12" i="1"/>
  <c r="F14" i="1" s="1"/>
  <c r="F16" i="1" s="1"/>
  <c r="E12" i="1"/>
  <c r="E14" i="1" s="1"/>
  <c r="C12" i="1"/>
  <c r="C14" i="1" s="1"/>
  <c r="B12" i="1"/>
  <c r="H36" i="1"/>
  <c r="H33" i="1"/>
  <c r="H35" i="1" s="1"/>
  <c r="G33" i="1"/>
  <c r="D29" i="1"/>
  <c r="D22" i="1"/>
  <c r="D15" i="1"/>
  <c r="D8" i="1"/>
  <c r="D7" i="1"/>
  <c r="D9" i="1" s="1"/>
  <c r="D14" i="1"/>
  <c r="D16" i="1" s="1"/>
  <c r="B19" i="1"/>
  <c r="H26" i="1"/>
  <c r="H28" i="1" s="1"/>
  <c r="G26" i="1"/>
  <c r="G28" i="1" s="1"/>
  <c r="G30" i="1" s="1"/>
  <c r="F26" i="1"/>
  <c r="F28" i="1" s="1"/>
  <c r="E26" i="1"/>
  <c r="E28" i="1" s="1"/>
  <c r="C26" i="1"/>
  <c r="C28" i="1" s="1"/>
  <c r="B26" i="1"/>
  <c r="B28" i="1" s="1"/>
  <c r="B30" i="1" s="1"/>
  <c r="H29" i="1"/>
  <c r="G29" i="1"/>
  <c r="F29" i="1"/>
  <c r="E29" i="1"/>
  <c r="C29" i="1"/>
  <c r="B29" i="1"/>
  <c r="G36" i="1"/>
  <c r="G35" i="1"/>
  <c r="C22" i="1"/>
  <c r="C19" i="1"/>
  <c r="C21" i="1" s="1"/>
  <c r="B22" i="1"/>
  <c r="H22" i="1"/>
  <c r="G22" i="1"/>
  <c r="F22" i="1"/>
  <c r="E22" i="1"/>
  <c r="B21" i="1"/>
  <c r="H19" i="1"/>
  <c r="H21" i="1" s="1"/>
  <c r="H23" i="1" s="1"/>
  <c r="G19" i="1"/>
  <c r="G21" i="1" s="1"/>
  <c r="F19" i="1"/>
  <c r="F21" i="1" s="1"/>
  <c r="F23" i="1" s="1"/>
  <c r="E19" i="1"/>
  <c r="E21" i="1" s="1"/>
  <c r="H5" i="1"/>
  <c r="H7" i="1" s="1"/>
  <c r="G5" i="1"/>
  <c r="G7" i="1" s="1"/>
  <c r="F5" i="1"/>
  <c r="F7" i="1" s="1"/>
  <c r="E5" i="1"/>
  <c r="E7" i="1" s="1"/>
  <c r="C5" i="1"/>
  <c r="C7" i="1" s="1"/>
  <c r="B5" i="1"/>
  <c r="B7" i="1" s="1"/>
  <c r="B15" i="1"/>
  <c r="B8" i="1"/>
  <c r="H14" i="1"/>
  <c r="H15" i="1"/>
  <c r="G15" i="1"/>
  <c r="F15" i="1"/>
  <c r="E15" i="1"/>
  <c r="C15" i="1"/>
  <c r="B14" i="1"/>
  <c r="E8" i="1"/>
  <c r="G8" i="1"/>
  <c r="F8" i="1"/>
  <c r="C8" i="1"/>
  <c r="H8" i="1"/>
  <c r="F37" i="1" l="1"/>
  <c r="D37" i="1"/>
  <c r="G37" i="1"/>
  <c r="H16" i="1"/>
  <c r="E23" i="1"/>
  <c r="B23" i="1"/>
  <c r="B9" i="1"/>
  <c r="G23" i="1"/>
  <c r="C30" i="1"/>
  <c r="H30" i="1"/>
  <c r="E30" i="1"/>
  <c r="C37" i="1"/>
  <c r="G9" i="1"/>
  <c r="F30" i="1"/>
  <c r="H37" i="1"/>
  <c r="C16" i="1"/>
  <c r="G16" i="1"/>
  <c r="H9" i="1"/>
  <c r="E16" i="1"/>
  <c r="F9" i="1"/>
  <c r="D23" i="1"/>
  <c r="C23" i="1"/>
  <c r="E9" i="1"/>
  <c r="C9" i="1"/>
  <c r="B16" i="1"/>
  <c r="I37" i="1" l="1"/>
  <c r="L17" i="1" s="1"/>
  <c r="I23" i="1"/>
  <c r="L15" i="1" s="1"/>
  <c r="D30" i="1" s="1"/>
  <c r="I30" i="1" s="1"/>
  <c r="L16" i="1" s="1"/>
  <c r="I16" i="1"/>
  <c r="L14" i="1" s="1"/>
  <c r="I9" i="1"/>
  <c r="L13" i="1" s="1"/>
</calcChain>
</file>

<file path=xl/sharedStrings.xml><?xml version="1.0" encoding="utf-8"?>
<sst xmlns="http://schemas.openxmlformats.org/spreadsheetml/2006/main" count="95" uniqueCount="68">
  <si>
    <t>Aequitas</t>
    <phoneticPr fontId="2" type="noConversion"/>
  </si>
  <si>
    <t>Lv 12</t>
    <phoneticPr fontId="2" type="noConversion"/>
  </si>
  <si>
    <t>Baran</t>
    <phoneticPr fontId="2" type="noConversion"/>
  </si>
  <si>
    <t>Gigor</t>
    <phoneticPr fontId="2" type="noConversion"/>
  </si>
  <si>
    <t>Leon</t>
    <phoneticPr fontId="2" type="noConversion"/>
  </si>
  <si>
    <t>Leia</t>
    <phoneticPr fontId="2" type="noConversion"/>
  </si>
  <si>
    <t>Main Hit</t>
    <phoneticPr fontId="2" type="noConversion"/>
  </si>
  <si>
    <t>Ranged Hit</t>
    <phoneticPr fontId="2" type="noConversion"/>
  </si>
  <si>
    <t>Felix</t>
    <phoneticPr fontId="2" type="noConversion"/>
  </si>
  <si>
    <t>Hits</t>
    <phoneticPr fontId="2" type="noConversion"/>
  </si>
  <si>
    <t>Scott</t>
    <phoneticPr fontId="2" type="noConversion"/>
  </si>
  <si>
    <t>Avg Damage per hit</t>
    <phoneticPr fontId="2" type="noConversion"/>
  </si>
  <si>
    <t>Output</t>
    <phoneticPr fontId="2" type="noConversion"/>
  </si>
  <si>
    <t>Target</t>
    <phoneticPr fontId="2" type="noConversion"/>
  </si>
  <si>
    <t>HP</t>
    <phoneticPr fontId="2" type="noConversion"/>
  </si>
  <si>
    <t>AC</t>
    <phoneticPr fontId="2" type="noConversion"/>
  </si>
  <si>
    <t>Hit Chance</t>
    <phoneticPr fontId="2" type="noConversion"/>
  </si>
  <si>
    <t>Main Hit with Advantage</t>
    <phoneticPr fontId="2" type="noConversion"/>
  </si>
  <si>
    <t>DC:16</t>
    <phoneticPr fontId="2" type="noConversion"/>
  </si>
  <si>
    <t>Str Saves</t>
    <phoneticPr fontId="2" type="noConversion"/>
  </si>
  <si>
    <t>Dex Saves</t>
    <phoneticPr fontId="2" type="noConversion"/>
  </si>
  <si>
    <t>Con Saves</t>
    <phoneticPr fontId="2" type="noConversion"/>
  </si>
  <si>
    <t>Int Saves</t>
    <phoneticPr fontId="2" type="noConversion"/>
  </si>
  <si>
    <t>Wis Saves</t>
    <phoneticPr fontId="2" type="noConversion"/>
  </si>
  <si>
    <t>Cha Saves</t>
    <phoneticPr fontId="2" type="noConversion"/>
  </si>
  <si>
    <t>Adult Red Dragon (Dummy)</t>
    <phoneticPr fontId="2" type="noConversion"/>
  </si>
  <si>
    <t>Ranged Hit with Advantage</t>
    <phoneticPr fontId="2" type="noConversion"/>
  </si>
  <si>
    <t>Burst Hit with Advantage</t>
    <phoneticPr fontId="2" type="noConversion"/>
  </si>
  <si>
    <t>MM</t>
    <phoneticPr fontId="2" type="noConversion"/>
  </si>
  <si>
    <t>Haste+
Superier Dice(1d10)</t>
    <phoneticPr fontId="2" type="noConversion"/>
  </si>
  <si>
    <t>Haste+
Divine Smite (lv3)</t>
    <phoneticPr fontId="2" type="noConversion"/>
  </si>
  <si>
    <t>Twin Eldritch Blast + Hex + Hex Curse</t>
    <phoneticPr fontId="2" type="noConversion"/>
  </si>
  <si>
    <t>Eldritch Blast + Hex + Hex Curse</t>
    <phoneticPr fontId="2" type="noConversion"/>
  </si>
  <si>
    <t>Avg Round to its Eternal Death</t>
    <phoneticPr fontId="2" type="noConversion"/>
  </si>
  <si>
    <t>Toll the Dead</t>
    <phoneticPr fontId="2" type="noConversion"/>
  </si>
  <si>
    <t>+1 TH Sword</t>
    <phoneticPr fontId="2" type="noConversion"/>
  </si>
  <si>
    <t>+1 OH Sword</t>
    <phoneticPr fontId="2" type="noConversion"/>
  </si>
  <si>
    <t>Toll the Dead</t>
    <phoneticPr fontId="2" type="noConversion"/>
  </si>
  <si>
    <t>Eldritch Blast</t>
    <phoneticPr fontId="2" type="noConversion"/>
  </si>
  <si>
    <t>Javelins</t>
    <phoneticPr fontId="2" type="noConversion"/>
  </si>
  <si>
    <t>Ray of Frost</t>
    <phoneticPr fontId="2" type="noConversion"/>
  </si>
  <si>
    <t>+1 OH Sword</t>
    <phoneticPr fontId="2" type="noConversion"/>
  </si>
  <si>
    <t>+1 TH Sword</t>
    <phoneticPr fontId="2" type="noConversion"/>
  </si>
  <si>
    <t>Toll the Dead</t>
    <phoneticPr fontId="2" type="noConversion"/>
  </si>
  <si>
    <t>Ray of Frost</t>
    <phoneticPr fontId="2" type="noConversion"/>
  </si>
  <si>
    <t>Javelins</t>
    <phoneticPr fontId="2" type="noConversion"/>
  </si>
  <si>
    <t>Main Hit with Advantage</t>
    <phoneticPr fontId="2" type="noConversion"/>
  </si>
  <si>
    <t>Hit Chance</t>
    <phoneticPr fontId="2" type="noConversion"/>
  </si>
  <si>
    <t>Avg Damage per hit</t>
    <phoneticPr fontId="2" type="noConversion"/>
  </si>
  <si>
    <t>Output</t>
    <phoneticPr fontId="2" type="noConversion"/>
  </si>
  <si>
    <t>+1 Longbow</t>
    <phoneticPr fontId="2" type="noConversion"/>
  </si>
  <si>
    <t>+1 Longbow</t>
    <phoneticPr fontId="2" type="noConversion"/>
  </si>
  <si>
    <t>Ranged Hit</t>
    <phoneticPr fontId="2" type="noConversion"/>
  </si>
  <si>
    <t>DC:16</t>
    <phoneticPr fontId="2" type="noConversion"/>
  </si>
  <si>
    <t>Hits</t>
    <phoneticPr fontId="2" type="noConversion"/>
  </si>
  <si>
    <t>Hit Chance</t>
    <phoneticPr fontId="2" type="noConversion"/>
  </si>
  <si>
    <t>Avg Damage</t>
    <phoneticPr fontId="2" type="noConversion"/>
  </si>
  <si>
    <t>Ranged Hit with Advantage</t>
    <phoneticPr fontId="2" type="noConversion"/>
  </si>
  <si>
    <t>Avg Damage</t>
    <phoneticPr fontId="2" type="noConversion"/>
  </si>
  <si>
    <t>Output</t>
    <phoneticPr fontId="2" type="noConversion"/>
  </si>
  <si>
    <t>Magic Missile (lv5)</t>
    <phoneticPr fontId="2" type="noConversion"/>
  </si>
  <si>
    <t>Burst Hit with Advantage</t>
    <phoneticPr fontId="2" type="noConversion"/>
  </si>
  <si>
    <t>Hits</t>
    <phoneticPr fontId="2" type="noConversion"/>
  </si>
  <si>
    <t>Output</t>
    <phoneticPr fontId="2" type="noConversion"/>
  </si>
  <si>
    <t>Source:</t>
    <phoneticPr fontId="2" type="noConversion"/>
  </si>
  <si>
    <t>Spirit Guarians (lv5)</t>
    <phoneticPr fontId="2" type="noConversion"/>
  </si>
  <si>
    <t>DC:16</t>
    <phoneticPr fontId="2" type="noConversion"/>
  </si>
  <si>
    <t>Twin Lightening Javelins + War Cleric + Sharp Shooter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</si>
</sst>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  <charset val="136"/>
    </font>
    <font>
      <sz val="10"/>
      <color theme="1"/>
      <name val="Arial"/>
      <family val="2"/>
      <charset val="136"/>
    </font>
    <font>
      <sz val="9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quotePrefix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9" fontId="0" fillId="0" borderId="0" xfId="1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abSelected="1" workbookViewId="0">
      <selection activeCell="G35" sqref="G35"/>
    </sheetView>
  </sheetViews>
  <sheetFormatPr defaultRowHeight="12.5" x14ac:dyDescent="0.25"/>
  <cols>
    <col min="1" max="1" width="21.26953125" bestFit="1" customWidth="1"/>
    <col min="2" max="2" width="9.81640625" bestFit="1" customWidth="1"/>
    <col min="3" max="3" width="9.54296875" customWidth="1"/>
    <col min="4" max="4" width="7.90625" customWidth="1"/>
    <col min="6" max="6" width="12.1796875" customWidth="1"/>
    <col min="7" max="7" width="12.7265625" customWidth="1"/>
    <col min="8" max="8" width="11.6328125" customWidth="1"/>
    <col min="11" max="11" width="24.54296875" customWidth="1"/>
  </cols>
  <sheetData>
    <row r="2" spans="1:12" x14ac:dyDescent="0.25">
      <c r="A2" t="s">
        <v>1</v>
      </c>
      <c r="K2" t="s">
        <v>13</v>
      </c>
      <c r="L2" t="s">
        <v>25</v>
      </c>
    </row>
    <row r="3" spans="1:12" ht="13" thickBot="1" x14ac:dyDescent="0.3">
      <c r="B3" t="s">
        <v>2</v>
      </c>
      <c r="C3" t="s">
        <v>3</v>
      </c>
      <c r="D3" t="s">
        <v>8</v>
      </c>
      <c r="E3" t="s">
        <v>4</v>
      </c>
      <c r="F3" t="s">
        <v>10</v>
      </c>
      <c r="G3" t="s">
        <v>5</v>
      </c>
      <c r="H3" t="s">
        <v>0</v>
      </c>
      <c r="K3" t="s">
        <v>14</v>
      </c>
      <c r="L3">
        <v>256</v>
      </c>
    </row>
    <row r="4" spans="1:12" ht="25" x14ac:dyDescent="0.25">
      <c r="A4" s="1" t="s">
        <v>64</v>
      </c>
      <c r="B4" s="2" t="s">
        <v>36</v>
      </c>
      <c r="C4" s="2" t="s">
        <v>35</v>
      </c>
      <c r="D4" s="3" t="s">
        <v>34</v>
      </c>
      <c r="E4" s="3" t="s">
        <v>40</v>
      </c>
      <c r="F4" s="4" t="s">
        <v>39</v>
      </c>
      <c r="G4" s="4" t="s">
        <v>38</v>
      </c>
      <c r="H4" s="4" t="s">
        <v>38</v>
      </c>
      <c r="I4" s="5"/>
      <c r="K4" t="s">
        <v>15</v>
      </c>
      <c r="L4">
        <v>19</v>
      </c>
    </row>
    <row r="5" spans="1:12" x14ac:dyDescent="0.25">
      <c r="A5" s="6" t="s">
        <v>6</v>
      </c>
      <c r="B5" s="7">
        <f>4+5+1</f>
        <v>10</v>
      </c>
      <c r="C5" s="7">
        <f>4+4+1</f>
        <v>9</v>
      </c>
      <c r="D5" s="7" t="s">
        <v>18</v>
      </c>
      <c r="E5" s="7">
        <f>4+4</f>
        <v>8</v>
      </c>
      <c r="F5" s="7">
        <f>4+3</f>
        <v>7</v>
      </c>
      <c r="G5" s="7">
        <f>4+5</f>
        <v>9</v>
      </c>
      <c r="H5" s="7">
        <f>4+5</f>
        <v>9</v>
      </c>
      <c r="I5" s="8"/>
      <c r="K5" t="s">
        <v>19</v>
      </c>
      <c r="L5">
        <v>8</v>
      </c>
    </row>
    <row r="6" spans="1:12" x14ac:dyDescent="0.25">
      <c r="A6" s="6" t="s">
        <v>9</v>
      </c>
      <c r="B6" s="7">
        <v>2</v>
      </c>
      <c r="C6" s="7">
        <v>3</v>
      </c>
      <c r="D6" s="7">
        <v>1</v>
      </c>
      <c r="E6" s="7">
        <v>1</v>
      </c>
      <c r="F6" s="7">
        <v>2</v>
      </c>
      <c r="G6" s="7">
        <v>1</v>
      </c>
      <c r="H6" s="7">
        <v>1</v>
      </c>
      <c r="I6" s="8"/>
      <c r="K6" t="s">
        <v>20</v>
      </c>
      <c r="L6">
        <v>6</v>
      </c>
    </row>
    <row r="7" spans="1:12" x14ac:dyDescent="0.25">
      <c r="A7" s="6" t="s">
        <v>16</v>
      </c>
      <c r="B7" s="9">
        <f>1-($L$4-B5)*5%</f>
        <v>0.55000000000000004</v>
      </c>
      <c r="C7" s="9">
        <f>1-($L$4-C5)*5%</f>
        <v>0.5</v>
      </c>
      <c r="D7" s="9">
        <f>((16-$L$9)/20)</f>
        <v>0.75</v>
      </c>
      <c r="E7" s="9">
        <f>1-($L$4-E5)*5%</f>
        <v>0.44999999999999996</v>
      </c>
      <c r="F7" s="9">
        <f>1-($L$4-F5)*5%</f>
        <v>0.39999999999999991</v>
      </c>
      <c r="G7" s="9">
        <f>1-($L$4-G5)*5%</f>
        <v>0.5</v>
      </c>
      <c r="H7" s="9">
        <f>1-($L$4-H5)*5%</f>
        <v>0.5</v>
      </c>
      <c r="I7" s="8"/>
      <c r="K7" t="s">
        <v>21</v>
      </c>
      <c r="L7">
        <v>13</v>
      </c>
    </row>
    <row r="8" spans="1:12" x14ac:dyDescent="0.25">
      <c r="A8" s="6" t="s">
        <v>11</v>
      </c>
      <c r="B8" s="7">
        <f>1*4.5+5+1+1</f>
        <v>11.5</v>
      </c>
      <c r="C8" s="7">
        <f>2*3.5+4+1</f>
        <v>12</v>
      </c>
      <c r="D8" s="7">
        <f>3*4.5</f>
        <v>13.5</v>
      </c>
      <c r="E8" s="7">
        <f>3*5.5</f>
        <v>16.5</v>
      </c>
      <c r="F8" s="7">
        <f>1*3.5+3</f>
        <v>6.5</v>
      </c>
      <c r="G8" s="7">
        <f>3*5.5+15</f>
        <v>31.5</v>
      </c>
      <c r="H8" s="7">
        <f>3*5.5+15</f>
        <v>31.5</v>
      </c>
      <c r="I8" s="8"/>
      <c r="K8" t="s">
        <v>22</v>
      </c>
      <c r="L8">
        <v>7</v>
      </c>
    </row>
    <row r="9" spans="1:12" ht="13" thickBot="1" x14ac:dyDescent="0.3">
      <c r="A9" s="10" t="s">
        <v>12</v>
      </c>
      <c r="B9" s="11">
        <f t="shared" ref="B9:G9" si="0">B6*B7*B8</f>
        <v>12.65</v>
      </c>
      <c r="C9" s="11">
        <f t="shared" si="0"/>
        <v>18</v>
      </c>
      <c r="D9" s="11">
        <f t="shared" si="0"/>
        <v>10.125</v>
      </c>
      <c r="E9" s="11">
        <f t="shared" si="0"/>
        <v>7.4249999999999989</v>
      </c>
      <c r="F9" s="11">
        <f t="shared" si="0"/>
        <v>5.1999999999999993</v>
      </c>
      <c r="G9" s="11">
        <f t="shared" si="0"/>
        <v>15.75</v>
      </c>
      <c r="H9" s="11">
        <f>H6*H7*H8</f>
        <v>15.75</v>
      </c>
      <c r="I9" s="12">
        <f>SUM(B9:H9)</f>
        <v>84.899999999999991</v>
      </c>
      <c r="K9" t="s">
        <v>23</v>
      </c>
      <c r="L9">
        <v>1</v>
      </c>
    </row>
    <row r="10" spans="1:12" ht="13" thickBot="1" x14ac:dyDescent="0.3">
      <c r="K10" t="s">
        <v>24</v>
      </c>
      <c r="L10">
        <v>11</v>
      </c>
    </row>
    <row r="11" spans="1:12" ht="25" x14ac:dyDescent="0.25">
      <c r="A11" s="1" t="s">
        <v>64</v>
      </c>
      <c r="B11" s="2" t="s">
        <v>41</v>
      </c>
      <c r="C11" s="2" t="s">
        <v>42</v>
      </c>
      <c r="D11" s="3" t="s">
        <v>43</v>
      </c>
      <c r="E11" s="3" t="s">
        <v>44</v>
      </c>
      <c r="F11" s="4" t="s">
        <v>45</v>
      </c>
      <c r="G11" s="4" t="s">
        <v>38</v>
      </c>
      <c r="H11" s="4" t="s">
        <v>38</v>
      </c>
      <c r="I11" s="5"/>
    </row>
    <row r="12" spans="1:12" x14ac:dyDescent="0.25">
      <c r="A12" s="6" t="s">
        <v>46</v>
      </c>
      <c r="B12" s="7">
        <f>4+5+1+5</f>
        <v>15</v>
      </c>
      <c r="C12" s="7">
        <f>4+4+1+5</f>
        <v>14</v>
      </c>
      <c r="D12" s="7" t="s">
        <v>18</v>
      </c>
      <c r="E12" s="7">
        <f>4+4+5</f>
        <v>13</v>
      </c>
      <c r="F12" s="7">
        <f>4+3+5</f>
        <v>12</v>
      </c>
      <c r="G12" s="7">
        <f>4+5+5</f>
        <v>14</v>
      </c>
      <c r="H12" s="7">
        <f>4+5+5</f>
        <v>14</v>
      </c>
      <c r="I12" s="8"/>
      <c r="K12" t="s">
        <v>33</v>
      </c>
    </row>
    <row r="13" spans="1:12" x14ac:dyDescent="0.25">
      <c r="A13" s="6" t="s">
        <v>9</v>
      </c>
      <c r="B13" s="7">
        <v>2</v>
      </c>
      <c r="C13" s="7">
        <v>3</v>
      </c>
      <c r="D13" s="7">
        <v>1</v>
      </c>
      <c r="E13" s="7">
        <v>1</v>
      </c>
      <c r="F13" s="7">
        <v>2</v>
      </c>
      <c r="G13" s="7">
        <v>1</v>
      </c>
      <c r="H13" s="7">
        <v>1</v>
      </c>
      <c r="I13" s="8"/>
      <c r="K13" t="s">
        <v>6</v>
      </c>
      <c r="L13">
        <f>ROUNDUP($L$3/I9,0)</f>
        <v>4</v>
      </c>
    </row>
    <row r="14" spans="1:12" x14ac:dyDescent="0.25">
      <c r="A14" s="6" t="s">
        <v>47</v>
      </c>
      <c r="B14" s="9">
        <f>1-($L$4-B12)*5%</f>
        <v>0.8</v>
      </c>
      <c r="C14" s="9">
        <f>1-($L$4-C12)*5%</f>
        <v>0.75</v>
      </c>
      <c r="D14" s="9">
        <f>((16-$L$9)/20)</f>
        <v>0.75</v>
      </c>
      <c r="E14" s="9">
        <f>1-($L$4-E12)*5%</f>
        <v>0.7</v>
      </c>
      <c r="F14" s="9">
        <f>1-($L$4-F12)*5%</f>
        <v>0.64999999999999991</v>
      </c>
      <c r="G14" s="9">
        <f>1-($L$4-G12)*5%</f>
        <v>0.75</v>
      </c>
      <c r="H14" s="9">
        <f>1-($L$4-H12)*5%</f>
        <v>0.75</v>
      </c>
      <c r="I14" s="8"/>
      <c r="K14" t="s">
        <v>17</v>
      </c>
      <c r="L14">
        <f>ROUNDUP($L$3/I16,0)</f>
        <v>3</v>
      </c>
    </row>
    <row r="15" spans="1:12" x14ac:dyDescent="0.25">
      <c r="A15" s="6" t="s">
        <v>48</v>
      </c>
      <c r="B15" s="7">
        <f>1*4.5+5+1+1</f>
        <v>11.5</v>
      </c>
      <c r="C15" s="7">
        <f>2*3.5+4+1</f>
        <v>12</v>
      </c>
      <c r="D15" s="7">
        <f>3*4.5</f>
        <v>13.5</v>
      </c>
      <c r="E15" s="7">
        <f>3*5.5</f>
        <v>16.5</v>
      </c>
      <c r="F15" s="7">
        <f>1*3.5+3</f>
        <v>6.5</v>
      </c>
      <c r="G15" s="7">
        <f>3*5.5+15</f>
        <v>31.5</v>
      </c>
      <c r="H15" s="7">
        <f>3*5.5+15</f>
        <v>31.5</v>
      </c>
      <c r="I15" s="8"/>
      <c r="K15" t="s">
        <v>7</v>
      </c>
      <c r="L15">
        <f>ROUNDUP($L$3/I23,0)</f>
        <v>4</v>
      </c>
    </row>
    <row r="16" spans="1:12" ht="13" thickBot="1" x14ac:dyDescent="0.3">
      <c r="A16" s="10" t="s">
        <v>49</v>
      </c>
      <c r="B16" s="11">
        <f t="shared" ref="B16" si="1">B13*B14*B15</f>
        <v>18.400000000000002</v>
      </c>
      <c r="C16" s="11">
        <f t="shared" ref="C16:D16" si="2">C13*C14*C15</f>
        <v>27</v>
      </c>
      <c r="D16" s="11">
        <f t="shared" si="2"/>
        <v>10.125</v>
      </c>
      <c r="E16" s="11">
        <f t="shared" ref="E16" si="3">E13*E14*E15</f>
        <v>11.549999999999999</v>
      </c>
      <c r="F16" s="11">
        <f t="shared" ref="F16" si="4">F13*F14*F15</f>
        <v>8.4499999999999993</v>
      </c>
      <c r="G16" s="11">
        <f t="shared" ref="G16" si="5">G13*G14*G15</f>
        <v>23.625</v>
      </c>
      <c r="H16" s="11">
        <f>H13*H14*H15</f>
        <v>23.625</v>
      </c>
      <c r="I16" s="12">
        <f>SUM(B16:H16)</f>
        <v>122.77500000000001</v>
      </c>
      <c r="K16" t="s">
        <v>26</v>
      </c>
      <c r="L16">
        <f>ROUNDUP($L$3/I30,0)</f>
        <v>3</v>
      </c>
    </row>
    <row r="17" spans="1:12" ht="13" thickBot="1" x14ac:dyDescent="0.3">
      <c r="K17" t="s">
        <v>27</v>
      </c>
      <c r="L17">
        <f>ROUNDUP($L$3/I37,0)</f>
        <v>1</v>
      </c>
    </row>
    <row r="18" spans="1:12" ht="25" x14ac:dyDescent="0.25">
      <c r="A18" s="1" t="s">
        <v>64</v>
      </c>
      <c r="B18" s="2" t="s">
        <v>50</v>
      </c>
      <c r="C18" s="2" t="s">
        <v>51</v>
      </c>
      <c r="D18" s="3" t="s">
        <v>43</v>
      </c>
      <c r="E18" s="3" t="s">
        <v>44</v>
      </c>
      <c r="F18" s="4" t="s">
        <v>45</v>
      </c>
      <c r="G18" s="4" t="s">
        <v>38</v>
      </c>
      <c r="H18" s="4" t="s">
        <v>38</v>
      </c>
      <c r="I18" s="5"/>
    </row>
    <row r="19" spans="1:12" x14ac:dyDescent="0.25">
      <c r="A19" s="6" t="s">
        <v>52</v>
      </c>
      <c r="B19" s="7">
        <f>4+3+1</f>
        <v>8</v>
      </c>
      <c r="C19" s="7">
        <f>4+2+1</f>
        <v>7</v>
      </c>
      <c r="D19" s="7" t="s">
        <v>53</v>
      </c>
      <c r="E19" s="7">
        <f>4+4</f>
        <v>8</v>
      </c>
      <c r="F19" s="7">
        <f>4+3</f>
        <v>7</v>
      </c>
      <c r="G19" s="7">
        <f>4+5</f>
        <v>9</v>
      </c>
      <c r="H19" s="7">
        <f>4+5</f>
        <v>9</v>
      </c>
      <c r="I19" s="8"/>
    </row>
    <row r="20" spans="1:12" x14ac:dyDescent="0.25">
      <c r="A20" s="6" t="s">
        <v>54</v>
      </c>
      <c r="B20" s="7">
        <v>2</v>
      </c>
      <c r="C20" s="7">
        <v>3</v>
      </c>
      <c r="D20" s="7">
        <v>1</v>
      </c>
      <c r="E20" s="7">
        <v>1</v>
      </c>
      <c r="F20" s="7">
        <v>2</v>
      </c>
      <c r="G20" s="7">
        <v>1</v>
      </c>
      <c r="H20" s="7">
        <v>1</v>
      </c>
      <c r="I20" s="8"/>
    </row>
    <row r="21" spans="1:12" x14ac:dyDescent="0.25">
      <c r="A21" s="6" t="s">
        <v>55</v>
      </c>
      <c r="B21" s="9">
        <f>1-($L$4-B19)*5%</f>
        <v>0.44999999999999996</v>
      </c>
      <c r="C21" s="9">
        <f t="shared" ref="C21:H21" si="6">1-($L$4-C19)*5%</f>
        <v>0.39999999999999991</v>
      </c>
      <c r="D21" s="9">
        <f>((16-$L$9)/20)</f>
        <v>0.75</v>
      </c>
      <c r="E21" s="9">
        <f t="shared" si="6"/>
        <v>0.44999999999999996</v>
      </c>
      <c r="F21" s="9">
        <f t="shared" si="6"/>
        <v>0.39999999999999991</v>
      </c>
      <c r="G21" s="9">
        <f t="shared" si="6"/>
        <v>0.5</v>
      </c>
      <c r="H21" s="9">
        <f t="shared" si="6"/>
        <v>0.5</v>
      </c>
      <c r="I21" s="8"/>
    </row>
    <row r="22" spans="1:12" x14ac:dyDescent="0.25">
      <c r="A22" s="6" t="s">
        <v>56</v>
      </c>
      <c r="B22" s="7">
        <f>1*4.5+3+1</f>
        <v>8.5</v>
      </c>
      <c r="C22" s="7">
        <f>1*5.5+2+1</f>
        <v>8.5</v>
      </c>
      <c r="D22" s="7">
        <f>3*4.5</f>
        <v>13.5</v>
      </c>
      <c r="E22" s="7">
        <f>3*5.5</f>
        <v>16.5</v>
      </c>
      <c r="F22" s="7">
        <f>1*3.5+3</f>
        <v>6.5</v>
      </c>
      <c r="G22" s="7">
        <f>3*5.5+15</f>
        <v>31.5</v>
      </c>
      <c r="H22" s="7">
        <f>3*5.5+15</f>
        <v>31.5</v>
      </c>
      <c r="I22" s="8"/>
    </row>
    <row r="23" spans="1:12" ht="13" thickBot="1" x14ac:dyDescent="0.3">
      <c r="A23" s="10" t="s">
        <v>49</v>
      </c>
      <c r="B23" s="11">
        <f t="shared" ref="B23" si="7">B20*B21*B22</f>
        <v>7.6499999999999995</v>
      </c>
      <c r="C23" s="11">
        <f t="shared" ref="C23" si="8">C20*C21*C22</f>
        <v>10.199999999999998</v>
      </c>
      <c r="D23" s="11">
        <f t="shared" ref="D23" si="9">D20*D21*D22</f>
        <v>10.125</v>
      </c>
      <c r="E23" s="11">
        <f t="shared" ref="E23" si="10">E20*E21*E22</f>
        <v>7.4249999999999989</v>
      </c>
      <c r="F23" s="11">
        <f t="shared" ref="F23" si="11">F20*F21*F22</f>
        <v>5.1999999999999993</v>
      </c>
      <c r="G23" s="11">
        <f t="shared" ref="G23" si="12">G20*G21*G22</f>
        <v>15.75</v>
      </c>
      <c r="H23" s="11">
        <f>H20*H21*H22</f>
        <v>15.75</v>
      </c>
      <c r="I23" s="12">
        <f>SUM(B23:H23)</f>
        <v>72.099999999999994</v>
      </c>
    </row>
    <row r="24" spans="1:12" ht="13" thickBot="1" x14ac:dyDescent="0.3"/>
    <row r="25" spans="1:12" ht="25" x14ac:dyDescent="0.25">
      <c r="A25" s="1" t="s">
        <v>64</v>
      </c>
      <c r="B25" s="2" t="s">
        <v>50</v>
      </c>
      <c r="C25" s="2" t="s">
        <v>51</v>
      </c>
      <c r="D25" s="3" t="s">
        <v>37</v>
      </c>
      <c r="E25" s="3" t="s">
        <v>44</v>
      </c>
      <c r="F25" s="4" t="s">
        <v>45</v>
      </c>
      <c r="G25" s="4" t="s">
        <v>38</v>
      </c>
      <c r="H25" s="4" t="s">
        <v>38</v>
      </c>
      <c r="I25" s="5"/>
    </row>
    <row r="26" spans="1:12" x14ac:dyDescent="0.25">
      <c r="A26" s="6" t="s">
        <v>57</v>
      </c>
      <c r="B26" s="7">
        <f>4+3+1+5</f>
        <v>13</v>
      </c>
      <c r="C26" s="7">
        <f>4+2+1+5</f>
        <v>12</v>
      </c>
      <c r="D26" s="7" t="s">
        <v>18</v>
      </c>
      <c r="E26" s="7">
        <f>4+4+5</f>
        <v>13</v>
      </c>
      <c r="F26" s="7">
        <f>4+3+5</f>
        <v>12</v>
      </c>
      <c r="G26" s="7">
        <f>4+5+5</f>
        <v>14</v>
      </c>
      <c r="H26" s="7">
        <f>4+5+5</f>
        <v>14</v>
      </c>
      <c r="I26" s="8"/>
    </row>
    <row r="27" spans="1:12" x14ac:dyDescent="0.25">
      <c r="A27" s="6" t="s">
        <v>9</v>
      </c>
      <c r="B27" s="7">
        <v>2</v>
      </c>
      <c r="C27" s="7">
        <v>3</v>
      </c>
      <c r="D27" s="7">
        <v>1</v>
      </c>
      <c r="E27" s="7">
        <v>1</v>
      </c>
      <c r="F27" s="7">
        <v>2</v>
      </c>
      <c r="G27" s="7">
        <v>1</v>
      </c>
      <c r="H27" s="7">
        <v>1</v>
      </c>
      <c r="I27" s="8"/>
    </row>
    <row r="28" spans="1:12" x14ac:dyDescent="0.25">
      <c r="A28" s="6" t="s">
        <v>47</v>
      </c>
      <c r="B28" s="9">
        <f>1-($L$4-B26)*5%</f>
        <v>0.7</v>
      </c>
      <c r="C28" s="9">
        <f t="shared" ref="C28:H28" si="13">1-($L$4-C26)*5%</f>
        <v>0.64999999999999991</v>
      </c>
      <c r="D28" s="9">
        <f>((16-$L$9)/20)</f>
        <v>0.75</v>
      </c>
      <c r="E28" s="9">
        <f t="shared" ref="E28:J28" si="14">1-($L$4-E26)*5%</f>
        <v>0.7</v>
      </c>
      <c r="F28" s="9">
        <f t="shared" si="14"/>
        <v>0.64999999999999991</v>
      </c>
      <c r="G28" s="9">
        <f t="shared" si="14"/>
        <v>0.75</v>
      </c>
      <c r="H28" s="9">
        <f t="shared" si="14"/>
        <v>0.75</v>
      </c>
      <c r="I28" s="8"/>
    </row>
    <row r="29" spans="1:12" x14ac:dyDescent="0.25">
      <c r="A29" s="6" t="s">
        <v>58</v>
      </c>
      <c r="B29" s="7">
        <f>1*4.5+3+1</f>
        <v>8.5</v>
      </c>
      <c r="C29" s="7">
        <f>1*5.5+2+1</f>
        <v>8.5</v>
      </c>
      <c r="D29" s="7">
        <f>3*4.5</f>
        <v>13.5</v>
      </c>
      <c r="E29" s="7">
        <f>3*5.5</f>
        <v>16.5</v>
      </c>
      <c r="F29" s="7">
        <f>1*3.5+3</f>
        <v>6.5</v>
      </c>
      <c r="G29" s="7">
        <f>3*5.5+15</f>
        <v>31.5</v>
      </c>
      <c r="H29" s="7">
        <f>3*5.5+15</f>
        <v>31.5</v>
      </c>
      <c r="I29" s="8"/>
    </row>
    <row r="30" spans="1:12" ht="13" thickBot="1" x14ac:dyDescent="0.3">
      <c r="A30" s="10" t="s">
        <v>59</v>
      </c>
      <c r="B30" s="11">
        <f t="shared" ref="B30" si="15">B27*B28*B29</f>
        <v>11.899999999999999</v>
      </c>
      <c r="C30" s="11">
        <f t="shared" ref="C30" si="16">C27*C28*C29</f>
        <v>16.574999999999999</v>
      </c>
      <c r="D30" s="11">
        <f t="shared" ref="D30" si="17">D27*D28*D29</f>
        <v>10.125</v>
      </c>
      <c r="E30" s="11">
        <f t="shared" ref="E30" si="18">E27*E28*E29</f>
        <v>11.549999999999999</v>
      </c>
      <c r="F30" s="11">
        <f t="shared" ref="F30" si="19">F27*F28*F29</f>
        <v>8.4499999999999993</v>
      </c>
      <c r="G30" s="11">
        <f t="shared" ref="G30" si="20">G27*G28*G29</f>
        <v>23.625</v>
      </c>
      <c r="H30" s="11">
        <f>H27*H28*H29</f>
        <v>23.625</v>
      </c>
      <c r="I30" s="12">
        <f>SUM(B30:H30)</f>
        <v>105.85</v>
      </c>
    </row>
    <row r="31" spans="1:12" ht="13" thickBot="1" x14ac:dyDescent="0.3"/>
    <row r="32" spans="1:12" ht="62.5" x14ac:dyDescent="0.25">
      <c r="A32" s="1" t="s">
        <v>64</v>
      </c>
      <c r="B32" s="2" t="s">
        <v>30</v>
      </c>
      <c r="C32" s="2" t="s">
        <v>29</v>
      </c>
      <c r="D32" s="3" t="s">
        <v>65</v>
      </c>
      <c r="E32" s="3" t="s">
        <v>60</v>
      </c>
      <c r="F32" s="3" t="s">
        <v>67</v>
      </c>
      <c r="G32" s="3" t="s">
        <v>31</v>
      </c>
      <c r="H32" s="3" t="s">
        <v>32</v>
      </c>
      <c r="I32" s="5"/>
    </row>
    <row r="33" spans="1:9" x14ac:dyDescent="0.25">
      <c r="A33" s="6" t="s">
        <v>61</v>
      </c>
      <c r="B33" s="7">
        <f>4+5+1+5</f>
        <v>15</v>
      </c>
      <c r="C33" s="7">
        <f>4+4+1+5</f>
        <v>14</v>
      </c>
      <c r="D33" s="7" t="s">
        <v>66</v>
      </c>
      <c r="E33" s="7" t="s">
        <v>28</v>
      </c>
      <c r="F33" s="7">
        <f>4+3+5</f>
        <v>12</v>
      </c>
      <c r="G33" s="7">
        <f>4+5+5</f>
        <v>14</v>
      </c>
      <c r="H33" s="7">
        <f>9+5</f>
        <v>14</v>
      </c>
      <c r="I33" s="8"/>
    </row>
    <row r="34" spans="1:9" x14ac:dyDescent="0.25">
      <c r="A34" s="6" t="s">
        <v>62</v>
      </c>
      <c r="B34" s="7">
        <v>3</v>
      </c>
      <c r="C34" s="7">
        <v>7</v>
      </c>
      <c r="D34" s="7">
        <v>1</v>
      </c>
      <c r="E34" s="7">
        <v>7</v>
      </c>
      <c r="F34" s="13">
        <v>3</v>
      </c>
      <c r="G34" s="7">
        <v>2</v>
      </c>
      <c r="H34" s="7">
        <v>1</v>
      </c>
      <c r="I34" s="8"/>
    </row>
    <row r="35" spans="1:9" x14ac:dyDescent="0.25">
      <c r="A35" s="6" t="s">
        <v>47</v>
      </c>
      <c r="B35" s="9">
        <f>(1-($L$4-B33)*5%)*2/3+100%*1/3</f>
        <v>0.8666666666666667</v>
      </c>
      <c r="C35" s="9">
        <f t="shared" ref="C35" si="21">1-($L$4-C33)*5%</f>
        <v>0.75</v>
      </c>
      <c r="D35" s="9">
        <f>((16-$L$9)/20)</f>
        <v>0.75</v>
      </c>
      <c r="E35" s="9">
        <v>1</v>
      </c>
      <c r="F35" s="9">
        <f>(1-($L$4-F33)*5%)*(2/3)+(1-($L$4-F33-5)*5%)*(1/3)</f>
        <v>0.73333333333333317</v>
      </c>
      <c r="G35" s="9">
        <f t="shared" ref="G35:H35" si="22">1-($L$4-G33)*5%</f>
        <v>0.75</v>
      </c>
      <c r="H35" s="9">
        <f t="shared" si="22"/>
        <v>0.75</v>
      </c>
      <c r="I35" s="8"/>
    </row>
    <row r="36" spans="1:9" x14ac:dyDescent="0.25">
      <c r="A36" s="6" t="s">
        <v>58</v>
      </c>
      <c r="B36" s="7">
        <f>1*4.5+5+1+1+3*5.5</f>
        <v>28</v>
      </c>
      <c r="C36" s="7">
        <f>2*3.5+4+1+1*5.5</f>
        <v>17.5</v>
      </c>
      <c r="D36" s="7">
        <f>5*3.5</f>
        <v>17.5</v>
      </c>
      <c r="E36" s="7">
        <f>1*2.5+1</f>
        <v>3.5</v>
      </c>
      <c r="F36" s="7">
        <f>1*3.5+3+10/2+(4*3.5)*(13-L6)/20</f>
        <v>16.399999999999999</v>
      </c>
      <c r="G36" s="7">
        <f>3*5.5+15+12+3*3.5</f>
        <v>54</v>
      </c>
      <c r="H36" s="7">
        <f>3*5.5+15+12+3*3.5</f>
        <v>54</v>
      </c>
      <c r="I36" s="8"/>
    </row>
    <row r="37" spans="1:9" ht="13" thickBot="1" x14ac:dyDescent="0.3">
      <c r="A37" s="10" t="s">
        <v>63</v>
      </c>
      <c r="B37" s="11">
        <f t="shared" ref="B37:F37" si="23">B34*B35*B36</f>
        <v>72.8</v>
      </c>
      <c r="C37" s="11">
        <f t="shared" si="23"/>
        <v>91.875</v>
      </c>
      <c r="D37" s="11">
        <f t="shared" si="23"/>
        <v>13.125</v>
      </c>
      <c r="E37" s="11">
        <f t="shared" si="23"/>
        <v>24.5</v>
      </c>
      <c r="F37" s="11">
        <f t="shared" si="23"/>
        <v>36.079999999999984</v>
      </c>
      <c r="G37" s="11">
        <f t="shared" ref="G37" si="24">G34*G35*G36</f>
        <v>81</v>
      </c>
      <c r="H37" s="11">
        <f>H34*H35*H36</f>
        <v>40.5</v>
      </c>
      <c r="I37" s="12">
        <f>SUM(B37:H37)</f>
        <v>359.88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Damage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Chuang, Achim</dc:creator>
  <cp:lastModifiedBy>Chuang, Achim</cp:lastModifiedBy>
  <dcterms:created xsi:type="dcterms:W3CDTF">2019-04-22T01:35:27Z</dcterms:created>
  <dcterms:modified xsi:type="dcterms:W3CDTF">2019-04-22T03:59:13Z</dcterms:modified>
</cp:coreProperties>
</file>