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hma\OneDrive\Documents\metode statistika\"/>
    </mc:Choice>
  </mc:AlternateContent>
  <xr:revisionPtr revIDLastSave="0" documentId="8_{1799498E-68D6-4100-8DBE-F3389E46E714}" xr6:coauthVersionLast="47" xr6:coauthVersionMax="47" xr10:uidLastSave="{00000000-0000-0000-0000-000000000000}"/>
  <bookViews>
    <workbookView xWindow="-108" yWindow="-108" windowWidth="23256" windowHeight="12456" activeTab="2" xr2:uid="{C649FB94-9D1C-466D-A752-E7776C42A3A0}"/>
  </bookViews>
  <sheets>
    <sheet name="Data Awal" sheetId="1" r:id="rId1"/>
    <sheet name="Distribusi Data" sheetId="2" r:id="rId2"/>
    <sheet name="Regresi&amp;kolerasi" sheetId="5" r:id="rId3"/>
    <sheet name="K-Mean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5" i="6" l="1"/>
  <c r="M90" i="6"/>
  <c r="D122" i="6" s="1"/>
  <c r="L90" i="6"/>
  <c r="D121" i="6" s="1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60" i="6"/>
  <c r="E62" i="6"/>
  <c r="E61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60" i="6"/>
  <c r="C32" i="6"/>
  <c r="C33" i="6" s="1"/>
  <c r="B32" i="6"/>
  <c r="B33" i="6" s="1"/>
  <c r="K4" i="5"/>
  <c r="H70" i="6" l="1"/>
  <c r="H60" i="6"/>
  <c r="G89" i="6"/>
  <c r="G81" i="6"/>
  <c r="G73" i="6"/>
  <c r="G65" i="6"/>
  <c r="G82" i="6"/>
  <c r="G80" i="6"/>
  <c r="G72" i="6"/>
  <c r="G64" i="6"/>
  <c r="H67" i="6"/>
  <c r="G88" i="6"/>
  <c r="H85" i="6"/>
  <c r="H77" i="6"/>
  <c r="H69" i="6"/>
  <c r="H61" i="6"/>
  <c r="G66" i="6"/>
  <c r="G84" i="6"/>
  <c r="H76" i="6"/>
  <c r="G68" i="6"/>
  <c r="H86" i="6"/>
  <c r="G74" i="6"/>
  <c r="H78" i="6"/>
  <c r="G85" i="6"/>
  <c r="G69" i="6"/>
  <c r="H84" i="6"/>
  <c r="G76" i="6"/>
  <c r="H68" i="6"/>
  <c r="E122" i="6"/>
  <c r="H62" i="6"/>
  <c r="G83" i="6"/>
  <c r="G75" i="6"/>
  <c r="G67" i="6"/>
  <c r="H83" i="6"/>
  <c r="H87" i="6"/>
  <c r="H79" i="6"/>
  <c r="H71" i="6"/>
  <c r="H63" i="6"/>
  <c r="G77" i="6"/>
  <c r="G86" i="6"/>
  <c r="G78" i="6"/>
  <c r="G70" i="6"/>
  <c r="G62" i="6"/>
  <c r="F125" i="6" a="1"/>
  <c r="F144" i="6" s="1"/>
  <c r="G87" i="6"/>
  <c r="E125" i="6" a="1"/>
  <c r="E150" i="6" s="1"/>
  <c r="G63" i="6"/>
  <c r="H75" i="6"/>
  <c r="E121" i="6"/>
  <c r="G61" i="6"/>
  <c r="G71" i="6"/>
  <c r="G79" i="6"/>
  <c r="G60" i="6"/>
  <c r="H82" i="6"/>
  <c r="H74" i="6"/>
  <c r="H66" i="6"/>
  <c r="H89" i="6"/>
  <c r="H81" i="6"/>
  <c r="H73" i="6"/>
  <c r="H65" i="6"/>
  <c r="H88" i="6"/>
  <c r="H80" i="6"/>
  <c r="H72" i="6"/>
  <c r="H64" i="6"/>
  <c r="F130" i="6" l="1"/>
  <c r="F128" i="6"/>
  <c r="F147" i="6"/>
  <c r="F148" i="6"/>
  <c r="F152" i="6"/>
  <c r="F132" i="6"/>
  <c r="F134" i="6"/>
  <c r="E130" i="6"/>
  <c r="H130" i="6" s="1"/>
  <c r="F140" i="6"/>
  <c r="F142" i="6"/>
  <c r="E136" i="6"/>
  <c r="F135" i="6"/>
  <c r="E125" i="6"/>
  <c r="F145" i="6"/>
  <c r="F143" i="6"/>
  <c r="E137" i="6"/>
  <c r="F139" i="6"/>
  <c r="F154" i="6"/>
  <c r="F125" i="6"/>
  <c r="H125" i="6" s="1"/>
  <c r="F151" i="6"/>
  <c r="F149" i="6"/>
  <c r="F146" i="6"/>
  <c r="E138" i="6"/>
  <c r="E152" i="6"/>
  <c r="E133" i="6"/>
  <c r="E153" i="6"/>
  <c r="F131" i="6"/>
  <c r="F137" i="6"/>
  <c r="F126" i="6"/>
  <c r="F138" i="6"/>
  <c r="E146" i="6"/>
  <c r="E132" i="6"/>
  <c r="E141" i="6"/>
  <c r="E127" i="6"/>
  <c r="E154" i="6"/>
  <c r="H154" i="6" s="1"/>
  <c r="E140" i="6"/>
  <c r="E149" i="6"/>
  <c r="E135" i="6"/>
  <c r="E128" i="6"/>
  <c r="H128" i="6" s="1"/>
  <c r="E148" i="6"/>
  <c r="E126" i="6"/>
  <c r="E143" i="6"/>
  <c r="F129" i="6"/>
  <c r="F133" i="6"/>
  <c r="F150" i="6"/>
  <c r="H150" i="6" s="1"/>
  <c r="F136" i="6"/>
  <c r="E131" i="6"/>
  <c r="H131" i="6" s="1"/>
  <c r="E144" i="6"/>
  <c r="H144" i="6" s="1"/>
  <c r="E134" i="6"/>
  <c r="E151" i="6"/>
  <c r="F153" i="6"/>
  <c r="F141" i="6"/>
  <c r="F127" i="6"/>
  <c r="E139" i="6"/>
  <c r="H139" i="6" s="1"/>
  <c r="E129" i="6"/>
  <c r="G129" i="6" s="1"/>
  <c r="E142" i="6"/>
  <c r="E147" i="6"/>
  <c r="E145" i="6"/>
  <c r="H141" i="6"/>
  <c r="G150" i="6"/>
  <c r="G146" i="6" l="1"/>
  <c r="G143" i="6"/>
  <c r="G147" i="6"/>
  <c r="H135" i="6"/>
  <c r="G145" i="6"/>
  <c r="H149" i="6"/>
  <c r="G132" i="6"/>
  <c r="G144" i="6"/>
  <c r="H127" i="6"/>
  <c r="G136" i="6"/>
  <c r="H145" i="6"/>
  <c r="G134" i="6"/>
  <c r="H140" i="6"/>
  <c r="G130" i="6"/>
  <c r="G153" i="6"/>
  <c r="H147" i="6"/>
  <c r="G154" i="6"/>
  <c r="H129" i="6"/>
  <c r="G127" i="6"/>
  <c r="G125" i="6"/>
  <c r="H133" i="6"/>
  <c r="G140" i="6"/>
  <c r="G138" i="6"/>
  <c r="G131" i="6"/>
  <c r="G139" i="6"/>
  <c r="H136" i="6"/>
  <c r="H146" i="6"/>
  <c r="G128" i="6"/>
  <c r="H143" i="6"/>
  <c r="G149" i="6"/>
  <c r="H126" i="6"/>
  <c r="H137" i="6"/>
  <c r="H151" i="6"/>
  <c r="H134" i="6"/>
  <c r="G141" i="6"/>
  <c r="G133" i="6"/>
  <c r="H142" i="6"/>
  <c r="H148" i="6"/>
  <c r="H132" i="6"/>
  <c r="H152" i="6"/>
  <c r="G126" i="6"/>
  <c r="G137" i="6"/>
  <c r="G142" i="6"/>
  <c r="H138" i="6"/>
  <c r="G148" i="6"/>
  <c r="H153" i="6"/>
  <c r="G151" i="6"/>
  <c r="G135" i="6"/>
  <c r="G152" i="6"/>
  <c r="M5" i="5" l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4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5" i="5"/>
  <c r="L4" i="5"/>
  <c r="L34" i="5" s="1"/>
  <c r="L35" i="5" s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5" i="5"/>
  <c r="D34" i="5"/>
  <c r="D35" i="5" s="1"/>
  <c r="E34" i="5"/>
  <c r="E35" i="5" s="1"/>
  <c r="BC38" i="2"/>
  <c r="AJ36" i="2"/>
  <c r="AD36" i="2"/>
  <c r="T35" i="2"/>
  <c r="G8" i="5" l="1"/>
  <c r="F7" i="5"/>
  <c r="I7" i="5" s="1"/>
  <c r="F15" i="5"/>
  <c r="I15" i="5" s="1"/>
  <c r="F23" i="5"/>
  <c r="I23" i="5" s="1"/>
  <c r="F31" i="5"/>
  <c r="I31" i="5" s="1"/>
  <c r="F5" i="5"/>
  <c r="I5" i="5" s="1"/>
  <c r="F29" i="5"/>
  <c r="I29" i="5" s="1"/>
  <c r="F8" i="5"/>
  <c r="I8" i="5" s="1"/>
  <c r="F16" i="5"/>
  <c r="I16" i="5" s="1"/>
  <c r="F24" i="5"/>
  <c r="I24" i="5" s="1"/>
  <c r="F32" i="5"/>
  <c r="I32" i="5" s="1"/>
  <c r="F20" i="5"/>
  <c r="I20" i="5" s="1"/>
  <c r="F6" i="5"/>
  <c r="I6" i="5" s="1"/>
  <c r="F30" i="5"/>
  <c r="I30" i="5" s="1"/>
  <c r="F9" i="5"/>
  <c r="I9" i="5" s="1"/>
  <c r="F17" i="5"/>
  <c r="I17" i="5" s="1"/>
  <c r="F25" i="5"/>
  <c r="I25" i="5" s="1"/>
  <c r="F33" i="5"/>
  <c r="I33" i="5" s="1"/>
  <c r="F11" i="5"/>
  <c r="I11" i="5" s="1"/>
  <c r="F28" i="5"/>
  <c r="I28" i="5" s="1"/>
  <c r="F13" i="5"/>
  <c r="I13" i="5" s="1"/>
  <c r="F14" i="5"/>
  <c r="I14" i="5" s="1"/>
  <c r="F10" i="5"/>
  <c r="I10" i="5" s="1"/>
  <c r="F18" i="5"/>
  <c r="I18" i="5" s="1"/>
  <c r="F26" i="5"/>
  <c r="I26" i="5" s="1"/>
  <c r="F4" i="5"/>
  <c r="F19" i="5"/>
  <c r="I19" i="5" s="1"/>
  <c r="F27" i="5"/>
  <c r="I27" i="5" s="1"/>
  <c r="F12" i="5"/>
  <c r="I12" i="5" s="1"/>
  <c r="F21" i="5"/>
  <c r="I21" i="5" s="1"/>
  <c r="F22" i="5"/>
  <c r="I22" i="5" s="1"/>
  <c r="H8" i="5"/>
  <c r="J8" i="5" s="1"/>
  <c r="K34" i="5"/>
  <c r="K35" i="5" s="1"/>
  <c r="M34" i="5"/>
  <c r="M35" i="5" s="1"/>
  <c r="G31" i="5"/>
  <c r="H31" i="5" s="1"/>
  <c r="J31" i="5" s="1"/>
  <c r="G15" i="5"/>
  <c r="G23" i="5"/>
  <c r="G7" i="5"/>
  <c r="H7" i="5" s="1"/>
  <c r="J7" i="5" s="1"/>
  <c r="G30" i="5"/>
  <c r="H30" i="5" s="1"/>
  <c r="J30" i="5" s="1"/>
  <c r="G22" i="5"/>
  <c r="G14" i="5"/>
  <c r="G6" i="5"/>
  <c r="H6" i="5" s="1"/>
  <c r="J6" i="5" s="1"/>
  <c r="G29" i="5"/>
  <c r="G21" i="5"/>
  <c r="G13" i="5"/>
  <c r="H13" i="5" s="1"/>
  <c r="J13" i="5" s="1"/>
  <c r="G5" i="5"/>
  <c r="H5" i="5" s="1"/>
  <c r="J5" i="5" s="1"/>
  <c r="G28" i="5"/>
  <c r="H28" i="5" s="1"/>
  <c r="J28" i="5" s="1"/>
  <c r="G20" i="5"/>
  <c r="H20" i="5" s="1"/>
  <c r="J20" i="5" s="1"/>
  <c r="G12" i="5"/>
  <c r="G33" i="5"/>
  <c r="G27" i="5"/>
  <c r="G19" i="5"/>
  <c r="G11" i="5"/>
  <c r="G4" i="5"/>
  <c r="G18" i="5"/>
  <c r="G26" i="5"/>
  <c r="G10" i="5"/>
  <c r="G25" i="5"/>
  <c r="G17" i="5"/>
  <c r="G9" i="5"/>
  <c r="G32" i="5"/>
  <c r="G24" i="5"/>
  <c r="G16" i="5"/>
  <c r="F36" i="2"/>
  <c r="F20" i="2"/>
  <c r="H10" i="5" l="1"/>
  <c r="J10" i="5" s="1"/>
  <c r="H29" i="5"/>
  <c r="J29" i="5" s="1"/>
  <c r="H22" i="5"/>
  <c r="J22" i="5" s="1"/>
  <c r="H14" i="5"/>
  <c r="J14" i="5" s="1"/>
  <c r="H27" i="5"/>
  <c r="J27" i="5" s="1"/>
  <c r="H24" i="5"/>
  <c r="J24" i="5" s="1"/>
  <c r="H33" i="5"/>
  <c r="J33" i="5" s="1"/>
  <c r="H12" i="5"/>
  <c r="J12" i="5" s="1"/>
  <c r="H23" i="5"/>
  <c r="J23" i="5" s="1"/>
  <c r="H16" i="5"/>
  <c r="J16" i="5" s="1"/>
  <c r="H18" i="5"/>
  <c r="J18" i="5" s="1"/>
  <c r="H11" i="5"/>
  <c r="J11" i="5" s="1"/>
  <c r="H26" i="5"/>
  <c r="J26" i="5" s="1"/>
  <c r="H32" i="5"/>
  <c r="J32" i="5" s="1"/>
  <c r="H9" i="5"/>
  <c r="J9" i="5" s="1"/>
  <c r="H19" i="5"/>
  <c r="J19" i="5" s="1"/>
  <c r="H21" i="5"/>
  <c r="J21" i="5" s="1"/>
  <c r="H15" i="5"/>
  <c r="J15" i="5" s="1"/>
  <c r="H17" i="5"/>
  <c r="J17" i="5" s="1"/>
  <c r="H25" i="5"/>
  <c r="J25" i="5" s="1"/>
  <c r="F34" i="5"/>
  <c r="F35" i="5" s="1"/>
  <c r="I4" i="5"/>
  <c r="I34" i="5" s="1"/>
  <c r="I35" i="5" s="1"/>
  <c r="G34" i="5"/>
  <c r="G35" i="5" s="1"/>
  <c r="H4" i="5"/>
  <c r="J4" i="5" l="1"/>
  <c r="J34" i="5" s="1"/>
  <c r="J35" i="5" s="1"/>
  <c r="H34" i="5"/>
  <c r="D43" i="5" l="1"/>
  <c r="D46" i="5" s="1"/>
  <c r="H35" i="5"/>
  <c r="O39" i="5" l="1"/>
  <c r="N8" i="5"/>
  <c r="N30" i="5"/>
  <c r="N23" i="5"/>
  <c r="N4" i="5"/>
  <c r="N15" i="5"/>
  <c r="N16" i="5"/>
  <c r="N7" i="5"/>
  <c r="N11" i="5"/>
  <c r="N12" i="5"/>
  <c r="N18" i="5"/>
  <c r="N28" i="5"/>
  <c r="O40" i="5"/>
  <c r="N22" i="5"/>
  <c r="N24" i="5"/>
  <c r="N10" i="5"/>
  <c r="N19" i="5"/>
  <c r="N20" i="5"/>
  <c r="N32" i="5"/>
  <c r="N27" i="5"/>
  <c r="O42" i="5"/>
  <c r="N17" i="5"/>
  <c r="N13" i="5"/>
  <c r="N25" i="5"/>
  <c r="N21" i="5"/>
  <c r="N14" i="5"/>
  <c r="N33" i="5"/>
  <c r="N6" i="5"/>
  <c r="N31" i="5"/>
  <c r="N5" i="5"/>
  <c r="N9" i="5"/>
  <c r="N26" i="5"/>
  <c r="O41" i="5"/>
  <c r="N29" i="5"/>
  <c r="N34" i="5" l="1"/>
  <c r="N35" i="5" l="1"/>
  <c r="I44" i="5"/>
  <c r="I48" i="5" s="1"/>
  <c r="L155" i="6"/>
  <c r="N155" i="6" s="1"/>
</calcChain>
</file>

<file path=xl/sharedStrings.xml><?xml version="1.0" encoding="utf-8"?>
<sst xmlns="http://schemas.openxmlformats.org/spreadsheetml/2006/main" count="277" uniqueCount="166">
  <si>
    <t>jenis kelamin</t>
  </si>
  <si>
    <t>usia</t>
  </si>
  <si>
    <t>hipertensi</t>
  </si>
  <si>
    <t>penyakit jantung</t>
  </si>
  <si>
    <t>tingkat glukosa</t>
  </si>
  <si>
    <t>bmi</t>
  </si>
  <si>
    <t>Agus</t>
  </si>
  <si>
    <t>Budi</t>
  </si>
  <si>
    <t>Siti</t>
  </si>
  <si>
    <t>Dewi</t>
  </si>
  <si>
    <t>Andi</t>
  </si>
  <si>
    <t>Eko</t>
  </si>
  <si>
    <t>Ani</t>
  </si>
  <si>
    <t>Ayu</t>
  </si>
  <si>
    <t>Bunga</t>
  </si>
  <si>
    <t>Cahya</t>
  </si>
  <si>
    <t>Dian</t>
  </si>
  <si>
    <t>Fitri</t>
  </si>
  <si>
    <t>Intan</t>
  </si>
  <si>
    <t>Adi</t>
  </si>
  <si>
    <t>Arif</t>
  </si>
  <si>
    <t>Indah</t>
  </si>
  <si>
    <t>Laras</t>
  </si>
  <si>
    <t>Lestari</t>
  </si>
  <si>
    <t>Maya</t>
  </si>
  <si>
    <t>Imam</t>
  </si>
  <si>
    <t>Joko</t>
  </si>
  <si>
    <t>Kartono</t>
  </si>
  <si>
    <t>Lilis</t>
  </si>
  <si>
    <t>Kurniawan</t>
  </si>
  <si>
    <t>Muhammad</t>
  </si>
  <si>
    <t>Panca</t>
  </si>
  <si>
    <t>Nia</t>
  </si>
  <si>
    <t>Putu</t>
  </si>
  <si>
    <t>Rahmat</t>
  </si>
  <si>
    <t>Nining</t>
  </si>
  <si>
    <t>K = 1 + 3,322 log n</t>
  </si>
  <si>
    <t>Rentang interval = (data tertinggi - data terendah) / K</t>
  </si>
  <si>
    <t>#UMUR</t>
  </si>
  <si>
    <t>Rentang interval = (data tertinggi - data terendah)/K</t>
  </si>
  <si>
    <t>K = 6.906 = 7</t>
  </si>
  <si>
    <t>NO</t>
  </si>
  <si>
    <t>Rentang Data</t>
  </si>
  <si>
    <t>Frekuensi</t>
  </si>
  <si>
    <t>1.</t>
  </si>
  <si>
    <t>2.</t>
  </si>
  <si>
    <t xml:space="preserve">3. </t>
  </si>
  <si>
    <t>4.</t>
  </si>
  <si>
    <t>5.</t>
  </si>
  <si>
    <t>6.</t>
  </si>
  <si>
    <t>Jumlah</t>
  </si>
  <si>
    <t>39-45</t>
  </si>
  <si>
    <t>60-66</t>
  </si>
  <si>
    <t>74-80</t>
  </si>
  <si>
    <t>46 -52</t>
  </si>
  <si>
    <t>53-59</t>
  </si>
  <si>
    <t>67 -73</t>
  </si>
  <si>
    <t>Rentang interval = (80-39)/K</t>
  </si>
  <si>
    <t>Rentang interval = 5.8 = 6</t>
  </si>
  <si>
    <t>## Rentang 39-45</t>
  </si>
  <si>
    <t>K = 1 + 3,322 log 3</t>
  </si>
  <si>
    <t>K = 2.584 = 3</t>
  </si>
  <si>
    <t>Rentang interval = (93.72-58.09)/3</t>
  </si>
  <si>
    <t>Rentang interval = 11.88 = 12</t>
  </si>
  <si>
    <t>58.09 - 70.09</t>
  </si>
  <si>
    <t>70.09 - 82.09</t>
  </si>
  <si>
    <t>82.09 - 93.72</t>
  </si>
  <si>
    <t>## Rentang 46-52</t>
  </si>
  <si>
    <t>K = 1 + 3,322 log 5</t>
  </si>
  <si>
    <t>K = 2.3 = 2</t>
  </si>
  <si>
    <t>No</t>
  </si>
  <si>
    <t>Rentang interval = (233.29-60.91)/2</t>
  </si>
  <si>
    <t>Rentang interval = 86.19 = 86</t>
  </si>
  <si>
    <t>60.91-146</t>
  </si>
  <si>
    <t>147-233</t>
  </si>
  <si>
    <t>## Rentang 53-59</t>
  </si>
  <si>
    <t>K = 1 + 3,322 log 8</t>
  </si>
  <si>
    <t>K = 3.9 = 4</t>
  </si>
  <si>
    <t>Rentang interval = (212.08-71.22)/4</t>
  </si>
  <si>
    <t>Rentang interval = 35</t>
  </si>
  <si>
    <t>71 -106</t>
  </si>
  <si>
    <t>107-142</t>
  </si>
  <si>
    <t>143-178</t>
  </si>
  <si>
    <t>179-214</t>
  </si>
  <si>
    <t>## Rentang 60 - 66</t>
  </si>
  <si>
    <t>Rentang interval = (228-61)/4</t>
  </si>
  <si>
    <t>Rentang interval = (228-89)/4</t>
  </si>
  <si>
    <t>89-124</t>
  </si>
  <si>
    <t>125-160</t>
  </si>
  <si>
    <t>161-196</t>
  </si>
  <si>
    <t>197-232</t>
  </si>
  <si>
    <t>## Rentang 67-73</t>
  </si>
  <si>
    <t>K = 1 + 3,322 log 9</t>
  </si>
  <si>
    <t>K =  4</t>
  </si>
  <si>
    <t>Rentang interval = 41</t>
  </si>
  <si>
    <t>61-102</t>
  </si>
  <si>
    <t>103-144</t>
  </si>
  <si>
    <t>145-186</t>
  </si>
  <si>
    <t>187-228</t>
  </si>
  <si>
    <t>## Rentang 74-80</t>
  </si>
  <si>
    <t>K = 1 + 3,322 log 25</t>
  </si>
  <si>
    <t>K =  6</t>
  </si>
  <si>
    <t>Rentang interval = (252-58)/6</t>
  </si>
  <si>
    <t>Rentang interval = 32</t>
  </si>
  <si>
    <t>58-90</t>
  </si>
  <si>
    <t>91-123</t>
  </si>
  <si>
    <t>124-156</t>
  </si>
  <si>
    <t>157-189</t>
  </si>
  <si>
    <t>190-222</t>
  </si>
  <si>
    <t>223-255</t>
  </si>
  <si>
    <t xml:space="preserve"> </t>
  </si>
  <si>
    <t>Umur (X)</t>
  </si>
  <si>
    <t>xy</t>
  </si>
  <si>
    <t>X^2</t>
  </si>
  <si>
    <t>Y^2</t>
  </si>
  <si>
    <t>Y'</t>
  </si>
  <si>
    <t>Glukosa (Y)</t>
  </si>
  <si>
    <t>Rata-Rata</t>
  </si>
  <si>
    <t>UMUR DAN GLUKOSA</t>
  </si>
  <si>
    <t xml:space="preserve">x         </t>
  </si>
  <si>
    <t xml:space="preserve">y     </t>
  </si>
  <si>
    <t>#REGRESI</t>
  </si>
  <si>
    <t>b =</t>
  </si>
  <si>
    <t>a =</t>
  </si>
  <si>
    <t>#KOLERASI</t>
  </si>
  <si>
    <t>Kolerasi (r) =</t>
  </si>
  <si>
    <t>KETERANGAN :</t>
  </si>
  <si>
    <t>Jika r = +1, hubungan X dan Y sempurna dan positif,</t>
  </si>
  <si>
    <t>r = -1, hubungan X dan Y sempurna dan negatif,</t>
  </si>
  <si>
    <t>r mendekati +1, hubungan sangat kuat dan positif,</t>
  </si>
  <si>
    <t>r mendekati -1, hubungan sangat lemah dan negatif.</t>
  </si>
  <si>
    <t xml:space="preserve">Determinasi (r^2) = </t>
  </si>
  <si>
    <t>X =</t>
  </si>
  <si>
    <t>Y'=</t>
  </si>
  <si>
    <t>X</t>
  </si>
  <si>
    <t xml:space="preserve">  </t>
  </si>
  <si>
    <t>xy2</t>
  </si>
  <si>
    <t xml:space="preserve">K = 1 + 3,322 log 58 </t>
  </si>
  <si>
    <t xml:space="preserve"> JUMLAH CLUSTER ==&gt; 2</t>
  </si>
  <si>
    <t>&gt;&gt;</t>
  </si>
  <si>
    <t>Menentukan centroid:</t>
  </si>
  <si>
    <t>Data ke-</t>
  </si>
  <si>
    <t>Centroid</t>
  </si>
  <si>
    <t>Y</t>
  </si>
  <si>
    <t>Iterasi-1</t>
  </si>
  <si>
    <t>C1</t>
  </si>
  <si>
    <t>C2</t>
  </si>
  <si>
    <t>Minimum</t>
  </si>
  <si>
    <t>Cluster</t>
  </si>
  <si>
    <t xml:space="preserve">Jumlah </t>
  </si>
  <si>
    <t>Iterasi-2</t>
  </si>
  <si>
    <t>Untuk melanjutkan iterasi ke 2, harus menentukan titik pusat dari masing masing cluster pada iterasi sebelumnya</t>
  </si>
  <si>
    <t>jarak data ke- i, pada pusat cluster ke-k(Ck)</t>
  </si>
  <si>
    <t>nilai pusat cluster yang baru :</t>
  </si>
  <si>
    <t>Ckj =</t>
  </si>
  <si>
    <t xml:space="preserve">        ; Yhj = </t>
  </si>
  <si>
    <t xml:space="preserve"> Xij      cluster ke-k</t>
  </si>
  <si>
    <t>Sehingga didapatkan pusat titik cluster sebagai berikut:</t>
  </si>
  <si>
    <t>Penentuan Cluster baru</t>
  </si>
  <si>
    <t>Centroid baru yang ke-1</t>
  </si>
  <si>
    <t>Centroid baru yang ke-2</t>
  </si>
  <si>
    <t>Keterangan</t>
  </si>
  <si>
    <t>Tetap</t>
  </si>
  <si>
    <t xml:space="preserve">&gt;&gt; Karena setiap anggota dari masing-masing cluster tetap, </t>
  </si>
  <si>
    <t xml:space="preserve">maka perulangan atau iterasi dihentikan </t>
  </si>
  <si>
    <t>Gambar hasil dari iterasi-2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</si>
</sst>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3" fillId="33" borderId="12" xfId="0" applyFont="1" applyFill="1" applyBorder="1"/>
    <xf numFmtId="0" fontId="13" fillId="33" borderId="13" xfId="0" applyFont="1" applyFill="1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33" borderId="0" xfId="0" applyFont="1" applyFill="1"/>
    <xf numFmtId="0" fontId="19" fillId="10" borderId="19" xfId="19" applyFont="1" applyBorder="1" applyAlignment="1">
      <alignment horizontal="center"/>
    </xf>
    <xf numFmtId="0" fontId="19" fillId="10" borderId="18" xfId="19" applyFont="1" applyBorder="1" applyAlignment="1">
      <alignment horizontal="center"/>
    </xf>
    <xf numFmtId="0" fontId="0" fillId="0" borderId="0" xfId="0" applyAlignment="1">
      <alignment horizontal="right"/>
    </xf>
    <xf numFmtId="0" fontId="1" fillId="10" borderId="0" xfId="19" applyAlignment="1"/>
    <xf numFmtId="0" fontId="19" fillId="10" borderId="18" xfId="19" applyNumberFormat="1" applyFont="1" applyBorder="1" applyAlignment="1">
      <alignment horizontal="center"/>
    </xf>
    <xf numFmtId="1" fontId="0" fillId="0" borderId="14" xfId="0" applyNumberFormat="1" applyBorder="1"/>
    <xf numFmtId="1" fontId="0" fillId="34" borderId="14" xfId="0" applyNumberFormat="1" applyFill="1" applyBorder="1"/>
    <xf numFmtId="0" fontId="0" fillId="37" borderId="14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19" fillId="10" borderId="0" xfId="19" applyFont="1" applyBorder="1" applyAlignment="1">
      <alignment horizontal="center"/>
    </xf>
    <xf numFmtId="1" fontId="0" fillId="35" borderId="14" xfId="0" applyNumberFormat="1" applyFill="1" applyBorder="1"/>
    <xf numFmtId="1" fontId="0" fillId="36" borderId="14" xfId="0" applyNumberFormat="1" applyFill="1" applyBorder="1"/>
    <xf numFmtId="0" fontId="0" fillId="39" borderId="14" xfId="0" applyFill="1" applyBorder="1"/>
    <xf numFmtId="0" fontId="19" fillId="40" borderId="0" xfId="19" applyFont="1" applyFill="1" applyBorder="1" applyAlignment="1">
      <alignment horizontal="center"/>
    </xf>
    <xf numFmtId="0" fontId="19" fillId="41" borderId="0" xfId="19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9" xfId="17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colors>
    <mruColors>
      <color rgb="FFECF7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'Distribusi Data'!$F$13</c:f>
              <c:strCache>
                <c:ptCount val="1"/>
                <c:pt idx="0">
                  <c:v>Frekuensi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'Distribusi Data'!$E$14:$E$19</c:f>
              <c:strCache>
                <c:ptCount val="6"/>
                <c:pt idx="0">
                  <c:v>39-45</c:v>
                </c:pt>
                <c:pt idx="1">
                  <c:v>46 -52</c:v>
                </c:pt>
                <c:pt idx="2">
                  <c:v>53-59</c:v>
                </c:pt>
                <c:pt idx="3">
                  <c:v>60-66</c:v>
                </c:pt>
                <c:pt idx="4">
                  <c:v>67 -73</c:v>
                </c:pt>
                <c:pt idx="5">
                  <c:v>74-80</c:v>
                </c:pt>
              </c:strCache>
            </c:strRef>
          </c:cat>
          <c:val>
            <c:numRef>
              <c:f>'Distribusi Data'!$F$14:$F$19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6-4319-B333-6A313A54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694288"/>
        <c:axId val="280701008"/>
      </c:barChart>
      <c:catAx>
        <c:axId val="2806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01008"/>
        <c:crosses val="autoZero"/>
        <c:auto val="1"/>
        <c:lblAlgn val="ctr"/>
        <c:lblOffset val="100"/>
        <c:noMultiLvlLbl val="0"/>
      </c:catAx>
      <c:valAx>
        <c:axId val="280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9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Iterasi</a:t>
            </a:r>
            <a:r>
              <a:rPr lang="en-GB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53A-4ACC-99F9-1E45F48E217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53A-4ACC-99F9-1E45F48E217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53A-4ACC-99F9-1E45F48E217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53A-4ACC-99F9-1E45F48E217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53A-4ACC-99F9-1E45F48E217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53A-4ACC-99F9-1E45F48E217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53A-4ACC-99F9-1E45F48E2171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53A-4ACC-99F9-1E45F48E2171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53A-4ACC-99F9-1E45F48E2171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53A-4ACC-99F9-1E45F48E217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53A-4ACC-99F9-1E45F48E217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53A-4ACC-99F9-1E45F48E217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53A-4ACC-99F9-1E45F48E217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53A-4ACC-99F9-1E45F48E2171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53A-4ACC-99F9-1E45F48E2171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53A-4ACC-99F9-1E45F48E2171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53A-4ACC-99F9-1E45F48E2171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53A-4ACC-99F9-1E45F48E2171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53A-4ACC-99F9-1E45F48E2171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53A-4ACC-99F9-1E45F48E2171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53A-4ACC-99F9-1E45F48E2171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53A-4ACC-99F9-1E45F48E2171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53A-4ACC-99F9-1E45F48E2171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53A-4ACC-99F9-1E45F48E2171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53A-4ACC-99F9-1E45F48E2171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53A-4ACC-99F9-1E45F48E2171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53A-4ACC-99F9-1E45F48E2171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53A-4ACC-99F9-1E45F48E2171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53A-4ACC-99F9-1E45F48E2171}"/>
              </c:ext>
            </c:extLst>
          </c:dPt>
          <c:xVal>
            <c:numRef>
              <c:f>'K-Mean'!$B$2:$B$31</c:f>
              <c:numCache>
                <c:formatCode>General</c:formatCode>
                <c:ptCount val="30"/>
                <c:pt idx="0">
                  <c:v>67</c:v>
                </c:pt>
                <c:pt idx="1">
                  <c:v>80</c:v>
                </c:pt>
                <c:pt idx="2">
                  <c:v>49</c:v>
                </c:pt>
                <c:pt idx="3">
                  <c:v>79</c:v>
                </c:pt>
                <c:pt idx="4">
                  <c:v>81</c:v>
                </c:pt>
                <c:pt idx="5">
                  <c:v>74</c:v>
                </c:pt>
                <c:pt idx="6">
                  <c:v>69</c:v>
                </c:pt>
                <c:pt idx="7">
                  <c:v>78</c:v>
                </c:pt>
                <c:pt idx="8">
                  <c:v>81</c:v>
                </c:pt>
                <c:pt idx="9">
                  <c:v>61</c:v>
                </c:pt>
                <c:pt idx="10">
                  <c:v>54</c:v>
                </c:pt>
                <c:pt idx="11">
                  <c:v>79</c:v>
                </c:pt>
                <c:pt idx="12">
                  <c:v>50</c:v>
                </c:pt>
                <c:pt idx="13">
                  <c:v>64</c:v>
                </c:pt>
                <c:pt idx="14">
                  <c:v>75</c:v>
                </c:pt>
                <c:pt idx="15">
                  <c:v>60</c:v>
                </c:pt>
                <c:pt idx="16">
                  <c:v>71</c:v>
                </c:pt>
                <c:pt idx="17">
                  <c:v>52</c:v>
                </c:pt>
                <c:pt idx="18">
                  <c:v>79</c:v>
                </c:pt>
                <c:pt idx="19">
                  <c:v>82</c:v>
                </c:pt>
                <c:pt idx="20">
                  <c:v>71</c:v>
                </c:pt>
                <c:pt idx="21">
                  <c:v>80</c:v>
                </c:pt>
                <c:pt idx="22">
                  <c:v>65</c:v>
                </c:pt>
                <c:pt idx="23">
                  <c:v>69</c:v>
                </c:pt>
                <c:pt idx="24">
                  <c:v>57</c:v>
                </c:pt>
                <c:pt idx="25">
                  <c:v>42</c:v>
                </c:pt>
                <c:pt idx="26">
                  <c:v>82</c:v>
                </c:pt>
                <c:pt idx="27">
                  <c:v>80</c:v>
                </c:pt>
                <c:pt idx="28">
                  <c:v>48</c:v>
                </c:pt>
                <c:pt idx="29">
                  <c:v>82</c:v>
                </c:pt>
              </c:numCache>
            </c:numRef>
          </c:xVal>
          <c:yVal>
            <c:numRef>
              <c:f>'K-Mean'!$C$2:$C$31</c:f>
              <c:numCache>
                <c:formatCode>0</c:formatCode>
                <c:ptCount val="30"/>
                <c:pt idx="0">
                  <c:v>228</c:v>
                </c:pt>
                <c:pt idx="1">
                  <c:v>105.92</c:v>
                </c:pt>
                <c:pt idx="2">
                  <c:v>171.23</c:v>
                </c:pt>
                <c:pt idx="3">
                  <c:v>174.12</c:v>
                </c:pt>
                <c:pt idx="4">
                  <c:v>186.21</c:v>
                </c:pt>
                <c:pt idx="5">
                  <c:v>70.09</c:v>
                </c:pt>
                <c:pt idx="6">
                  <c:v>94.39</c:v>
                </c:pt>
                <c:pt idx="7">
                  <c:v>58.57</c:v>
                </c:pt>
                <c:pt idx="8">
                  <c:v>80.430000000000007</c:v>
                </c:pt>
                <c:pt idx="9">
                  <c:v>120.46</c:v>
                </c:pt>
                <c:pt idx="10">
                  <c:v>104.51</c:v>
                </c:pt>
                <c:pt idx="11">
                  <c:v>214.09</c:v>
                </c:pt>
                <c:pt idx="12">
                  <c:v>167.41</c:v>
                </c:pt>
                <c:pt idx="13">
                  <c:v>191.61</c:v>
                </c:pt>
                <c:pt idx="14">
                  <c:v>221.29</c:v>
                </c:pt>
                <c:pt idx="15">
                  <c:v>89.22</c:v>
                </c:pt>
                <c:pt idx="16">
                  <c:v>193.94</c:v>
                </c:pt>
                <c:pt idx="17">
                  <c:v>233.29</c:v>
                </c:pt>
                <c:pt idx="18">
                  <c:v>228.7</c:v>
                </c:pt>
                <c:pt idx="19">
                  <c:v>208.3</c:v>
                </c:pt>
                <c:pt idx="20">
                  <c:v>102.87</c:v>
                </c:pt>
                <c:pt idx="21">
                  <c:v>104.12</c:v>
                </c:pt>
                <c:pt idx="22">
                  <c:v>100.98</c:v>
                </c:pt>
                <c:pt idx="23">
                  <c:v>195.23</c:v>
                </c:pt>
                <c:pt idx="24">
                  <c:v>212.08</c:v>
                </c:pt>
                <c:pt idx="25">
                  <c:v>83.41</c:v>
                </c:pt>
                <c:pt idx="26">
                  <c:v>196.92</c:v>
                </c:pt>
                <c:pt idx="27">
                  <c:v>252.72</c:v>
                </c:pt>
                <c:pt idx="28">
                  <c:v>84.2</c:v>
                </c:pt>
                <c:pt idx="29">
                  <c:v>84.03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53A-4ACC-99F9-1E45F48E2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20560"/>
        <c:axId val="254722000"/>
      </c:scatterChart>
      <c:valAx>
        <c:axId val="2547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2000"/>
        <c:crosses val="autoZero"/>
        <c:crossBetween val="midCat"/>
      </c:valAx>
      <c:valAx>
        <c:axId val="2547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Awal</a:t>
            </a:r>
            <a:endParaRPr lang="en-GB"/>
          </a:p>
        </c:rich>
      </c:tx>
      <c:layout>
        <c:manualLayout>
          <c:xMode val="edge"/>
          <c:yMode val="edge"/>
          <c:x val="0.4068851667162668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'K-Mean'!$B$2:$B$31</c:f>
              <c:numCache>
                <c:formatCode>General</c:formatCode>
                <c:ptCount val="30"/>
                <c:pt idx="0">
                  <c:v>67</c:v>
                </c:pt>
                <c:pt idx="1">
                  <c:v>80</c:v>
                </c:pt>
                <c:pt idx="2">
                  <c:v>49</c:v>
                </c:pt>
                <c:pt idx="3">
                  <c:v>79</c:v>
                </c:pt>
                <c:pt idx="4">
                  <c:v>81</c:v>
                </c:pt>
                <c:pt idx="5">
                  <c:v>74</c:v>
                </c:pt>
                <c:pt idx="6">
                  <c:v>69</c:v>
                </c:pt>
                <c:pt idx="7">
                  <c:v>78</c:v>
                </c:pt>
                <c:pt idx="8">
                  <c:v>81</c:v>
                </c:pt>
                <c:pt idx="9">
                  <c:v>61</c:v>
                </c:pt>
                <c:pt idx="10">
                  <c:v>54</c:v>
                </c:pt>
                <c:pt idx="11">
                  <c:v>79</c:v>
                </c:pt>
                <c:pt idx="12">
                  <c:v>50</c:v>
                </c:pt>
                <c:pt idx="13">
                  <c:v>64</c:v>
                </c:pt>
                <c:pt idx="14">
                  <c:v>75</c:v>
                </c:pt>
                <c:pt idx="15">
                  <c:v>60</c:v>
                </c:pt>
                <c:pt idx="16">
                  <c:v>71</c:v>
                </c:pt>
                <c:pt idx="17">
                  <c:v>52</c:v>
                </c:pt>
                <c:pt idx="18">
                  <c:v>79</c:v>
                </c:pt>
                <c:pt idx="19">
                  <c:v>82</c:v>
                </c:pt>
                <c:pt idx="20">
                  <c:v>71</c:v>
                </c:pt>
                <c:pt idx="21">
                  <c:v>80</c:v>
                </c:pt>
                <c:pt idx="22">
                  <c:v>65</c:v>
                </c:pt>
                <c:pt idx="23">
                  <c:v>69</c:v>
                </c:pt>
                <c:pt idx="24">
                  <c:v>57</c:v>
                </c:pt>
                <c:pt idx="25">
                  <c:v>42</c:v>
                </c:pt>
                <c:pt idx="26">
                  <c:v>82</c:v>
                </c:pt>
                <c:pt idx="27">
                  <c:v>80</c:v>
                </c:pt>
                <c:pt idx="28">
                  <c:v>48</c:v>
                </c:pt>
                <c:pt idx="29">
                  <c:v>82</c:v>
                </c:pt>
              </c:numCache>
            </c:numRef>
          </c:xVal>
          <c:yVal>
            <c:numRef>
              <c:f>'K-Mean'!$C$2:$C$31</c:f>
              <c:numCache>
                <c:formatCode>0</c:formatCode>
                <c:ptCount val="30"/>
                <c:pt idx="0">
                  <c:v>228</c:v>
                </c:pt>
                <c:pt idx="1">
                  <c:v>105.92</c:v>
                </c:pt>
                <c:pt idx="2">
                  <c:v>171.23</c:v>
                </c:pt>
                <c:pt idx="3">
                  <c:v>174.12</c:v>
                </c:pt>
                <c:pt idx="4">
                  <c:v>186.21</c:v>
                </c:pt>
                <c:pt idx="5">
                  <c:v>70.09</c:v>
                </c:pt>
                <c:pt idx="6">
                  <c:v>94.39</c:v>
                </c:pt>
                <c:pt idx="7">
                  <c:v>58.57</c:v>
                </c:pt>
                <c:pt idx="8">
                  <c:v>80.430000000000007</c:v>
                </c:pt>
                <c:pt idx="9">
                  <c:v>120.46</c:v>
                </c:pt>
                <c:pt idx="10">
                  <c:v>104.51</c:v>
                </c:pt>
                <c:pt idx="11">
                  <c:v>214.09</c:v>
                </c:pt>
                <c:pt idx="12">
                  <c:v>167.41</c:v>
                </c:pt>
                <c:pt idx="13">
                  <c:v>191.61</c:v>
                </c:pt>
                <c:pt idx="14">
                  <c:v>221.29</c:v>
                </c:pt>
                <c:pt idx="15">
                  <c:v>89.22</c:v>
                </c:pt>
                <c:pt idx="16">
                  <c:v>193.94</c:v>
                </c:pt>
                <c:pt idx="17">
                  <c:v>233.29</c:v>
                </c:pt>
                <c:pt idx="18">
                  <c:v>228.7</c:v>
                </c:pt>
                <c:pt idx="19">
                  <c:v>208.3</c:v>
                </c:pt>
                <c:pt idx="20">
                  <c:v>102.87</c:v>
                </c:pt>
                <c:pt idx="21">
                  <c:v>104.12</c:v>
                </c:pt>
                <c:pt idx="22">
                  <c:v>100.98</c:v>
                </c:pt>
                <c:pt idx="23">
                  <c:v>195.23</c:v>
                </c:pt>
                <c:pt idx="24">
                  <c:v>212.08</c:v>
                </c:pt>
                <c:pt idx="25">
                  <c:v>83.41</c:v>
                </c:pt>
                <c:pt idx="26">
                  <c:v>196.92</c:v>
                </c:pt>
                <c:pt idx="27">
                  <c:v>252.72</c:v>
                </c:pt>
                <c:pt idx="28">
                  <c:v>84.2</c:v>
                </c:pt>
                <c:pt idx="29">
                  <c:v>84.03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C8A-852C-D18A9021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20560"/>
        <c:axId val="254722000"/>
      </c:scatterChart>
      <c:valAx>
        <c:axId val="2547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2000"/>
        <c:crosses val="autoZero"/>
        <c:crossBetween val="midCat"/>
      </c:valAx>
      <c:valAx>
        <c:axId val="2547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Iterasi</a:t>
            </a:r>
            <a:r>
              <a:rPr lang="en-GB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B78-4B0F-AF41-E30B8526E97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B78-4B0F-AF41-E30B8526E97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B78-4B0F-AF41-E30B8526E97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B78-4B0F-AF41-E30B8526E97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B78-4B0F-AF41-E30B8526E97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B78-4B0F-AF41-E30B8526E97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B78-4B0F-AF41-E30B8526E97A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B78-4B0F-AF41-E30B8526E97A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B78-4B0F-AF41-E30B8526E97A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B78-4B0F-AF41-E30B8526E97A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B78-4B0F-AF41-E30B8526E97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B78-4B0F-AF41-E30B8526E97A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B78-4B0F-AF41-E30B8526E97A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B78-4B0F-AF41-E30B8526E97A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B78-4B0F-AF41-E30B8526E97A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B78-4B0F-AF41-E30B8526E97A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B78-4B0F-AF41-E30B8526E97A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B78-4B0F-AF41-E30B8526E97A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B78-4B0F-AF41-E30B8526E97A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B78-4B0F-AF41-E30B8526E97A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B78-4B0F-AF41-E30B8526E97A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B78-4B0F-AF41-E30B8526E97A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B78-4B0F-AF41-E30B8526E97A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B78-4B0F-AF41-E30B8526E97A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B78-4B0F-AF41-E30B8526E97A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B78-4B0F-AF41-E30B8526E97A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B78-4B0F-AF41-E30B8526E97A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B78-4B0F-AF41-E30B8526E97A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B78-4B0F-AF41-E30B8526E97A}"/>
              </c:ext>
            </c:extLst>
          </c:dPt>
          <c:xVal>
            <c:numRef>
              <c:f>'K-Mean'!$B$2:$B$31</c:f>
              <c:numCache>
                <c:formatCode>General</c:formatCode>
                <c:ptCount val="30"/>
                <c:pt idx="0">
                  <c:v>67</c:v>
                </c:pt>
                <c:pt idx="1">
                  <c:v>80</c:v>
                </c:pt>
                <c:pt idx="2">
                  <c:v>49</c:v>
                </c:pt>
                <c:pt idx="3">
                  <c:v>79</c:v>
                </c:pt>
                <c:pt idx="4">
                  <c:v>81</c:v>
                </c:pt>
                <c:pt idx="5">
                  <c:v>74</c:v>
                </c:pt>
                <c:pt idx="6">
                  <c:v>69</c:v>
                </c:pt>
                <c:pt idx="7">
                  <c:v>78</c:v>
                </c:pt>
                <c:pt idx="8">
                  <c:v>81</c:v>
                </c:pt>
                <c:pt idx="9">
                  <c:v>61</c:v>
                </c:pt>
                <c:pt idx="10">
                  <c:v>54</c:v>
                </c:pt>
                <c:pt idx="11">
                  <c:v>79</c:v>
                </c:pt>
                <c:pt idx="12">
                  <c:v>50</c:v>
                </c:pt>
                <c:pt idx="13">
                  <c:v>64</c:v>
                </c:pt>
                <c:pt idx="14">
                  <c:v>75</c:v>
                </c:pt>
                <c:pt idx="15">
                  <c:v>60</c:v>
                </c:pt>
                <c:pt idx="16">
                  <c:v>71</c:v>
                </c:pt>
                <c:pt idx="17">
                  <c:v>52</c:v>
                </c:pt>
                <c:pt idx="18">
                  <c:v>79</c:v>
                </c:pt>
                <c:pt idx="19">
                  <c:v>82</c:v>
                </c:pt>
                <c:pt idx="20">
                  <c:v>71</c:v>
                </c:pt>
                <c:pt idx="21">
                  <c:v>80</c:v>
                </c:pt>
                <c:pt idx="22">
                  <c:v>65</c:v>
                </c:pt>
                <c:pt idx="23">
                  <c:v>69</c:v>
                </c:pt>
                <c:pt idx="24">
                  <c:v>57</c:v>
                </c:pt>
                <c:pt idx="25">
                  <c:v>42</c:v>
                </c:pt>
                <c:pt idx="26">
                  <c:v>82</c:v>
                </c:pt>
                <c:pt idx="27">
                  <c:v>80</c:v>
                </c:pt>
                <c:pt idx="28">
                  <c:v>48</c:v>
                </c:pt>
                <c:pt idx="29">
                  <c:v>82</c:v>
                </c:pt>
              </c:numCache>
            </c:numRef>
          </c:xVal>
          <c:yVal>
            <c:numRef>
              <c:f>'K-Mean'!$C$2:$C$31</c:f>
              <c:numCache>
                <c:formatCode>0</c:formatCode>
                <c:ptCount val="30"/>
                <c:pt idx="0">
                  <c:v>228</c:v>
                </c:pt>
                <c:pt idx="1">
                  <c:v>105.92</c:v>
                </c:pt>
                <c:pt idx="2">
                  <c:v>171.23</c:v>
                </c:pt>
                <c:pt idx="3">
                  <c:v>174.12</c:v>
                </c:pt>
                <c:pt idx="4">
                  <c:v>186.21</c:v>
                </c:pt>
                <c:pt idx="5">
                  <c:v>70.09</c:v>
                </c:pt>
                <c:pt idx="6">
                  <c:v>94.39</c:v>
                </c:pt>
                <c:pt idx="7">
                  <c:v>58.57</c:v>
                </c:pt>
                <c:pt idx="8">
                  <c:v>80.430000000000007</c:v>
                </c:pt>
                <c:pt idx="9">
                  <c:v>120.46</c:v>
                </c:pt>
                <c:pt idx="10">
                  <c:v>104.51</c:v>
                </c:pt>
                <c:pt idx="11">
                  <c:v>214.09</c:v>
                </c:pt>
                <c:pt idx="12">
                  <c:v>167.41</c:v>
                </c:pt>
                <c:pt idx="13">
                  <c:v>191.61</c:v>
                </c:pt>
                <c:pt idx="14">
                  <c:v>221.29</c:v>
                </c:pt>
                <c:pt idx="15">
                  <c:v>89.22</c:v>
                </c:pt>
                <c:pt idx="16">
                  <c:v>193.94</c:v>
                </c:pt>
                <c:pt idx="17">
                  <c:v>233.29</c:v>
                </c:pt>
                <c:pt idx="18">
                  <c:v>228.7</c:v>
                </c:pt>
                <c:pt idx="19">
                  <c:v>208.3</c:v>
                </c:pt>
                <c:pt idx="20">
                  <c:v>102.87</c:v>
                </c:pt>
                <c:pt idx="21">
                  <c:v>104.12</c:v>
                </c:pt>
                <c:pt idx="22">
                  <c:v>100.98</c:v>
                </c:pt>
                <c:pt idx="23">
                  <c:v>195.23</c:v>
                </c:pt>
                <c:pt idx="24">
                  <c:v>212.08</c:v>
                </c:pt>
                <c:pt idx="25">
                  <c:v>83.41</c:v>
                </c:pt>
                <c:pt idx="26">
                  <c:v>196.92</c:v>
                </c:pt>
                <c:pt idx="27">
                  <c:v>252.72</c:v>
                </c:pt>
                <c:pt idx="28">
                  <c:v>84.2</c:v>
                </c:pt>
                <c:pt idx="29">
                  <c:v>84.03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B78-4B0F-AF41-E30B8526E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20560"/>
        <c:axId val="254722000"/>
      </c:scatterChart>
      <c:valAx>
        <c:axId val="2547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2000"/>
        <c:crosses val="autoZero"/>
        <c:crossBetween val="midCat"/>
      </c:valAx>
      <c:valAx>
        <c:axId val="2547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'Distribusi Data'!$F$32</c:f>
              <c:strCache>
                <c:ptCount val="1"/>
                <c:pt idx="0">
                  <c:v>Frekuensi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'Distribusi Data'!$E$33:$E$35</c:f>
              <c:strCache>
                <c:ptCount val="3"/>
                <c:pt idx="0">
                  <c:v>58.09 - 70.09</c:v>
                </c:pt>
                <c:pt idx="1">
                  <c:v>70.09 - 82.09</c:v>
                </c:pt>
                <c:pt idx="2">
                  <c:v>82.09 - 93.72</c:v>
                </c:pt>
              </c:strCache>
            </c:strRef>
          </c:cat>
          <c:val>
            <c:numRef>
              <c:f>'Distribusi Data'!$F$33:$F$35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F-4006-A7FC-6FE152F61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557856"/>
        <c:axId val="302558336"/>
      </c:barChart>
      <c:catAx>
        <c:axId val="3025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58336"/>
        <c:crosses val="autoZero"/>
        <c:auto val="1"/>
        <c:lblAlgn val="ctr"/>
        <c:lblOffset val="100"/>
        <c:noMultiLvlLbl val="0"/>
      </c:catAx>
      <c:valAx>
        <c:axId val="3025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5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'Distribusi Data'!$T$32</c:f>
              <c:strCache>
                <c:ptCount val="1"/>
                <c:pt idx="0">
                  <c:v>Frekuensi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'Distribusi Data'!$S$33:$S$34</c:f>
              <c:strCache>
                <c:ptCount val="2"/>
                <c:pt idx="0">
                  <c:v>60.91-146</c:v>
                </c:pt>
                <c:pt idx="1">
                  <c:v>147-233</c:v>
                </c:pt>
              </c:strCache>
            </c:strRef>
          </c:cat>
          <c:val>
            <c:numRef>
              <c:f>'Distribusi Data'!$T$33:$T$34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D-44C4-A28D-99AFE6D6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933472"/>
        <c:axId val="2087933952"/>
      </c:barChart>
      <c:catAx>
        <c:axId val="20879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33952"/>
        <c:crosses val="autoZero"/>
        <c:auto val="1"/>
        <c:lblAlgn val="ctr"/>
        <c:lblOffset val="100"/>
        <c:noMultiLvlLbl val="0"/>
      </c:catAx>
      <c:valAx>
        <c:axId val="20879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8097222222222226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'Distribusi Data'!$AD$31</c:f>
              <c:strCache>
                <c:ptCount val="1"/>
                <c:pt idx="0">
                  <c:v>Frekuensi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'Distribusi Data'!$AC$32:$AC$35</c:f>
              <c:strCache>
                <c:ptCount val="4"/>
                <c:pt idx="0">
                  <c:v>71 -106</c:v>
                </c:pt>
                <c:pt idx="1">
                  <c:v>107-142</c:v>
                </c:pt>
                <c:pt idx="2">
                  <c:v>143-178</c:v>
                </c:pt>
                <c:pt idx="3">
                  <c:v>179-214</c:v>
                </c:pt>
              </c:strCache>
            </c:strRef>
          </c:cat>
          <c:val>
            <c:numRef>
              <c:f>'Distribusi Data'!$AD$32:$AD$35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F-4C82-BDF9-3B5EE9C8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987360"/>
        <c:axId val="217982080"/>
      </c:barChart>
      <c:catAx>
        <c:axId val="2179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82080"/>
        <c:crosses val="autoZero"/>
        <c:auto val="1"/>
        <c:lblAlgn val="ctr"/>
        <c:lblOffset val="100"/>
        <c:noMultiLvlLbl val="0"/>
      </c:catAx>
      <c:valAx>
        <c:axId val="2179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'Distribusi Data'!$AJ$31</c:f>
              <c:strCache>
                <c:ptCount val="1"/>
                <c:pt idx="0">
                  <c:v>Frekuensi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'Distribusi Data'!$AI$32:$AI$35</c:f>
              <c:strCache>
                <c:ptCount val="4"/>
                <c:pt idx="0">
                  <c:v>89-124</c:v>
                </c:pt>
                <c:pt idx="1">
                  <c:v>125-160</c:v>
                </c:pt>
                <c:pt idx="2">
                  <c:v>161-196</c:v>
                </c:pt>
                <c:pt idx="3">
                  <c:v>197-232</c:v>
                </c:pt>
              </c:strCache>
            </c:strRef>
          </c:cat>
          <c:val>
            <c:numRef>
              <c:f>'Distribusi Data'!$AJ$32:$AJ$35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7-48D5-8E7E-0EC7FEE6A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720576"/>
        <c:axId val="250710976"/>
      </c:barChart>
      <c:catAx>
        <c:axId val="2507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10976"/>
        <c:crosses val="autoZero"/>
        <c:auto val="1"/>
        <c:lblAlgn val="ctr"/>
        <c:lblOffset val="100"/>
        <c:noMultiLvlLbl val="0"/>
      </c:catAx>
      <c:valAx>
        <c:axId val="2507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2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69816272965875E-2"/>
          <c:y val="0.18560185185185185"/>
          <c:w val="0.915530183727034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'Distribusi Data'!$AU$31</c:f>
              <c:strCache>
                <c:ptCount val="1"/>
                <c:pt idx="0">
                  <c:v>Frekuensi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'Distribusi Data'!$AT$32:$AT$35</c:f>
              <c:strCache>
                <c:ptCount val="4"/>
                <c:pt idx="0">
                  <c:v>61-102</c:v>
                </c:pt>
                <c:pt idx="1">
                  <c:v>103-144</c:v>
                </c:pt>
                <c:pt idx="2">
                  <c:v>145-186</c:v>
                </c:pt>
                <c:pt idx="3">
                  <c:v>187-228</c:v>
                </c:pt>
              </c:strCache>
            </c:strRef>
          </c:cat>
          <c:val>
            <c:numRef>
              <c:f>'Distribusi Data'!$AU$32:$AU$35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7-46DC-AD96-7E43FDD6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036352"/>
        <c:axId val="277038752"/>
      </c:barChart>
      <c:catAx>
        <c:axId val="2770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38752"/>
        <c:crosses val="autoZero"/>
        <c:auto val="1"/>
        <c:lblAlgn val="ctr"/>
        <c:lblOffset val="100"/>
        <c:noMultiLvlLbl val="0"/>
      </c:catAx>
      <c:valAx>
        <c:axId val="2770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'Distribusi Data'!$BC$31</c:f>
              <c:strCache>
                <c:ptCount val="1"/>
                <c:pt idx="0">
                  <c:v>Frekuensi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'Distribusi Data'!$BB$32:$BB$37</c:f>
              <c:strCache>
                <c:ptCount val="6"/>
                <c:pt idx="0">
                  <c:v>58-90</c:v>
                </c:pt>
                <c:pt idx="1">
                  <c:v>91-123</c:v>
                </c:pt>
                <c:pt idx="2">
                  <c:v>124-156</c:v>
                </c:pt>
                <c:pt idx="3">
                  <c:v>157-189</c:v>
                </c:pt>
                <c:pt idx="4">
                  <c:v>190-222</c:v>
                </c:pt>
                <c:pt idx="5">
                  <c:v>223-255</c:v>
                </c:pt>
              </c:strCache>
            </c:strRef>
          </c:cat>
          <c:val>
            <c:numRef>
              <c:f>'Distribusi Data'!$BC$32:$BC$37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A-4F0A-8CF2-CD381B6D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722496"/>
        <c:axId val="250723456"/>
      </c:barChart>
      <c:catAx>
        <c:axId val="2507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23456"/>
        <c:crosses val="autoZero"/>
        <c:auto val="1"/>
        <c:lblAlgn val="ctr"/>
        <c:lblOffset val="100"/>
        <c:noMultiLvlLbl val="0"/>
      </c:catAx>
      <c:valAx>
        <c:axId val="2507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2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</a:t>
            </a:r>
            <a:r>
              <a:rPr lang="en-US" baseline="0"/>
              <a:t> Pancar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'Regresi&amp;kolerasi'!$L$44</c:f>
              <c:strCache>
                <c:ptCount val="1"/>
                <c:pt idx="0">
                  <c:v>Y'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'Regresi&amp;kolerasi'!$D$4:$D$33</c:f>
              <c:numCache>
                <c:formatCode>General</c:formatCode>
                <c:ptCount val="30"/>
                <c:pt idx="0">
                  <c:v>67</c:v>
                </c:pt>
                <c:pt idx="1">
                  <c:v>80</c:v>
                </c:pt>
                <c:pt idx="2">
                  <c:v>49</c:v>
                </c:pt>
                <c:pt idx="3">
                  <c:v>79</c:v>
                </c:pt>
                <c:pt idx="4">
                  <c:v>81</c:v>
                </c:pt>
                <c:pt idx="5">
                  <c:v>74</c:v>
                </c:pt>
                <c:pt idx="6">
                  <c:v>69</c:v>
                </c:pt>
                <c:pt idx="7">
                  <c:v>78</c:v>
                </c:pt>
                <c:pt idx="8">
                  <c:v>81</c:v>
                </c:pt>
                <c:pt idx="9">
                  <c:v>61</c:v>
                </c:pt>
                <c:pt idx="10">
                  <c:v>54</c:v>
                </c:pt>
                <c:pt idx="11">
                  <c:v>79</c:v>
                </c:pt>
                <c:pt idx="12">
                  <c:v>50</c:v>
                </c:pt>
                <c:pt idx="13">
                  <c:v>64</c:v>
                </c:pt>
                <c:pt idx="14">
                  <c:v>75</c:v>
                </c:pt>
                <c:pt idx="15">
                  <c:v>60</c:v>
                </c:pt>
                <c:pt idx="16">
                  <c:v>71</c:v>
                </c:pt>
                <c:pt idx="17">
                  <c:v>52</c:v>
                </c:pt>
                <c:pt idx="18">
                  <c:v>79</c:v>
                </c:pt>
                <c:pt idx="19">
                  <c:v>82</c:v>
                </c:pt>
                <c:pt idx="20">
                  <c:v>71</c:v>
                </c:pt>
                <c:pt idx="21">
                  <c:v>80</c:v>
                </c:pt>
                <c:pt idx="22">
                  <c:v>65</c:v>
                </c:pt>
                <c:pt idx="23">
                  <c:v>69</c:v>
                </c:pt>
                <c:pt idx="24">
                  <c:v>57</c:v>
                </c:pt>
                <c:pt idx="25">
                  <c:v>42</c:v>
                </c:pt>
                <c:pt idx="26">
                  <c:v>82</c:v>
                </c:pt>
                <c:pt idx="27">
                  <c:v>80</c:v>
                </c:pt>
                <c:pt idx="28">
                  <c:v>48</c:v>
                </c:pt>
                <c:pt idx="29">
                  <c:v>82</c:v>
                </c:pt>
              </c:numCache>
            </c:numRef>
          </c:xVal>
          <c:yVal>
            <c:numRef>
              <c:f>'Regresi&amp;kolerasi'!$N$4:$N$33</c:f>
              <c:numCache>
                <c:formatCode>General</c:formatCode>
                <c:ptCount val="30"/>
                <c:pt idx="0">
                  <c:v>150.89891172288998</c:v>
                </c:pt>
                <c:pt idx="1">
                  <c:v>158.89586129294679</c:v>
                </c:pt>
                <c:pt idx="2">
                  <c:v>139.82621231819596</c:v>
                </c:pt>
                <c:pt idx="3">
                  <c:v>158.28071132601934</c:v>
                </c:pt>
                <c:pt idx="4">
                  <c:v>159.51101125987424</c:v>
                </c:pt>
                <c:pt idx="5">
                  <c:v>155.20496149138211</c:v>
                </c:pt>
                <c:pt idx="6">
                  <c:v>152.12921165674487</c:v>
                </c:pt>
                <c:pt idx="7">
                  <c:v>157.6655613590919</c:v>
                </c:pt>
                <c:pt idx="8">
                  <c:v>159.51101125987424</c:v>
                </c:pt>
                <c:pt idx="9">
                  <c:v>147.20801192132532</c:v>
                </c:pt>
                <c:pt idx="10">
                  <c:v>142.90196215283319</c:v>
                </c:pt>
                <c:pt idx="11">
                  <c:v>158.28071132601934</c:v>
                </c:pt>
                <c:pt idx="12">
                  <c:v>140.4413622851234</c:v>
                </c:pt>
                <c:pt idx="13">
                  <c:v>149.05346182210764</c:v>
                </c:pt>
                <c:pt idx="14">
                  <c:v>155.82011145830955</c:v>
                </c:pt>
                <c:pt idx="15">
                  <c:v>146.59286195439788</c:v>
                </c:pt>
                <c:pt idx="16">
                  <c:v>153.35951159059977</c:v>
                </c:pt>
                <c:pt idx="17">
                  <c:v>141.6716622189783</c:v>
                </c:pt>
                <c:pt idx="18">
                  <c:v>158.28071132601934</c:v>
                </c:pt>
                <c:pt idx="19">
                  <c:v>160.12616122680168</c:v>
                </c:pt>
                <c:pt idx="20">
                  <c:v>153.35951159059977</c:v>
                </c:pt>
                <c:pt idx="21">
                  <c:v>158.89586129294679</c:v>
                </c:pt>
                <c:pt idx="22">
                  <c:v>149.66861178903508</c:v>
                </c:pt>
                <c:pt idx="23">
                  <c:v>152.12921165674487</c:v>
                </c:pt>
                <c:pt idx="24">
                  <c:v>144.74741205361553</c:v>
                </c:pt>
                <c:pt idx="25">
                  <c:v>135.52016254970385</c:v>
                </c:pt>
                <c:pt idx="26">
                  <c:v>160.12616122680168</c:v>
                </c:pt>
                <c:pt idx="27">
                  <c:v>158.89586129294679</c:v>
                </c:pt>
                <c:pt idx="28">
                  <c:v>139.21106235126851</c:v>
                </c:pt>
                <c:pt idx="29">
                  <c:v>160.12616122680168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5-4A9E-A751-973998B82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03088"/>
        <c:axId val="1914504528"/>
      </c:scatterChart>
      <c:valAx>
        <c:axId val="19145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04528"/>
        <c:crosses val="autoZero"/>
        <c:crossBetween val="midCat"/>
      </c:valAx>
      <c:valAx>
        <c:axId val="19145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0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Awal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'K-Mean'!$B$2:$B$31</c:f>
              <c:numCache>
                <c:formatCode>General</c:formatCode>
                <c:ptCount val="30"/>
                <c:pt idx="0">
                  <c:v>67</c:v>
                </c:pt>
                <c:pt idx="1">
                  <c:v>80</c:v>
                </c:pt>
                <c:pt idx="2">
                  <c:v>49</c:v>
                </c:pt>
                <c:pt idx="3">
                  <c:v>79</c:v>
                </c:pt>
                <c:pt idx="4">
                  <c:v>81</c:v>
                </c:pt>
                <c:pt idx="5">
                  <c:v>74</c:v>
                </c:pt>
                <c:pt idx="6">
                  <c:v>69</c:v>
                </c:pt>
                <c:pt idx="7">
                  <c:v>78</c:v>
                </c:pt>
                <c:pt idx="8">
                  <c:v>81</c:v>
                </c:pt>
                <c:pt idx="9">
                  <c:v>61</c:v>
                </c:pt>
                <c:pt idx="10">
                  <c:v>54</c:v>
                </c:pt>
                <c:pt idx="11">
                  <c:v>79</c:v>
                </c:pt>
                <c:pt idx="12">
                  <c:v>50</c:v>
                </c:pt>
                <c:pt idx="13">
                  <c:v>64</c:v>
                </c:pt>
                <c:pt idx="14">
                  <c:v>75</c:v>
                </c:pt>
                <c:pt idx="15">
                  <c:v>60</c:v>
                </c:pt>
                <c:pt idx="16">
                  <c:v>71</c:v>
                </c:pt>
                <c:pt idx="17">
                  <c:v>52</c:v>
                </c:pt>
                <c:pt idx="18">
                  <c:v>79</c:v>
                </c:pt>
                <c:pt idx="19">
                  <c:v>82</c:v>
                </c:pt>
                <c:pt idx="20">
                  <c:v>71</c:v>
                </c:pt>
                <c:pt idx="21">
                  <c:v>80</c:v>
                </c:pt>
                <c:pt idx="22">
                  <c:v>65</c:v>
                </c:pt>
                <c:pt idx="23">
                  <c:v>69</c:v>
                </c:pt>
                <c:pt idx="24">
                  <c:v>57</c:v>
                </c:pt>
                <c:pt idx="25">
                  <c:v>42</c:v>
                </c:pt>
                <c:pt idx="26">
                  <c:v>82</c:v>
                </c:pt>
                <c:pt idx="27">
                  <c:v>80</c:v>
                </c:pt>
                <c:pt idx="28">
                  <c:v>48</c:v>
                </c:pt>
                <c:pt idx="29">
                  <c:v>82</c:v>
                </c:pt>
              </c:numCache>
            </c:numRef>
          </c:xVal>
          <c:yVal>
            <c:numRef>
              <c:f>'K-Mean'!$C$2:$C$31</c:f>
              <c:numCache>
                <c:formatCode>0</c:formatCode>
                <c:ptCount val="30"/>
                <c:pt idx="0">
                  <c:v>228</c:v>
                </c:pt>
                <c:pt idx="1">
                  <c:v>105.92</c:v>
                </c:pt>
                <c:pt idx="2">
                  <c:v>171.23</c:v>
                </c:pt>
                <c:pt idx="3">
                  <c:v>174.12</c:v>
                </c:pt>
                <c:pt idx="4">
                  <c:v>186.21</c:v>
                </c:pt>
                <c:pt idx="5">
                  <c:v>70.09</c:v>
                </c:pt>
                <c:pt idx="6">
                  <c:v>94.39</c:v>
                </c:pt>
                <c:pt idx="7">
                  <c:v>58.57</c:v>
                </c:pt>
                <c:pt idx="8">
                  <c:v>80.430000000000007</c:v>
                </c:pt>
                <c:pt idx="9">
                  <c:v>120.46</c:v>
                </c:pt>
                <c:pt idx="10">
                  <c:v>104.51</c:v>
                </c:pt>
                <c:pt idx="11">
                  <c:v>214.09</c:v>
                </c:pt>
                <c:pt idx="12">
                  <c:v>167.41</c:v>
                </c:pt>
                <c:pt idx="13">
                  <c:v>191.61</c:v>
                </c:pt>
                <c:pt idx="14">
                  <c:v>221.29</c:v>
                </c:pt>
                <c:pt idx="15">
                  <c:v>89.22</c:v>
                </c:pt>
                <c:pt idx="16">
                  <c:v>193.94</c:v>
                </c:pt>
                <c:pt idx="17">
                  <c:v>233.29</c:v>
                </c:pt>
                <c:pt idx="18">
                  <c:v>228.7</c:v>
                </c:pt>
                <c:pt idx="19">
                  <c:v>208.3</c:v>
                </c:pt>
                <c:pt idx="20">
                  <c:v>102.87</c:v>
                </c:pt>
                <c:pt idx="21">
                  <c:v>104.12</c:v>
                </c:pt>
                <c:pt idx="22">
                  <c:v>100.98</c:v>
                </c:pt>
                <c:pt idx="23">
                  <c:v>195.23</c:v>
                </c:pt>
                <c:pt idx="24">
                  <c:v>212.08</c:v>
                </c:pt>
                <c:pt idx="25">
                  <c:v>83.41</c:v>
                </c:pt>
                <c:pt idx="26">
                  <c:v>196.92</c:v>
                </c:pt>
                <c:pt idx="27">
                  <c:v>252.72</c:v>
                </c:pt>
                <c:pt idx="28">
                  <c:v>84.2</c:v>
                </c:pt>
                <c:pt idx="29">
                  <c:v>84.03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5-4832-A01D-67FEE9F79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20560"/>
        <c:axId val="254722000"/>
      </c:scatterChart>
      <c:valAx>
        <c:axId val="2547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2000"/>
        <c:crosses val="autoZero"/>
        <c:crossBetween val="midCat"/>
      </c:valAx>
      <c:valAx>
        <c:axId val="2547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8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303320</xdr:colOff>
      <xdr:row>10</xdr:row>
      <xdr:rowOff>20161</xdr:rowOff>
    </xdr:from>
    <xdr:to>
      <xdr:col>13</xdr:col>
      <xdr:colOff>323665</xdr:colOff>
      <xdr:row>22</xdr:row>
      <xdr:rowOff>18496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8FD65-D1F2-806E-5BE2-04BEF1876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329180</xdr:colOff>
      <xdr:row>40</xdr:row>
      <xdr:rowOff>152519</xdr:rowOff>
    </xdr:from>
    <xdr:to>
      <xdr:col>13</xdr:col>
      <xdr:colOff>280621</xdr:colOff>
      <xdr:row>53</xdr:row>
      <xdr:rowOff>105642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91F164-7B3D-5BAC-6F6B-7D8D4B25C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552198</xdr:colOff>
      <xdr:row>40</xdr:row>
      <xdr:rowOff>50882</xdr:rowOff>
    </xdr:from>
    <xdr:to>
      <xdr:col>22</xdr:col>
      <xdr:colOff>217596</xdr:colOff>
      <xdr:row>54</xdr:row>
      <xdr:rowOff>170801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8F065-00FC-14D2-EECC-139BB7665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201382</xdr:colOff>
      <xdr:row>39</xdr:row>
      <xdr:rowOff>160210</xdr:rowOff>
    </xdr:from>
    <xdr:to>
      <xdr:col>30</xdr:col>
      <xdr:colOff>528147</xdr:colOff>
      <xdr:row>54</xdr:row>
      <xdr:rowOff>79169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4C0697-13DC-64EA-912E-8E37796E5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305122</xdr:colOff>
      <xdr:row>41</xdr:row>
      <xdr:rowOff>81367</xdr:rowOff>
    </xdr:from>
    <xdr:to>
      <xdr:col>39</xdr:col>
      <xdr:colOff>582800</xdr:colOff>
      <xdr:row>55</xdr:row>
      <xdr:rowOff>112363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4AC6BE-C441-2F5D-79A5-15A6C7E60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586366</xdr:colOff>
      <xdr:row>41</xdr:row>
      <xdr:rowOff>27960</xdr:rowOff>
    </xdr:from>
    <xdr:to>
      <xdr:col>48</xdr:col>
      <xdr:colOff>291044</xdr:colOff>
      <xdr:row>55</xdr:row>
      <xdr:rowOff>64055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35DE67-CEA5-4771-D745-3CC9C9462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604119</xdr:colOff>
      <xdr:row>40</xdr:row>
      <xdr:rowOff>168058</xdr:rowOff>
    </xdr:from>
    <xdr:to>
      <xdr:col>59</xdr:col>
      <xdr:colOff>35229</xdr:colOff>
      <xdr:row>54</xdr:row>
      <xdr:rowOff>171189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275D68-45AD-3764-97BA-613BCA093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547881</xdr:colOff>
      <xdr:row>2</xdr:row>
      <xdr:rowOff>27360</xdr:rowOff>
    </xdr:from>
    <xdr:ext cx="332222" cy="149707"/>
    <xdr:pic>
      <xdr:nvPicPr>
        <xdr:cNvPr id="18" name="Picture 17">
          <a:extLst>
            <a:ext uri="{FF2B5EF4-FFF2-40B4-BE49-F238E27FC236}">
              <a16:creationId xmlns:a16="http://schemas.microsoft.com/office/drawing/2014/main" id="{E95950FF-EEF2-4C61-B2BC-F4FDD897A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4777" y="425107"/>
          <a:ext cx="332222" cy="149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340921</xdr:colOff>
      <xdr:row>2</xdr:row>
      <xdr:rowOff>34956</xdr:rowOff>
    </xdr:from>
    <xdr:ext cx="363723" cy="136395"/>
    <xdr:pic>
      <xdr:nvPicPr>
        <xdr:cNvPr id="19" name="Picture 18">
          <a:extLst>
            <a:ext uri="{FF2B5EF4-FFF2-40B4-BE49-F238E27FC236}">
              <a16:creationId xmlns:a16="http://schemas.microsoft.com/office/drawing/2014/main" id="{C6BB1F69-DD7A-4D3A-8859-F978040B3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801" y="437937"/>
          <a:ext cx="363723" cy="136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420440</xdr:colOff>
      <xdr:row>1</xdr:row>
      <xdr:rowOff>193442</xdr:rowOff>
    </xdr:from>
    <xdr:to>
      <xdr:col>9</xdr:col>
      <xdr:colOff>531111</xdr:colOff>
      <xdr:row>2</xdr:row>
      <xdr:rowOff>168974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8F050E6-7831-4330-8DD3-696C6C467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2472" y="392165"/>
          <a:ext cx="110671" cy="174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429911</xdr:colOff>
      <xdr:row>2</xdr:row>
      <xdr:rowOff>7368</xdr:rowOff>
    </xdr:from>
    <xdr:to>
      <xdr:col>8</xdr:col>
      <xdr:colOff>516665</xdr:colOff>
      <xdr:row>2</xdr:row>
      <xdr:rowOff>188210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18682FC-3E37-4FAD-A220-909BDAF64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4264" y="404814"/>
          <a:ext cx="86754" cy="180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3872</xdr:colOff>
      <xdr:row>39</xdr:row>
      <xdr:rowOff>96645</xdr:rowOff>
    </xdr:from>
    <xdr:ext cx="574708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8EE98928-0739-4F2D-9190-0F41628012F0}"/>
                </a:ext>
              </a:extLst>
            </xdr:cNvPr>
            <xdr:cNvSpPr txBox="1"/>
          </xdr:nvSpPr>
          <xdr:spPr>
            <a:xfrm>
              <a:off x="613472" y="60313695"/>
              <a:ext cx="574708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110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ID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ID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ID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8EE98928-0739-4F2D-9190-0F41628012F0}"/>
                </a:ext>
              </a:extLst>
            </xdr:cNvPr>
            <xdr:cNvSpPr txBox="1"/>
          </xdr:nvSpPr>
          <xdr:spPr>
            <a:xfrm>
              <a:off x="613472" y="60313695"/>
              <a:ext cx="574708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𝑏=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latin typeface="Cambria Math" panose="02040503050406030204" pitchFamily="18" charset="0"/>
                </a:rPr>
                <a:t>𝑥𝑦</a:t>
              </a:r>
              <a:r>
                <a:rPr lang="en-ID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)/(∑128▒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𝑥</a:t>
              </a:r>
              <a:r>
                <a:rPr lang="en-ID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D" sz="1100" i="0">
                  <a:latin typeface="Cambria Math" panose="02040503050406030204" pitchFamily="18" charset="0"/>
                </a:rPr>
                <a:t>2 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</xdr:col>
      <xdr:colOff>14471</xdr:colOff>
      <xdr:row>44</xdr:row>
      <xdr:rowOff>22163</xdr:rowOff>
    </xdr:from>
    <xdr:ext cx="727892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0885F68-9C58-49DD-A81C-EEE3696456AF}"/>
                </a:ext>
              </a:extLst>
            </xdr:cNvPr>
            <xdr:cNvSpPr txBox="1"/>
          </xdr:nvSpPr>
          <xdr:spPr>
            <a:xfrm>
              <a:off x="624071" y="61191713"/>
              <a:ext cx="727892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110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ID" sz="110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n-ID" sz="11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D" sz="1100" i="1">
                        <a:latin typeface="Cambria Math" panose="02040503050406030204" pitchFamily="18" charset="0"/>
                      </a:rPr>
                      <m:t>𝑏</m:t>
                    </m:r>
                    <m:acc>
                      <m:accPr>
                        <m:chr m:val="̅"/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0885F68-9C58-49DD-A81C-EEE3696456AF}"/>
                </a:ext>
              </a:extLst>
            </xdr:cNvPr>
            <xdr:cNvSpPr txBox="1"/>
          </xdr:nvSpPr>
          <xdr:spPr>
            <a:xfrm>
              <a:off x="624071" y="61191713"/>
              <a:ext cx="727892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𝑎=𝑌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D" sz="1100" i="0">
                  <a:latin typeface="Cambria Math" panose="02040503050406030204" pitchFamily="18" charset="0"/>
                </a:rPr>
                <a:t>−𝑏𝑋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</xdr:col>
      <xdr:colOff>20276</xdr:colOff>
      <xdr:row>47</xdr:row>
      <xdr:rowOff>909</xdr:rowOff>
    </xdr:from>
    <xdr:ext cx="7765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25A9B602-796A-4EDF-9861-E8E8EFE54A68}"/>
                </a:ext>
              </a:extLst>
            </xdr:cNvPr>
            <xdr:cNvSpPr txBox="1"/>
          </xdr:nvSpPr>
          <xdr:spPr>
            <a:xfrm>
              <a:off x="629876" y="61741959"/>
              <a:ext cx="776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p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ID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D" sz="110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n-ID" sz="11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ID" sz="1100" i="1">
                        <a:latin typeface="Cambria Math" panose="02040503050406030204" pitchFamily="18" charset="0"/>
                      </a:rPr>
                      <m:t>𝑏𝑋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25A9B602-796A-4EDF-9861-E8E8EFE54A68}"/>
                </a:ext>
              </a:extLst>
            </xdr:cNvPr>
            <xdr:cNvSpPr txBox="1"/>
          </xdr:nvSpPr>
          <xdr:spPr>
            <a:xfrm>
              <a:off x="629876" y="61741959"/>
              <a:ext cx="7765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𝑌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D" sz="1100" i="0">
                  <a:latin typeface="Cambria Math" panose="02040503050406030204" pitchFamily="18" charset="0"/>
                </a:rPr>
                <a:t>′=𝛼+𝑏𝑋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7</xdr:col>
      <xdr:colOff>30296</xdr:colOff>
      <xdr:row>40</xdr:row>
      <xdr:rowOff>1342</xdr:rowOff>
    </xdr:from>
    <xdr:ext cx="1977721" cy="412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424915A9-8DB8-49AE-8523-BC29C924CFEE}"/>
                </a:ext>
              </a:extLst>
            </xdr:cNvPr>
            <xdr:cNvSpPr txBox="1"/>
          </xdr:nvSpPr>
          <xdr:spPr>
            <a:xfrm>
              <a:off x="4830896" y="60408892"/>
              <a:ext cx="1977721" cy="41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ID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d>
                          <m:d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</m:nary>
                          </m:e>
                        </m:d>
                        <m: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d>
                          <m:d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nary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</m:d>
                        <m: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sSup>
                          <m:sSup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ID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D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D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ID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sSup>
                          <m:sSup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D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ID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D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D">
                <a:effectLst/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424915A9-8DB8-49AE-8523-BC29C924CFEE}"/>
                </a:ext>
              </a:extLst>
            </xdr:cNvPr>
            <xdr:cNvSpPr txBox="1"/>
          </xdr:nvSpPr>
          <xdr:spPr>
            <a:xfrm>
              <a:off x="4830896" y="60408892"/>
              <a:ext cx="1977721" cy="412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𝑟^2=(𝑎(∑128▒𝑌)+𝑏(∑128▒𝑋 𝑌)−𝑛(𝑌 ̅ )^2)/(∑128▒(𝑌)^2 −𝑛(𝑌 ̅ )^2 )</a:t>
              </a:r>
              <a:endParaRPr lang="en-ID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85036</xdr:colOff>
      <xdr:row>44</xdr:row>
      <xdr:rowOff>145178</xdr:rowOff>
    </xdr:from>
    <xdr:ext cx="612475" cy="2006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4699CA2D-5915-4F2E-B1F7-FC605FFF5890}"/>
                </a:ext>
              </a:extLst>
            </xdr:cNvPr>
            <xdr:cNvSpPr txBox="1"/>
          </xdr:nvSpPr>
          <xdr:spPr>
            <a:xfrm>
              <a:off x="4885636" y="61314728"/>
              <a:ext cx="612475" cy="200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D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</m:t>
                  </m:r>
                </m:oMath>
              </a14:m>
              <a:r>
                <a:rPr lang="en-ID" sz="1100" baseline="0">
                  <a:solidFill>
                    <a:sysClr val="windowText" lastClr="000000"/>
                  </a:solidFill>
                </a:rPr>
                <a:t> </a:t>
              </a:r>
              <a14:m>
                <m:oMath xmlns:m="http://schemas.openxmlformats.org/officeDocument/2006/math">
                  <m:r>
                    <a:rPr lang="en-ID" sz="110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ID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ID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p>
                          <m:r>
                            <a:rPr lang="en-ID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endParaRPr lang="en-ID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4699CA2D-5915-4F2E-B1F7-FC605FFF5890}"/>
                </a:ext>
              </a:extLst>
            </xdr:cNvPr>
            <xdr:cNvSpPr txBox="1"/>
          </xdr:nvSpPr>
          <xdr:spPr>
            <a:xfrm>
              <a:off x="4885636" y="61314728"/>
              <a:ext cx="612475" cy="200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ID" sz="1100" baseline="0">
                  <a:solidFill>
                    <a:sysClr val="windowText" lastClr="000000"/>
                  </a:solidFill>
                </a:rPr>
                <a:t> </a:t>
              </a:r>
              <a:r>
                <a:rPr lang="en-ID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±√(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𝑟^2 </a:t>
              </a:r>
              <a:r>
                <a:rPr lang="en-US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n-ID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12</xdr:col>
      <xdr:colOff>287612</xdr:colOff>
      <xdr:row>42</xdr:row>
      <xdr:rowOff>166806</xdr:rowOff>
    </xdr:from>
    <xdr:to>
      <xdr:col>18</xdr:col>
      <xdr:colOff>214774</xdr:colOff>
      <xdr:row>55</xdr:row>
      <xdr:rowOff>143275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951622D-7B43-E8F2-3C57-EA1561C51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46037</xdr:rowOff>
    </xdr:from>
    <xdr:to>
      <xdr:col>11</xdr:col>
      <xdr:colOff>301625</xdr:colOff>
      <xdr:row>14</xdr:row>
      <xdr:rowOff>122237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F8F1B-0CEB-A37D-FE82-D15DFE7FB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371475</xdr:colOff>
      <xdr:row>113</xdr:row>
      <xdr:rowOff>33337</xdr:rowOff>
    </xdr:from>
    <xdr:ext cx="633635" cy="519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2D99913-3C1B-428C-9D91-F8087C5C4CE7}"/>
                </a:ext>
              </a:extLst>
            </xdr:cNvPr>
            <xdr:cNvSpPr txBox="1"/>
          </xdr:nvSpPr>
          <xdr:spPr>
            <a:xfrm>
              <a:off x="981075" y="22931437"/>
              <a:ext cx="633635" cy="519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grow m:val="on"/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n-ID" sz="1100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ID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D" sz="11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D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D" sz="110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ID" sz="1100" i="1"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sub>
                            </m:sSub>
                          </m:e>
                        </m:nary>
                      </m:num>
                      <m:den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2D99913-3C1B-428C-9D91-F8087C5C4CE7}"/>
                </a:ext>
              </a:extLst>
            </xdr:cNvPr>
            <xdr:cNvSpPr txBox="1"/>
          </xdr:nvSpPr>
          <xdr:spPr>
            <a:xfrm>
              <a:off x="981075" y="22931437"/>
              <a:ext cx="633635" cy="519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(∑129_(</a:t>
              </a:r>
              <a:r>
                <a:rPr lang="en-ID" sz="1100" i="0">
                  <a:latin typeface="Cambria Math" panose="02040503050406030204" pitchFamily="18" charset="0"/>
                </a:rPr>
                <a:t>ℎ=1)^𝜌▒𝑦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ID" sz="1100" i="0">
                  <a:latin typeface="Cambria Math" panose="02040503050406030204" pitchFamily="18" charset="0"/>
                </a:rPr>
                <a:t>ℎ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 i="0">
                  <a:latin typeface="Cambria Math" panose="02040503050406030204" pitchFamily="18" charset="0"/>
                </a:rPr>
                <a:t>𝑗 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)/</a:t>
              </a:r>
              <a:r>
                <a:rPr lang="en-ID" sz="1100" i="0">
                  <a:latin typeface="Cambria Math" panose="02040503050406030204" pitchFamily="18" charset="0"/>
                </a:rPr>
                <a:t>𝑝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114</xdr:row>
      <xdr:rowOff>33337</xdr:rowOff>
    </xdr:from>
    <xdr:ext cx="1197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91CBB2B-85B5-4881-BD8A-306D7DAD8EB0}"/>
                </a:ext>
              </a:extLst>
            </xdr:cNvPr>
            <xdr:cNvSpPr txBox="1"/>
          </xdr:nvSpPr>
          <xdr:spPr>
            <a:xfrm>
              <a:off x="2295525" y="23121937"/>
              <a:ext cx="1197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1100">
                        <a:latin typeface="Cambria Math" panose="02040503050406030204" pitchFamily="18" charset="0"/>
                      </a:rPr>
                      <m:t>∈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91CBB2B-85B5-4881-BD8A-306D7DAD8EB0}"/>
                </a:ext>
              </a:extLst>
            </xdr:cNvPr>
            <xdr:cNvSpPr txBox="1"/>
          </xdr:nvSpPr>
          <xdr:spPr>
            <a:xfrm>
              <a:off x="2295525" y="23121937"/>
              <a:ext cx="1197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∈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107</xdr:row>
      <xdr:rowOff>185737</xdr:rowOff>
    </xdr:from>
    <xdr:ext cx="1434752" cy="658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7D281A3-2DF0-4081-BEF3-BC75E623FAD5}"/>
                </a:ext>
              </a:extLst>
            </xdr:cNvPr>
            <xdr:cNvSpPr txBox="1"/>
          </xdr:nvSpPr>
          <xdr:spPr>
            <a:xfrm>
              <a:off x="704850" y="21940837"/>
              <a:ext cx="1434752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ID" sz="1100" i="1">
                            <a:latin typeface="Cambria Math" panose="02040503050406030204" pitchFamily="18" charset="0"/>
                          </a:rPr>
                          <m:t>𝑖𝑘</m:t>
                        </m:r>
                      </m:sub>
                    </m:sSub>
                    <m:r>
                      <a:rPr lang="en-ID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ID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limLoc m:val="undOvr"/>
                            <m:grow m:val="on"/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ID" sz="1100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ID" sz="110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ID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D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ID" sz="11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𝑋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𝑖𝑗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D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𝐶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𝑘𝑗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ID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7D281A3-2DF0-4081-BEF3-BC75E623FAD5}"/>
                </a:ext>
              </a:extLst>
            </xdr:cNvPr>
            <xdr:cNvSpPr txBox="1"/>
          </xdr:nvSpPr>
          <xdr:spPr>
            <a:xfrm>
              <a:off x="704850" y="21940837"/>
              <a:ext cx="1434752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𝑑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D" sz="1100" i="0">
                  <a:latin typeface="Cambria Math" panose="02040503050406030204" pitchFamily="18" charset="0"/>
                </a:rPr>
                <a:t>𝑖𝑘=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√(∑129_(</a:t>
              </a:r>
              <a:r>
                <a:rPr lang="en-ID" sz="1100" i="0">
                  <a:latin typeface="Cambria Math" panose="02040503050406030204" pitchFamily="18" charset="0"/>
                </a:rPr>
                <a:t>𝑗=1)^𝑚▒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𝑋</a:t>
              </a:r>
              <a:r>
                <a:rPr lang="en-ID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𝑖𝑗−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𝑘𝑗 )</a:t>
              </a:r>
              <a:r>
                <a:rPr lang="en-ID" sz="11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ID" sz="1100" i="0">
                  <a:latin typeface="Cambria Math" panose="02040503050406030204" pitchFamily="18" charset="0"/>
                </a:rPr>
                <a:t>2 </a:t>
              </a:r>
              <a:r>
                <a:rPr lang="en-ID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twoCellAnchor>
    <xdr:from>
      <xdr:col>1</xdr:col>
      <xdr:colOff>63501</xdr:colOff>
      <xdr:row>89</xdr:row>
      <xdr:rowOff>114300</xdr:rowOff>
    </xdr:from>
    <xdr:to>
      <xdr:col>7</xdr:col>
      <xdr:colOff>584201</xdr:colOff>
      <xdr:row>102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D1C1CB5-F282-484F-8E6B-84DF48B3B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150585</xdr:colOff>
      <xdr:row>55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416440B-C56C-4477-8557-346BA9A89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158</xdr:row>
      <xdr:rowOff>0</xdr:rowOff>
    </xdr:from>
    <xdr:to>
      <xdr:col>7</xdr:col>
      <xdr:colOff>520700</xdr:colOff>
      <xdr:row>170</xdr:row>
      <xdr:rowOff>109654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EE6DD-E8DC-4E41-B950-AA986DFA6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C73A14-1B06-4FF6-81B2-CAC064D158C4}" name="Table1" displayName="Table1" ref="A1:F31" totalsRowShown="0">
  <autoFilter ref="A1:F31" xr:uid="{5CC73A14-1B06-4FF6-81B2-CAC064D158C4}"/>
  <tableColumns count="6">
    <tableColumn id="1" xr3:uid="{5A8854F7-5E7A-45BF-A593-E3C0ABFEF645}" name="jenis kelamin"/>
    <tableColumn id="2" xr3:uid="{F5D7D67D-B94E-44C7-AB00-A61AB782A7FB}" name="usia"/>
    <tableColumn id="3" xr3:uid="{69B0DC73-0695-4732-9F42-28CFF136E125}" name="hipertensi"/>
    <tableColumn id="4" xr3:uid="{ACCD1D37-7CE7-41CD-83E2-5279B08CD9A4}" name="penyakit jantung"/>
    <tableColumn id="5" xr3:uid="{43953998-863C-4E86-911B-BB2BE29F4914}" name="tingkat glukosa"/>
    <tableColumn id="6" xr3:uid="{085037DA-C0A9-4337-BB36-B635C16E7FFE}" name="bmi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535BEA-5C37-4153-8824-F83DAC8F0E08}" name="Table3" displayName="Table3" ref="AX31:AY56" totalsRowShown="0" headerRowDxfId="22" dataDxfId="21" tableBorderDxfId="20">
  <autoFilter ref="AX31:AY56" xr:uid="{A5535BEA-5C37-4153-8824-F83DAC8F0E08}">
    <filterColumn colId="0" hiddenButton="1"/>
    <filterColumn colId="1" hiddenButton="1"/>
  </autoFilter>
  <sortState xmlns:xlrd2="http://schemas.microsoft.com/office/spreadsheetml/2017/richdata2" ref="AX32:AY56">
    <sortCondition ref="AY31:AY56"/>
  </sortState>
  <tableColumns count="2">
    <tableColumn id="1" xr3:uid="{1A66A4D6-91E8-4A32-A8C4-67EC2C7C6B44}" name="usia" dataDxfId="19"/>
    <tableColumn id="2" xr3:uid="{1EA4E89B-26C5-4A9B-87FA-72D7509C548A}" name="tingkat glukosa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12BE06-5A48-45F5-9355-2F0269637797}" name="Table2" displayName="Table2" ref="A1:B31" totalsRowShown="0" dataDxfId="17">
  <autoFilter ref="A1:B31" xr:uid="{BC12BE06-5A48-45F5-9355-2F0269637797}"/>
  <tableColumns count="2">
    <tableColumn id="1" xr3:uid="{09493329-3F01-4C3E-AA97-88336DE62D06}" name="usia" dataDxfId="16"/>
    <tableColumn id="2" xr3:uid="{FB2C6B13-534E-4C0E-88C9-E0C1FC3F3A90}" name="tingkat glukosa" dataDxfId="1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03E13E-D081-4275-B321-C483EE851DB6}" name="Table6" displayName="Table6" ref="C3:N33" totalsRowShown="0" headerRowDxfId="14" headerRowBorderDxfId="13" tableBorderDxfId="12" headerRowCellStyle="20% - Accent1">
  <autoFilter ref="C3:N33" xr:uid="{AD03E13E-D081-4275-B321-C483EE851DB6}"/>
  <tableColumns count="12">
    <tableColumn id="1" xr3:uid="{859B11AB-B483-4703-9929-C026CEFECD72}" name="No" dataDxfId="11"/>
    <tableColumn id="2" xr3:uid="{FBE31C99-B15F-41C0-B7D1-504437D28529}" name="Umur (X)" dataDxfId="10"/>
    <tableColumn id="3" xr3:uid="{390CCADD-77B2-44DF-AEE4-C4CC73E1C5C3}" name="Glukosa (Y)" dataDxfId="9"/>
    <tableColumn id="4" xr3:uid="{80BF30F8-BC2E-4BDE-A395-B5C44C264E84}" name="x         " dataDxfId="8">
      <calculatedColumnFormula>$D$4:$D$33-$D$35</calculatedColumnFormula>
    </tableColumn>
    <tableColumn id="5" xr3:uid="{22FBD9DB-9743-4D15-A145-88406C02E1F3}" name="y     " dataDxfId="7">
      <calculatedColumnFormula>$E$4:$E$33-$E$35</calculatedColumnFormula>
    </tableColumn>
    <tableColumn id="6" xr3:uid="{B717CE33-DC05-4550-8B82-077CE6543189}" name="xy" dataDxfId="6">
      <calculatedColumnFormula>F4:F33*G4:G33</calculatedColumnFormula>
    </tableColumn>
    <tableColumn id="7" xr3:uid="{A31F6F76-F683-4FBC-BB21-147EBF60AAB7}" name=" " dataDxfId="5">
      <calculatedColumnFormula>F4^2</calculatedColumnFormula>
    </tableColumn>
    <tableColumn id="8" xr3:uid="{05145328-E3FB-4273-A0DB-0EFE12128AE2}" name="  " dataDxfId="4">
      <calculatedColumnFormula>H4^2</calculatedColumnFormula>
    </tableColumn>
    <tableColumn id="9" xr3:uid="{3E535F12-A701-40C3-8A96-6B6A28DD2C91}" name="xy2" dataDxfId="3">
      <calculatedColumnFormula>(D4:D33*E4:E33)</calculatedColumnFormula>
    </tableColumn>
    <tableColumn id="10" xr3:uid="{40B78A3E-7347-426A-BDA8-93F864496946}" name="X^2" dataDxfId="2">
      <calculatedColumnFormula>(D4:D33^2)</calculatedColumnFormula>
    </tableColumn>
    <tableColumn id="11" xr3:uid="{8573E0F8-6254-4BB5-920F-3825BEC47EB0}" name="Y^2" dataDxfId="1">
      <calculatedColumnFormula>E4:E33^2</calculatedColumnFormula>
    </tableColumn>
    <tableColumn id="12" xr3:uid="{11A854C1-E4C6-45C4-B444-0CD2EFDEC3B0}" name="Y'" dataDxfId="0">
      <calculatedColumnFormula>$D$46+$D$43*Table6[[#This Row],[Umur (X)]]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8459-ADCE-410A-8D5E-74A393F459AC}">
  <dimension ref="A1:F31"/>
  <sheetViews>
    <sheetView topLeftCell="B1" zoomScale="93" zoomScaleNormal="62" workbookViewId="0">
      <selection activeCell="J4" sqref="J4"/>
    </sheetView>
  </sheetViews>
  <sheetFormatPr defaultRowHeight="14.4" x14ac:dyDescent="0.3"/>
  <cols>
    <col min="1" max="1" width="15" customWidth="1"/>
    <col min="2" max="2" width="6.6640625" customWidth="1"/>
    <col min="3" max="3" width="12.33203125" customWidth="1"/>
    <col min="4" max="4" width="18" customWidth="1"/>
    <col min="5" max="5" width="16.44140625" customWidth="1"/>
    <col min="6" max="6" width="6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67</v>
      </c>
      <c r="C2">
        <v>0</v>
      </c>
      <c r="D2">
        <v>1</v>
      </c>
      <c r="E2" s="16">
        <v>228</v>
      </c>
      <c r="F2">
        <v>36.6</v>
      </c>
    </row>
    <row r="3" spans="1:6" x14ac:dyDescent="0.3">
      <c r="A3" t="s">
        <v>7</v>
      </c>
      <c r="B3">
        <v>80</v>
      </c>
      <c r="C3">
        <v>0</v>
      </c>
      <c r="D3">
        <v>1</v>
      </c>
      <c r="E3" s="16">
        <v>105.92</v>
      </c>
      <c r="F3">
        <v>32.5</v>
      </c>
    </row>
    <row r="4" spans="1:6" x14ac:dyDescent="0.3">
      <c r="A4" t="s">
        <v>8</v>
      </c>
      <c r="B4">
        <v>49</v>
      </c>
      <c r="C4">
        <v>0</v>
      </c>
      <c r="D4">
        <v>0</v>
      </c>
      <c r="E4" s="16">
        <v>171.23</v>
      </c>
      <c r="F4">
        <v>34.4</v>
      </c>
    </row>
    <row r="5" spans="1:6" x14ac:dyDescent="0.3">
      <c r="A5" t="s">
        <v>9</v>
      </c>
      <c r="B5">
        <v>79</v>
      </c>
      <c r="C5">
        <v>1</v>
      </c>
      <c r="D5">
        <v>0</v>
      </c>
      <c r="E5" s="16">
        <v>174.12</v>
      </c>
      <c r="F5">
        <v>24</v>
      </c>
    </row>
    <row r="6" spans="1:6" x14ac:dyDescent="0.3">
      <c r="A6" t="s">
        <v>10</v>
      </c>
      <c r="B6">
        <v>81</v>
      </c>
      <c r="C6">
        <v>0</v>
      </c>
      <c r="D6">
        <v>0</v>
      </c>
      <c r="E6" s="16">
        <v>186.21</v>
      </c>
      <c r="F6">
        <v>29</v>
      </c>
    </row>
    <row r="7" spans="1:6" x14ac:dyDescent="0.3">
      <c r="A7" t="s">
        <v>11</v>
      </c>
      <c r="B7">
        <v>74</v>
      </c>
      <c r="C7">
        <v>1</v>
      </c>
      <c r="D7">
        <v>1</v>
      </c>
      <c r="E7" s="16">
        <v>70.09</v>
      </c>
      <c r="F7">
        <v>27.4</v>
      </c>
    </row>
    <row r="8" spans="1:6" x14ac:dyDescent="0.3">
      <c r="A8" t="s">
        <v>12</v>
      </c>
      <c r="B8">
        <v>69</v>
      </c>
      <c r="C8">
        <v>0</v>
      </c>
      <c r="D8">
        <v>0</v>
      </c>
      <c r="E8" s="16">
        <v>94.39</v>
      </c>
      <c r="F8">
        <v>22.8</v>
      </c>
    </row>
    <row r="9" spans="1:6" x14ac:dyDescent="0.3">
      <c r="A9" t="s">
        <v>13</v>
      </c>
      <c r="B9">
        <v>78</v>
      </c>
      <c r="C9">
        <v>0</v>
      </c>
      <c r="D9">
        <v>0</v>
      </c>
      <c r="E9" s="16">
        <v>58.57</v>
      </c>
      <c r="F9">
        <v>24.2</v>
      </c>
    </row>
    <row r="10" spans="1:6" x14ac:dyDescent="0.3">
      <c r="A10" t="s">
        <v>14</v>
      </c>
      <c r="B10">
        <v>81</v>
      </c>
      <c r="C10">
        <v>1</v>
      </c>
      <c r="D10">
        <v>0</v>
      </c>
      <c r="E10" s="16">
        <v>80.430000000000007</v>
      </c>
      <c r="F10">
        <v>29.7</v>
      </c>
    </row>
    <row r="11" spans="1:6" x14ac:dyDescent="0.3">
      <c r="A11" t="s">
        <v>15</v>
      </c>
      <c r="B11">
        <v>61</v>
      </c>
      <c r="C11">
        <v>0</v>
      </c>
      <c r="D11">
        <v>1</v>
      </c>
      <c r="E11" s="16">
        <v>120.46</v>
      </c>
      <c r="F11">
        <v>36.799999999999997</v>
      </c>
    </row>
    <row r="12" spans="1:6" x14ac:dyDescent="0.3">
      <c r="A12" t="s">
        <v>16</v>
      </c>
      <c r="B12">
        <v>54</v>
      </c>
      <c r="C12">
        <v>0</v>
      </c>
      <c r="D12">
        <v>0</v>
      </c>
      <c r="E12" s="16">
        <v>104.51</v>
      </c>
      <c r="F12">
        <v>27.3</v>
      </c>
    </row>
    <row r="13" spans="1:6" x14ac:dyDescent="0.3">
      <c r="A13" t="s">
        <v>17</v>
      </c>
      <c r="B13">
        <v>79</v>
      </c>
      <c r="C13">
        <v>0</v>
      </c>
      <c r="D13">
        <v>1</v>
      </c>
      <c r="E13" s="16">
        <v>214.09</v>
      </c>
      <c r="F13">
        <v>28.2</v>
      </c>
    </row>
    <row r="14" spans="1:6" x14ac:dyDescent="0.3">
      <c r="A14" t="s">
        <v>18</v>
      </c>
      <c r="B14">
        <v>50</v>
      </c>
      <c r="C14">
        <v>1</v>
      </c>
      <c r="D14">
        <v>0</v>
      </c>
      <c r="E14" s="16">
        <v>167.41</v>
      </c>
      <c r="F14">
        <v>30.9</v>
      </c>
    </row>
    <row r="15" spans="1:6" x14ac:dyDescent="0.3">
      <c r="A15" t="s">
        <v>19</v>
      </c>
      <c r="B15">
        <v>64</v>
      </c>
      <c r="C15">
        <v>0</v>
      </c>
      <c r="D15">
        <v>1</v>
      </c>
      <c r="E15" s="16">
        <v>191.61</v>
      </c>
      <c r="F15">
        <v>37.5</v>
      </c>
    </row>
    <row r="16" spans="1:6" x14ac:dyDescent="0.3">
      <c r="A16" t="s">
        <v>20</v>
      </c>
      <c r="B16">
        <v>75</v>
      </c>
      <c r="C16">
        <v>1</v>
      </c>
      <c r="D16">
        <v>0</v>
      </c>
      <c r="E16" s="16">
        <v>221.29</v>
      </c>
      <c r="F16">
        <v>25.8</v>
      </c>
    </row>
    <row r="17" spans="1:6" x14ac:dyDescent="0.3">
      <c r="A17" t="s">
        <v>21</v>
      </c>
      <c r="B17">
        <v>60</v>
      </c>
      <c r="C17">
        <v>0</v>
      </c>
      <c r="D17">
        <v>0</v>
      </c>
      <c r="E17" s="16">
        <v>89.22</v>
      </c>
      <c r="F17">
        <v>37.799999999999997</v>
      </c>
    </row>
    <row r="18" spans="1:6" x14ac:dyDescent="0.3">
      <c r="A18" t="s">
        <v>22</v>
      </c>
      <c r="B18">
        <v>71</v>
      </c>
      <c r="C18">
        <v>0</v>
      </c>
      <c r="D18">
        <v>0</v>
      </c>
      <c r="E18" s="16">
        <v>193.94</v>
      </c>
      <c r="F18">
        <v>22.4</v>
      </c>
    </row>
    <row r="19" spans="1:6" x14ac:dyDescent="0.3">
      <c r="A19" t="s">
        <v>23</v>
      </c>
      <c r="B19">
        <v>52</v>
      </c>
      <c r="C19">
        <v>1</v>
      </c>
      <c r="D19">
        <v>0</v>
      </c>
      <c r="E19" s="16">
        <v>233.29</v>
      </c>
      <c r="F19">
        <v>48.9</v>
      </c>
    </row>
    <row r="20" spans="1:6" x14ac:dyDescent="0.3">
      <c r="A20" t="s">
        <v>24</v>
      </c>
      <c r="B20">
        <v>79</v>
      </c>
      <c r="C20">
        <v>0</v>
      </c>
      <c r="D20">
        <v>0</v>
      </c>
      <c r="E20" s="16">
        <v>228.7</v>
      </c>
      <c r="F20">
        <v>26.6</v>
      </c>
    </row>
    <row r="21" spans="1:6" x14ac:dyDescent="0.3">
      <c r="A21" t="s">
        <v>25</v>
      </c>
      <c r="B21">
        <v>82</v>
      </c>
      <c r="C21">
        <v>0</v>
      </c>
      <c r="D21">
        <v>1</v>
      </c>
      <c r="E21" s="16">
        <v>208.3</v>
      </c>
      <c r="F21">
        <v>32.5</v>
      </c>
    </row>
    <row r="22" spans="1:6" x14ac:dyDescent="0.3">
      <c r="A22" t="s">
        <v>26</v>
      </c>
      <c r="B22">
        <v>71</v>
      </c>
      <c r="C22">
        <v>0</v>
      </c>
      <c r="D22">
        <v>0</v>
      </c>
      <c r="E22" s="16">
        <v>102.87</v>
      </c>
      <c r="F22">
        <v>27.2</v>
      </c>
    </row>
    <row r="23" spans="1:6" x14ac:dyDescent="0.3">
      <c r="A23" t="s">
        <v>27</v>
      </c>
      <c r="B23">
        <v>80</v>
      </c>
      <c r="C23">
        <v>0</v>
      </c>
      <c r="D23">
        <v>0</v>
      </c>
      <c r="E23" s="16">
        <v>104.12</v>
      </c>
      <c r="F23">
        <v>23.5</v>
      </c>
    </row>
    <row r="24" spans="1:6" x14ac:dyDescent="0.3">
      <c r="A24" t="s">
        <v>28</v>
      </c>
      <c r="B24">
        <v>65</v>
      </c>
      <c r="C24">
        <v>0</v>
      </c>
      <c r="D24">
        <v>0</v>
      </c>
      <c r="E24" s="16">
        <v>100.98</v>
      </c>
      <c r="F24">
        <v>28.2</v>
      </c>
    </row>
    <row r="25" spans="1:6" x14ac:dyDescent="0.3">
      <c r="A25" t="s">
        <v>29</v>
      </c>
      <c r="B25">
        <v>69</v>
      </c>
      <c r="C25">
        <v>0</v>
      </c>
      <c r="D25">
        <v>1</v>
      </c>
      <c r="E25" s="16">
        <v>195.23</v>
      </c>
      <c r="F25">
        <v>28.3</v>
      </c>
    </row>
    <row r="26" spans="1:6" x14ac:dyDescent="0.3">
      <c r="A26" t="s">
        <v>30</v>
      </c>
      <c r="B26">
        <v>57</v>
      </c>
      <c r="C26">
        <v>1</v>
      </c>
      <c r="D26">
        <v>0</v>
      </c>
      <c r="E26" s="16">
        <v>212.08</v>
      </c>
      <c r="F26">
        <v>44.2</v>
      </c>
    </row>
    <row r="27" spans="1:6" x14ac:dyDescent="0.3">
      <c r="A27" t="s">
        <v>31</v>
      </c>
      <c r="B27">
        <v>42</v>
      </c>
      <c r="C27">
        <v>0</v>
      </c>
      <c r="D27">
        <v>0</v>
      </c>
      <c r="E27" s="16">
        <v>83.41</v>
      </c>
      <c r="F27">
        <v>25.4</v>
      </c>
    </row>
    <row r="28" spans="1:6" x14ac:dyDescent="0.3">
      <c r="A28" t="s">
        <v>32</v>
      </c>
      <c r="B28">
        <v>82</v>
      </c>
      <c r="C28">
        <v>1</v>
      </c>
      <c r="D28">
        <v>0</v>
      </c>
      <c r="E28" s="16">
        <v>196.92</v>
      </c>
      <c r="F28">
        <v>22.2</v>
      </c>
    </row>
    <row r="29" spans="1:6" x14ac:dyDescent="0.3">
      <c r="A29" t="s">
        <v>33</v>
      </c>
      <c r="B29">
        <v>80</v>
      </c>
      <c r="C29">
        <v>0</v>
      </c>
      <c r="D29">
        <v>1</v>
      </c>
      <c r="E29" s="16">
        <v>252.72</v>
      </c>
      <c r="F29">
        <v>30.5</v>
      </c>
    </row>
    <row r="30" spans="1:6" x14ac:dyDescent="0.3">
      <c r="A30" t="s">
        <v>34</v>
      </c>
      <c r="B30">
        <v>48</v>
      </c>
      <c r="C30">
        <v>0</v>
      </c>
      <c r="D30">
        <v>0</v>
      </c>
      <c r="E30" s="16">
        <v>84.2</v>
      </c>
      <c r="F30">
        <v>29.7</v>
      </c>
    </row>
    <row r="31" spans="1:6" x14ac:dyDescent="0.3">
      <c r="A31" t="s">
        <v>35</v>
      </c>
      <c r="B31">
        <v>82</v>
      </c>
      <c r="C31">
        <v>1</v>
      </c>
      <c r="D31">
        <v>1</v>
      </c>
      <c r="E31" s="16">
        <v>84.03</v>
      </c>
      <c r="F31">
        <v>26.5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7079-49DD-4894-BD21-F002AFF0A042}">
  <dimension ref="A1:BC56"/>
  <sheetViews>
    <sheetView topLeftCell="M13" zoomScale="62" zoomScaleNormal="15" workbookViewId="0">
      <selection activeCell="E14" sqref="E14"/>
    </sheetView>
  </sheetViews>
  <sheetFormatPr defaultRowHeight="14.4" x14ac:dyDescent="0.3"/>
  <cols>
    <col min="1" max="1" width="7.5546875" bestFit="1" customWidth="1"/>
    <col min="2" max="2" width="17.5546875" bestFit="1" customWidth="1"/>
    <col min="5" max="5" width="14.109375" customWidth="1"/>
    <col min="16" max="16" width="14.6640625" bestFit="1" customWidth="1"/>
    <col min="19" max="19" width="12.6640625" bestFit="1" customWidth="1"/>
    <col min="26" max="26" width="14.5546875" bestFit="1" customWidth="1"/>
    <col min="29" max="29" width="12.6640625" bestFit="1" customWidth="1"/>
    <col min="46" max="46" width="12.6640625" bestFit="1" customWidth="1"/>
    <col min="51" max="51" width="15.44140625" customWidth="1"/>
    <col min="54" max="54" width="12.6640625" bestFit="1" customWidth="1"/>
  </cols>
  <sheetData>
    <row r="1" spans="1:6" x14ac:dyDescent="0.3">
      <c r="A1" t="s">
        <v>1</v>
      </c>
      <c r="B1" t="s">
        <v>4</v>
      </c>
    </row>
    <row r="2" spans="1:6" x14ac:dyDescent="0.3">
      <c r="A2" s="5">
        <v>67</v>
      </c>
      <c r="B2" s="16">
        <v>228</v>
      </c>
    </row>
    <row r="3" spans="1:6" x14ac:dyDescent="0.3">
      <c r="A3" s="5">
        <v>80</v>
      </c>
      <c r="B3" s="16">
        <v>105.92</v>
      </c>
      <c r="D3" t="s">
        <v>36</v>
      </c>
    </row>
    <row r="4" spans="1:6" x14ac:dyDescent="0.3">
      <c r="A4" s="5">
        <v>49</v>
      </c>
      <c r="B4" s="16">
        <v>171.23</v>
      </c>
      <c r="D4" t="s">
        <v>37</v>
      </c>
    </row>
    <row r="5" spans="1:6" x14ac:dyDescent="0.3">
      <c r="A5" s="5">
        <v>79</v>
      </c>
      <c r="B5" s="16">
        <v>174.12</v>
      </c>
    </row>
    <row r="6" spans="1:6" x14ac:dyDescent="0.3">
      <c r="A6" s="5">
        <v>80</v>
      </c>
      <c r="B6" s="16">
        <v>186.21</v>
      </c>
      <c r="D6" t="s">
        <v>38</v>
      </c>
    </row>
    <row r="7" spans="1:6" x14ac:dyDescent="0.3">
      <c r="A7" s="5">
        <v>74</v>
      </c>
      <c r="B7" s="16">
        <v>70.09</v>
      </c>
      <c r="D7" t="s">
        <v>137</v>
      </c>
    </row>
    <row r="8" spans="1:6" x14ac:dyDescent="0.3">
      <c r="A8" s="5">
        <v>69</v>
      </c>
      <c r="B8" s="16">
        <v>94.39</v>
      </c>
      <c r="D8" t="s">
        <v>40</v>
      </c>
    </row>
    <row r="9" spans="1:6" x14ac:dyDescent="0.3">
      <c r="A9" s="5">
        <v>78</v>
      </c>
      <c r="B9" s="16">
        <v>58.57</v>
      </c>
      <c r="D9" t="s">
        <v>39</v>
      </c>
    </row>
    <row r="10" spans="1:6" x14ac:dyDescent="0.3">
      <c r="A10" s="5">
        <v>80</v>
      </c>
      <c r="B10" s="16">
        <v>80.430000000000007</v>
      </c>
      <c r="D10" t="s">
        <v>57</v>
      </c>
    </row>
    <row r="11" spans="1:6" x14ac:dyDescent="0.3">
      <c r="A11" s="5">
        <v>61</v>
      </c>
      <c r="B11" s="16">
        <v>120.46</v>
      </c>
      <c r="D11" t="s">
        <v>58</v>
      </c>
    </row>
    <row r="12" spans="1:6" x14ac:dyDescent="0.3">
      <c r="A12" s="5">
        <v>54</v>
      </c>
      <c r="B12" s="16">
        <v>104.51</v>
      </c>
    </row>
    <row r="13" spans="1:6" x14ac:dyDescent="0.3">
      <c r="A13" s="5">
        <v>79</v>
      </c>
      <c r="B13" s="16">
        <v>214.09</v>
      </c>
      <c r="D13" s="3" t="s">
        <v>41</v>
      </c>
      <c r="E13" s="3" t="s">
        <v>42</v>
      </c>
      <c r="F13" s="3" t="s">
        <v>43</v>
      </c>
    </row>
    <row r="14" spans="1:6" x14ac:dyDescent="0.3">
      <c r="A14" s="5">
        <v>50</v>
      </c>
      <c r="B14" s="16">
        <v>167.41</v>
      </c>
      <c r="D14" s="3" t="s">
        <v>44</v>
      </c>
      <c r="E14" s="4" t="s">
        <v>51</v>
      </c>
      <c r="F14" s="4">
        <v>3</v>
      </c>
    </row>
    <row r="15" spans="1:6" x14ac:dyDescent="0.3">
      <c r="A15" s="5">
        <v>64</v>
      </c>
      <c r="B15" s="16">
        <v>191.61</v>
      </c>
      <c r="D15" s="3" t="s">
        <v>45</v>
      </c>
      <c r="E15" s="4" t="s">
        <v>54</v>
      </c>
      <c r="F15" s="4">
        <v>5</v>
      </c>
    </row>
    <row r="16" spans="1:6" x14ac:dyDescent="0.3">
      <c r="A16" s="5">
        <v>75</v>
      </c>
      <c r="B16" s="16">
        <v>221.29</v>
      </c>
      <c r="D16" s="3" t="s">
        <v>46</v>
      </c>
      <c r="E16" s="4" t="s">
        <v>55</v>
      </c>
      <c r="F16" s="4">
        <v>8</v>
      </c>
    </row>
    <row r="17" spans="1:55" x14ac:dyDescent="0.3">
      <c r="A17" s="5">
        <v>60</v>
      </c>
      <c r="B17" s="16">
        <v>89.22</v>
      </c>
      <c r="D17" s="3" t="s">
        <v>47</v>
      </c>
      <c r="E17" s="4" t="s">
        <v>52</v>
      </c>
      <c r="F17" s="4">
        <v>8</v>
      </c>
    </row>
    <row r="18" spans="1:55" x14ac:dyDescent="0.3">
      <c r="A18" s="5">
        <v>71</v>
      </c>
      <c r="B18" s="16">
        <v>193.94</v>
      </c>
      <c r="D18" s="3" t="s">
        <v>48</v>
      </c>
      <c r="E18" s="4" t="s">
        <v>56</v>
      </c>
      <c r="F18" s="4">
        <v>9</v>
      </c>
    </row>
    <row r="19" spans="1:55" x14ac:dyDescent="0.3">
      <c r="A19" s="5">
        <v>52</v>
      </c>
      <c r="B19" s="16">
        <v>233.29</v>
      </c>
      <c r="D19" s="3" t="s">
        <v>49</v>
      </c>
      <c r="E19" s="4" t="s">
        <v>53</v>
      </c>
      <c r="F19" s="4">
        <v>25</v>
      </c>
    </row>
    <row r="20" spans="1:55" x14ac:dyDescent="0.3">
      <c r="A20" s="5">
        <v>79</v>
      </c>
      <c r="B20" s="16">
        <v>228.7</v>
      </c>
      <c r="D20" s="27" t="s">
        <v>50</v>
      </c>
      <c r="E20" s="28"/>
      <c r="F20" s="4">
        <f>SUM(F14:F19)</f>
        <v>58</v>
      </c>
    </row>
    <row r="21" spans="1:55" x14ac:dyDescent="0.3">
      <c r="A21" s="5">
        <v>80</v>
      </c>
      <c r="B21" s="16">
        <v>208.3</v>
      </c>
    </row>
    <row r="22" spans="1:55" x14ac:dyDescent="0.3">
      <c r="A22" s="5">
        <v>65</v>
      </c>
      <c r="B22" s="16">
        <v>102.87</v>
      </c>
    </row>
    <row r="23" spans="1:55" x14ac:dyDescent="0.3">
      <c r="A23" s="5">
        <v>69</v>
      </c>
      <c r="B23" s="16">
        <v>104.12</v>
      </c>
    </row>
    <row r="24" spans="1:55" x14ac:dyDescent="0.3">
      <c r="A24" s="5">
        <v>57</v>
      </c>
      <c r="B24" s="16">
        <v>100.98</v>
      </c>
    </row>
    <row r="25" spans="1:55" x14ac:dyDescent="0.3">
      <c r="A25" s="5">
        <v>42</v>
      </c>
      <c r="B25" s="16">
        <v>195.23</v>
      </c>
      <c r="D25" t="s">
        <v>59</v>
      </c>
      <c r="O25" t="s">
        <v>67</v>
      </c>
      <c r="Y25" t="s">
        <v>75</v>
      </c>
      <c r="AG25" t="s">
        <v>84</v>
      </c>
      <c r="AO25" t="s">
        <v>91</v>
      </c>
      <c r="AW25" t="s">
        <v>99</v>
      </c>
    </row>
    <row r="26" spans="1:55" x14ac:dyDescent="0.3">
      <c r="A26" s="5">
        <v>80</v>
      </c>
      <c r="B26" s="16">
        <v>212.08</v>
      </c>
      <c r="D26" t="s">
        <v>60</v>
      </c>
      <c r="O26" t="s">
        <v>68</v>
      </c>
      <c r="Y26" t="s">
        <v>76</v>
      </c>
      <c r="AG26" t="s">
        <v>76</v>
      </c>
      <c r="AO26" t="s">
        <v>92</v>
      </c>
      <c r="AW26" t="s">
        <v>100</v>
      </c>
    </row>
    <row r="27" spans="1:55" x14ac:dyDescent="0.3">
      <c r="A27" s="5">
        <v>80</v>
      </c>
      <c r="B27" s="16">
        <v>83.41</v>
      </c>
      <c r="D27" t="s">
        <v>61</v>
      </c>
      <c r="O27" t="s">
        <v>69</v>
      </c>
      <c r="Y27" t="s">
        <v>77</v>
      </c>
      <c r="AG27" t="s">
        <v>77</v>
      </c>
      <c r="AO27" t="s">
        <v>93</v>
      </c>
      <c r="AW27" t="s">
        <v>101</v>
      </c>
    </row>
    <row r="28" spans="1:55" x14ac:dyDescent="0.3">
      <c r="A28" s="5">
        <v>48</v>
      </c>
      <c r="B28" s="16">
        <v>196.92</v>
      </c>
      <c r="D28" t="s">
        <v>39</v>
      </c>
      <c r="O28" t="s">
        <v>39</v>
      </c>
      <c r="Y28" t="s">
        <v>39</v>
      </c>
      <c r="AG28" t="s">
        <v>39</v>
      </c>
      <c r="AO28" t="s">
        <v>39</v>
      </c>
      <c r="AW28" t="s">
        <v>39</v>
      </c>
    </row>
    <row r="29" spans="1:55" x14ac:dyDescent="0.3">
      <c r="A29" s="5">
        <v>80</v>
      </c>
      <c r="B29" s="16">
        <v>252.72</v>
      </c>
      <c r="D29" t="s">
        <v>62</v>
      </c>
      <c r="O29" t="s">
        <v>71</v>
      </c>
      <c r="Y29" t="s">
        <v>78</v>
      </c>
      <c r="AG29" t="s">
        <v>86</v>
      </c>
      <c r="AO29" t="s">
        <v>85</v>
      </c>
      <c r="AW29" t="s">
        <v>102</v>
      </c>
    </row>
    <row r="30" spans="1:55" x14ac:dyDescent="0.3">
      <c r="A30" s="5">
        <v>74</v>
      </c>
      <c r="B30" s="16">
        <v>84.2</v>
      </c>
      <c r="D30" t="s">
        <v>63</v>
      </c>
      <c r="O30" t="s">
        <v>72</v>
      </c>
      <c r="Y30" t="s">
        <v>79</v>
      </c>
      <c r="AG30" t="s">
        <v>79</v>
      </c>
      <c r="AO30" t="s">
        <v>94</v>
      </c>
      <c r="AW30" t="s">
        <v>103</v>
      </c>
    </row>
    <row r="31" spans="1:55" x14ac:dyDescent="0.3">
      <c r="A31" s="5">
        <v>72</v>
      </c>
      <c r="B31" s="16">
        <v>84.03</v>
      </c>
      <c r="Y31" s="1" t="s">
        <v>1</v>
      </c>
      <c r="Z31" s="2" t="s">
        <v>4</v>
      </c>
      <c r="AB31" s="4" t="s">
        <v>41</v>
      </c>
      <c r="AC31" s="4" t="s">
        <v>42</v>
      </c>
      <c r="AD31" s="4" t="s">
        <v>43</v>
      </c>
      <c r="AH31" s="4" t="s">
        <v>41</v>
      </c>
      <c r="AI31" s="4" t="s">
        <v>42</v>
      </c>
      <c r="AJ31" s="4" t="s">
        <v>43</v>
      </c>
      <c r="AL31" s="1" t="s">
        <v>1</v>
      </c>
      <c r="AM31" s="2" t="s">
        <v>4</v>
      </c>
      <c r="AP31" s="1" t="s">
        <v>1</v>
      </c>
      <c r="AQ31" s="2" t="s">
        <v>4</v>
      </c>
      <c r="AS31" s="4" t="s">
        <v>41</v>
      </c>
      <c r="AT31" s="4" t="s">
        <v>42</v>
      </c>
      <c r="AU31" s="4" t="s">
        <v>43</v>
      </c>
      <c r="AX31" s="10" t="s">
        <v>1</v>
      </c>
      <c r="AY31" s="10" t="s">
        <v>4</v>
      </c>
      <c r="BA31" s="4" t="s">
        <v>41</v>
      </c>
      <c r="BB31" s="4" t="s">
        <v>42</v>
      </c>
      <c r="BC31" s="4" t="s">
        <v>43</v>
      </c>
    </row>
    <row r="32" spans="1:55" x14ac:dyDescent="0.3">
      <c r="D32" s="3" t="s">
        <v>41</v>
      </c>
      <c r="E32" s="3" t="s">
        <v>42</v>
      </c>
      <c r="F32" s="3" t="s">
        <v>43</v>
      </c>
      <c r="O32" s="1" t="s">
        <v>1</v>
      </c>
      <c r="P32" s="2" t="s">
        <v>4</v>
      </c>
      <c r="R32" s="4" t="s">
        <v>41</v>
      </c>
      <c r="S32" s="4" t="s">
        <v>42</v>
      </c>
      <c r="T32" s="4" t="s">
        <v>43</v>
      </c>
      <c r="Y32" s="6">
        <v>54</v>
      </c>
      <c r="Z32" s="7">
        <v>104.51</v>
      </c>
      <c r="AB32" s="4">
        <v>1</v>
      </c>
      <c r="AC32" s="4" t="s">
        <v>80</v>
      </c>
      <c r="AD32" s="4">
        <v>4</v>
      </c>
      <c r="AH32" s="4">
        <v>1</v>
      </c>
      <c r="AI32" s="4" t="s">
        <v>87</v>
      </c>
      <c r="AJ32" s="4">
        <v>4</v>
      </c>
      <c r="AL32" s="6">
        <v>61</v>
      </c>
      <c r="AM32" s="7">
        <v>120.46</v>
      </c>
      <c r="AP32" s="6">
        <v>67</v>
      </c>
      <c r="AQ32" s="7">
        <v>228.69</v>
      </c>
      <c r="AS32" s="4">
        <v>1</v>
      </c>
      <c r="AT32" s="4" t="s">
        <v>95</v>
      </c>
      <c r="AU32" s="4">
        <v>3</v>
      </c>
      <c r="AX32" s="26">
        <v>78</v>
      </c>
      <c r="AY32" s="26">
        <v>58.57</v>
      </c>
      <c r="BA32" s="4">
        <v>1</v>
      </c>
      <c r="BB32" s="4" t="s">
        <v>104</v>
      </c>
      <c r="BC32" s="4">
        <v>8</v>
      </c>
    </row>
    <row r="33" spans="4:55" x14ac:dyDescent="0.3">
      <c r="D33" s="3">
        <v>1</v>
      </c>
      <c r="E33" s="4" t="s">
        <v>64</v>
      </c>
      <c r="F33" s="4">
        <v>1</v>
      </c>
      <c r="O33" s="6">
        <v>49</v>
      </c>
      <c r="P33" s="7">
        <v>171.23</v>
      </c>
      <c r="R33" s="4">
        <v>1</v>
      </c>
      <c r="S33" s="4" t="s">
        <v>73</v>
      </c>
      <c r="T33" s="4">
        <v>2</v>
      </c>
      <c r="Y33" s="6">
        <v>57</v>
      </c>
      <c r="Z33" s="7">
        <v>212.08</v>
      </c>
      <c r="AB33" s="4">
        <v>2</v>
      </c>
      <c r="AC33" s="4" t="s">
        <v>81</v>
      </c>
      <c r="AD33" s="4">
        <v>1</v>
      </c>
      <c r="AH33" s="4">
        <v>2</v>
      </c>
      <c r="AI33" s="4" t="s">
        <v>88</v>
      </c>
      <c r="AJ33" s="4">
        <v>0</v>
      </c>
      <c r="AL33" s="6">
        <v>64</v>
      </c>
      <c r="AM33" s="7">
        <v>191.61</v>
      </c>
      <c r="AP33" s="6">
        <v>69</v>
      </c>
      <c r="AQ33" s="7">
        <v>94.39</v>
      </c>
      <c r="AS33" s="4">
        <v>2</v>
      </c>
      <c r="AT33" s="4" t="s">
        <v>96</v>
      </c>
      <c r="AU33" s="4">
        <v>0</v>
      </c>
      <c r="AX33" s="26">
        <v>80</v>
      </c>
      <c r="AY33" s="26">
        <v>59.32</v>
      </c>
      <c r="BA33" s="4">
        <v>2</v>
      </c>
      <c r="BB33" s="4" t="s">
        <v>105</v>
      </c>
      <c r="BC33" s="4">
        <v>5</v>
      </c>
    </row>
    <row r="34" spans="4:55" x14ac:dyDescent="0.3">
      <c r="D34" s="3">
        <v>2</v>
      </c>
      <c r="E34" s="4" t="s">
        <v>65</v>
      </c>
      <c r="F34" s="4">
        <v>1</v>
      </c>
      <c r="O34" s="6">
        <v>50</v>
      </c>
      <c r="P34" s="7">
        <v>167.41</v>
      </c>
      <c r="R34" s="4">
        <v>2</v>
      </c>
      <c r="S34" s="4" t="s">
        <v>74</v>
      </c>
      <c r="T34" s="4">
        <v>3</v>
      </c>
      <c r="Y34" s="6">
        <v>58</v>
      </c>
      <c r="Z34" s="7">
        <v>92.62</v>
      </c>
      <c r="AB34" s="4">
        <v>3</v>
      </c>
      <c r="AC34" s="4" t="s">
        <v>82</v>
      </c>
      <c r="AD34" s="4">
        <v>0</v>
      </c>
      <c r="AH34" s="4">
        <v>3</v>
      </c>
      <c r="AI34" s="4" t="s">
        <v>89</v>
      </c>
      <c r="AJ34" s="4">
        <v>2</v>
      </c>
      <c r="AL34" s="6">
        <v>60</v>
      </c>
      <c r="AM34" s="7">
        <v>89.22</v>
      </c>
      <c r="AP34" s="6">
        <v>71</v>
      </c>
      <c r="AQ34" s="7">
        <v>193.94</v>
      </c>
      <c r="AS34" s="4">
        <v>3</v>
      </c>
      <c r="AT34" s="4" t="s">
        <v>97</v>
      </c>
      <c r="AU34" s="4">
        <v>1</v>
      </c>
      <c r="AX34" s="26">
        <v>74</v>
      </c>
      <c r="AY34" s="26">
        <v>70.09</v>
      </c>
      <c r="BA34" s="4">
        <v>3</v>
      </c>
      <c r="BB34" s="4" t="s">
        <v>106</v>
      </c>
      <c r="BC34" s="4">
        <v>3</v>
      </c>
    </row>
    <row r="35" spans="4:55" x14ac:dyDescent="0.3">
      <c r="D35" s="3">
        <v>3</v>
      </c>
      <c r="E35" s="4" t="s">
        <v>66</v>
      </c>
      <c r="F35" s="4">
        <v>1</v>
      </c>
      <c r="O35" s="6">
        <v>52</v>
      </c>
      <c r="P35" s="7">
        <v>233.29</v>
      </c>
      <c r="R35" s="27" t="s">
        <v>50</v>
      </c>
      <c r="S35" s="28"/>
      <c r="T35" s="3">
        <f>SUM(T33:T34)</f>
        <v>5</v>
      </c>
      <c r="Y35" s="6">
        <v>54</v>
      </c>
      <c r="Z35" s="7">
        <v>71.22</v>
      </c>
      <c r="AB35" s="4">
        <v>4</v>
      </c>
      <c r="AC35" s="4" t="s">
        <v>83</v>
      </c>
      <c r="AD35" s="4">
        <v>3</v>
      </c>
      <c r="AH35" s="4">
        <v>4</v>
      </c>
      <c r="AI35" s="4" t="s">
        <v>90</v>
      </c>
      <c r="AJ35" s="4">
        <v>2</v>
      </c>
      <c r="AL35" s="6">
        <v>65</v>
      </c>
      <c r="AM35" s="7">
        <v>100.98</v>
      </c>
      <c r="AP35" s="6">
        <v>69</v>
      </c>
      <c r="AQ35" s="7">
        <v>195.23</v>
      </c>
      <c r="AS35" s="4">
        <v>4</v>
      </c>
      <c r="AT35" s="4" t="s">
        <v>98</v>
      </c>
      <c r="AU35" s="4">
        <v>5</v>
      </c>
      <c r="AX35" s="26">
        <v>80</v>
      </c>
      <c r="AY35" s="26">
        <v>72.67</v>
      </c>
      <c r="BA35" s="4">
        <v>4</v>
      </c>
      <c r="BB35" s="4" t="s">
        <v>107</v>
      </c>
      <c r="BC35" s="4">
        <v>2</v>
      </c>
    </row>
    <row r="36" spans="4:55" x14ac:dyDescent="0.3">
      <c r="D36" s="27" t="s">
        <v>50</v>
      </c>
      <c r="E36" s="28"/>
      <c r="F36" s="4">
        <f>SUM(F33:F35)</f>
        <v>3</v>
      </c>
      <c r="O36" s="6">
        <v>48</v>
      </c>
      <c r="P36" s="7">
        <v>84.2</v>
      </c>
      <c r="Y36" s="6">
        <v>58</v>
      </c>
      <c r="Z36" s="7">
        <v>107.26</v>
      </c>
      <c r="AB36" s="27" t="s">
        <v>50</v>
      </c>
      <c r="AC36" s="28"/>
      <c r="AD36" s="4">
        <f>SUM(AD32:AD35)</f>
        <v>8</v>
      </c>
      <c r="AH36" s="27" t="s">
        <v>50</v>
      </c>
      <c r="AI36" s="28"/>
      <c r="AJ36" s="4">
        <f>SUM(AJ32:AJ35)</f>
        <v>8</v>
      </c>
      <c r="AL36" s="6">
        <v>60</v>
      </c>
      <c r="AM36" s="7">
        <v>213.03</v>
      </c>
      <c r="AP36" s="6">
        <v>72</v>
      </c>
      <c r="AQ36" s="7">
        <v>74.63</v>
      </c>
      <c r="AS36" s="27" t="s">
        <v>50</v>
      </c>
      <c r="AT36" s="28"/>
      <c r="AU36" s="4">
        <v>9</v>
      </c>
      <c r="AX36" s="26">
        <v>80</v>
      </c>
      <c r="AY36" s="26">
        <v>74.900000000000006</v>
      </c>
      <c r="BA36" s="4">
        <v>5</v>
      </c>
      <c r="BB36" s="4" t="s">
        <v>108</v>
      </c>
      <c r="BC36" s="4">
        <v>4</v>
      </c>
    </row>
    <row r="37" spans="4:55" x14ac:dyDescent="0.3">
      <c r="O37" s="6">
        <v>49</v>
      </c>
      <c r="P37" s="7">
        <v>60.91</v>
      </c>
      <c r="Y37" s="6">
        <v>54</v>
      </c>
      <c r="Z37" s="7">
        <v>180.93</v>
      </c>
      <c r="AL37" s="6">
        <v>63</v>
      </c>
      <c r="AM37" s="7">
        <v>196.71</v>
      </c>
      <c r="AP37" s="6">
        <v>73</v>
      </c>
      <c r="AQ37" s="7">
        <v>194.99</v>
      </c>
      <c r="AX37" s="26">
        <v>78</v>
      </c>
      <c r="AY37" s="26">
        <v>78.03</v>
      </c>
      <c r="BA37" s="4">
        <v>6</v>
      </c>
      <c r="BB37" s="4" t="s">
        <v>109</v>
      </c>
      <c r="BC37" s="4">
        <v>3</v>
      </c>
    </row>
    <row r="38" spans="4:55" x14ac:dyDescent="0.3">
      <c r="D38" s="1" t="s">
        <v>1</v>
      </c>
      <c r="E38" s="2" t="s">
        <v>4</v>
      </c>
      <c r="Y38" s="6">
        <v>56</v>
      </c>
      <c r="Z38" s="7">
        <v>185.17</v>
      </c>
      <c r="AL38" s="6">
        <v>66</v>
      </c>
      <c r="AM38" s="7">
        <v>116.55</v>
      </c>
      <c r="AP38" s="6">
        <v>67</v>
      </c>
      <c r="AQ38" s="7">
        <v>61.94</v>
      </c>
      <c r="AX38" s="26">
        <v>80</v>
      </c>
      <c r="AY38" s="26">
        <v>80.430000000000007</v>
      </c>
      <c r="BA38" s="27" t="s">
        <v>50</v>
      </c>
      <c r="BB38" s="28"/>
      <c r="BC38" s="4">
        <f>SUM(BC32:BC37)</f>
        <v>25</v>
      </c>
    </row>
    <row r="39" spans="4:55" x14ac:dyDescent="0.3">
      <c r="D39" s="6">
        <v>42</v>
      </c>
      <c r="E39" s="7">
        <v>83.41</v>
      </c>
      <c r="Y39" s="6">
        <v>59</v>
      </c>
      <c r="Z39" s="7">
        <v>86.23</v>
      </c>
      <c r="AL39" s="8">
        <v>63</v>
      </c>
      <c r="AM39" s="9">
        <v>228.56</v>
      </c>
      <c r="AP39" s="6">
        <v>70</v>
      </c>
      <c r="AQ39" s="7">
        <v>221.58</v>
      </c>
      <c r="AX39" s="26">
        <v>80</v>
      </c>
      <c r="AY39" s="26">
        <v>84.03</v>
      </c>
    </row>
    <row r="40" spans="4:55" x14ac:dyDescent="0.3">
      <c r="D40" s="6">
        <v>39</v>
      </c>
      <c r="E40" s="7">
        <v>58.09</v>
      </c>
      <c r="AP40" s="6">
        <v>67</v>
      </c>
      <c r="AQ40" s="7">
        <v>179.12</v>
      </c>
      <c r="AX40" s="26">
        <v>80</v>
      </c>
      <c r="AY40" s="26">
        <v>99.33</v>
      </c>
    </row>
    <row r="41" spans="4:55" x14ac:dyDescent="0.3">
      <c r="D41" s="6">
        <v>45</v>
      </c>
      <c r="E41" s="7">
        <v>93.72</v>
      </c>
      <c r="AX41" s="26">
        <v>80</v>
      </c>
      <c r="AY41" s="26">
        <v>104.12</v>
      </c>
    </row>
    <row r="42" spans="4:55" x14ac:dyDescent="0.3">
      <c r="AX42" s="26">
        <v>76</v>
      </c>
      <c r="AY42" s="26">
        <v>104.47</v>
      </c>
    </row>
    <row r="43" spans="4:55" x14ac:dyDescent="0.3">
      <c r="AX43" s="26">
        <v>80</v>
      </c>
      <c r="AY43" s="26">
        <v>105.92</v>
      </c>
    </row>
    <row r="44" spans="4:55" x14ac:dyDescent="0.3">
      <c r="AX44" s="26">
        <v>78</v>
      </c>
      <c r="AY44" s="26">
        <v>113.01</v>
      </c>
    </row>
    <row r="45" spans="4:55" x14ac:dyDescent="0.3">
      <c r="AX45" s="26">
        <v>77</v>
      </c>
      <c r="AY45" s="26">
        <v>124.13</v>
      </c>
    </row>
    <row r="46" spans="4:55" x14ac:dyDescent="0.3">
      <c r="AX46" s="26">
        <v>79</v>
      </c>
      <c r="AY46" s="26">
        <v>127.29</v>
      </c>
    </row>
    <row r="47" spans="4:55" x14ac:dyDescent="0.3">
      <c r="AX47" s="26">
        <v>80</v>
      </c>
      <c r="AY47" s="26">
        <v>144.9</v>
      </c>
    </row>
    <row r="48" spans="4:55" x14ac:dyDescent="0.3">
      <c r="AX48" s="26">
        <v>79</v>
      </c>
      <c r="AY48" s="26">
        <v>174.12</v>
      </c>
    </row>
    <row r="49" spans="50:51" x14ac:dyDescent="0.3">
      <c r="AX49" s="26">
        <v>80</v>
      </c>
      <c r="AY49" s="26">
        <v>186.21</v>
      </c>
    </row>
    <row r="50" spans="50:51" x14ac:dyDescent="0.3">
      <c r="AX50" s="26">
        <v>80</v>
      </c>
      <c r="AY50" s="26">
        <v>196.92</v>
      </c>
    </row>
    <row r="51" spans="50:51" x14ac:dyDescent="0.3">
      <c r="AX51" s="26">
        <v>79</v>
      </c>
      <c r="AY51" s="26">
        <v>214.09</v>
      </c>
    </row>
    <row r="52" spans="50:51" x14ac:dyDescent="0.3">
      <c r="AX52" s="26">
        <v>74</v>
      </c>
      <c r="AY52" s="26">
        <v>219.72</v>
      </c>
    </row>
    <row r="53" spans="50:51" x14ac:dyDescent="0.3">
      <c r="AX53" s="26">
        <v>75</v>
      </c>
      <c r="AY53" s="26">
        <v>221.29</v>
      </c>
    </row>
    <row r="54" spans="50:51" x14ac:dyDescent="0.3">
      <c r="AX54" s="26">
        <v>79</v>
      </c>
      <c r="AY54" s="26">
        <v>228.7</v>
      </c>
    </row>
    <row r="55" spans="50:51" x14ac:dyDescent="0.3">
      <c r="AX55" s="26">
        <v>76</v>
      </c>
      <c r="AY55" s="26">
        <v>243.58</v>
      </c>
    </row>
    <row r="56" spans="50:51" x14ac:dyDescent="0.3">
      <c r="AX56" s="26">
        <v>80</v>
      </c>
      <c r="AY56" s="26">
        <v>252.72</v>
      </c>
    </row>
  </sheetData>
  <mergeCells count="7">
    <mergeCell ref="AS36:AT36"/>
    <mergeCell ref="BA38:BB38"/>
    <mergeCell ref="D20:E20"/>
    <mergeCell ref="D36:E36"/>
    <mergeCell ref="R35:S35"/>
    <mergeCell ref="AB36:AC36"/>
    <mergeCell ref="AH36:AI36"/>
  </mergeCells>
  <phoneticPr fontId="18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673C-07EA-44C6-8C71-5BDF1B79C134}">
  <dimension ref="C1:O54"/>
  <sheetViews>
    <sheetView tabSelected="1" topLeftCell="F31" zoomScale="90" zoomScaleNormal="217" workbookViewId="0">
      <selection activeCell="V38" sqref="V38"/>
    </sheetView>
  </sheetViews>
  <sheetFormatPr defaultRowHeight="14.4" x14ac:dyDescent="0.3"/>
  <cols>
    <col min="3" max="3" width="9.44140625" bestFit="1" customWidth="1"/>
    <col min="4" max="4" width="11" customWidth="1"/>
    <col min="5" max="5" width="17" bestFit="1" customWidth="1"/>
    <col min="6" max="6" width="13" bestFit="1" customWidth="1"/>
    <col min="7" max="7" width="16.6640625" customWidth="1"/>
    <col min="8" max="8" width="13.88671875" bestFit="1" customWidth="1"/>
    <col min="9" max="10" width="13.44140625" bestFit="1" customWidth="1"/>
    <col min="11" max="13" width="12.33203125" bestFit="1" customWidth="1"/>
    <col min="14" max="14" width="13.109375" customWidth="1"/>
  </cols>
  <sheetData>
    <row r="1" spans="3:14" ht="15" thickBot="1" x14ac:dyDescent="0.35">
      <c r="C1" s="29" t="s">
        <v>118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3:14" ht="15" thickTop="1" x14ac:dyDescent="0.3"/>
    <row r="3" spans="3:14" x14ac:dyDescent="0.3">
      <c r="C3" s="11" t="s">
        <v>70</v>
      </c>
      <c r="D3" s="12" t="s">
        <v>111</v>
      </c>
      <c r="E3" s="15" t="s">
        <v>116</v>
      </c>
      <c r="F3" s="12" t="s">
        <v>119</v>
      </c>
      <c r="G3" s="12" t="s">
        <v>120</v>
      </c>
      <c r="H3" s="12" t="s">
        <v>112</v>
      </c>
      <c r="I3" s="12" t="s">
        <v>110</v>
      </c>
      <c r="J3" s="12" t="s">
        <v>135</v>
      </c>
      <c r="K3" s="12" t="s">
        <v>136</v>
      </c>
      <c r="L3" s="12" t="s">
        <v>113</v>
      </c>
      <c r="M3" s="12" t="s">
        <v>114</v>
      </c>
      <c r="N3" s="12" t="s">
        <v>115</v>
      </c>
    </row>
    <row r="4" spans="3:14" x14ac:dyDescent="0.3">
      <c r="C4" s="3">
        <v>1</v>
      </c>
      <c r="D4" s="3">
        <v>67</v>
      </c>
      <c r="E4" s="16">
        <v>228</v>
      </c>
      <c r="F4" s="3">
        <f>$D$4:$D$33-$D$35</f>
        <v>-1.7000000000000028</v>
      </c>
      <c r="G4" s="3">
        <f>$E$4:$E$33-$E$35</f>
        <v>76.055333333333351</v>
      </c>
      <c r="H4" s="3">
        <f>F4:F33*G4:G33</f>
        <v>-129.29406666666691</v>
      </c>
      <c r="I4" s="3">
        <f>F4^2</f>
        <v>2.8900000000000095</v>
      </c>
      <c r="J4" s="3">
        <f>H4^2</f>
        <v>16716.955675204506</v>
      </c>
      <c r="K4" s="3">
        <f>(D4:D33*E4:E33)</f>
        <v>15276</v>
      </c>
      <c r="L4" s="3">
        <f>(D4:D33^2)</f>
        <v>4489</v>
      </c>
      <c r="M4" s="3">
        <f>E4:E33^2</f>
        <v>51984</v>
      </c>
      <c r="N4" s="3">
        <f>$D$46+$D$43*Table6[[#This Row],[Umur (X)]]</f>
        <v>150.89891172288998</v>
      </c>
    </row>
    <row r="5" spans="3:14" x14ac:dyDescent="0.3">
      <c r="C5" s="3">
        <v>2</v>
      </c>
      <c r="D5" s="3">
        <v>80</v>
      </c>
      <c r="E5" s="16">
        <v>105.92</v>
      </c>
      <c r="F5" s="3">
        <f t="shared" ref="F5:F33" si="0">$D$4:$D$33-$D$35</f>
        <v>11.299999999999997</v>
      </c>
      <c r="G5" s="3">
        <f t="shared" ref="G5:G32" si="1">$E$4:$E$33-$E$35</f>
        <v>-46.024666666666647</v>
      </c>
      <c r="H5" s="3">
        <f t="shared" ref="H5:H33" si="2">F5:F34*G5:G34</f>
        <v>-520.07873333333293</v>
      </c>
      <c r="I5" s="3">
        <f t="shared" ref="I5:I32" si="3">F5^2</f>
        <v>127.68999999999994</v>
      </c>
      <c r="J5" s="3">
        <f t="shared" ref="J5:J33" si="4">H5^2</f>
        <v>270481.88886560401</v>
      </c>
      <c r="K5" s="3">
        <f>(D5:D34*E5:E34)</f>
        <v>8473.6</v>
      </c>
      <c r="L5" s="3">
        <f>(D5:D34^2)</f>
        <v>6400</v>
      </c>
      <c r="M5" s="3">
        <f t="shared" ref="M5:M33" si="5">E5:E34^2</f>
        <v>11219.046400000001</v>
      </c>
      <c r="N5" s="3">
        <f>$D$46+$D$43*Table6[[#This Row],[Umur (X)]]</f>
        <v>158.89586129294679</v>
      </c>
    </row>
    <row r="6" spans="3:14" x14ac:dyDescent="0.3">
      <c r="C6" s="3">
        <v>3</v>
      </c>
      <c r="D6" s="3">
        <v>49</v>
      </c>
      <c r="E6" s="16">
        <v>171.23</v>
      </c>
      <c r="F6" s="3">
        <f t="shared" si="0"/>
        <v>-19.700000000000003</v>
      </c>
      <c r="G6" s="3">
        <f t="shared" si="1"/>
        <v>19.285333333333341</v>
      </c>
      <c r="H6" s="3">
        <f t="shared" si="2"/>
        <v>-379.92106666666689</v>
      </c>
      <c r="I6" s="3">
        <f t="shared" si="3"/>
        <v>388.09000000000009</v>
      </c>
      <c r="J6" s="3">
        <f t="shared" si="4"/>
        <v>144340.01689713795</v>
      </c>
      <c r="K6" s="3">
        <f t="shared" ref="K6:K33" si="6">(D6:D35*E6:E35)</f>
        <v>8390.2699999999986</v>
      </c>
      <c r="L6" s="3">
        <f t="shared" ref="L6:L33" si="7">(D6:D35^2)</f>
        <v>2401</v>
      </c>
      <c r="M6" s="3">
        <f t="shared" si="5"/>
        <v>29319.712899999995</v>
      </c>
      <c r="N6" s="3">
        <f>$D$46+$D$43*Table6[[#This Row],[Umur (X)]]</f>
        <v>139.82621231819596</v>
      </c>
    </row>
    <row r="7" spans="3:14" x14ac:dyDescent="0.3">
      <c r="C7" s="3">
        <v>4</v>
      </c>
      <c r="D7" s="3">
        <v>79</v>
      </c>
      <c r="E7" s="16">
        <v>174.12</v>
      </c>
      <c r="F7" s="3">
        <f t="shared" si="0"/>
        <v>10.299999999999997</v>
      </c>
      <c r="G7" s="3">
        <f t="shared" si="1"/>
        <v>22.175333333333356</v>
      </c>
      <c r="H7" s="3">
        <f t="shared" si="2"/>
        <v>228.40593333333351</v>
      </c>
      <c r="I7" s="3">
        <f t="shared" si="3"/>
        <v>106.08999999999995</v>
      </c>
      <c r="J7" s="3">
        <f t="shared" si="4"/>
        <v>52169.270381871189</v>
      </c>
      <c r="K7" s="3">
        <f t="shared" si="6"/>
        <v>13755.48</v>
      </c>
      <c r="L7" s="3">
        <f t="shared" si="7"/>
        <v>6241</v>
      </c>
      <c r="M7" s="3">
        <f t="shared" si="5"/>
        <v>30317.774400000002</v>
      </c>
      <c r="N7" s="3">
        <f>$D$46+$D$43*Table6[[#This Row],[Umur (X)]]</f>
        <v>158.28071132601934</v>
      </c>
    </row>
    <row r="8" spans="3:14" x14ac:dyDescent="0.3">
      <c r="C8" s="3">
        <v>5</v>
      </c>
      <c r="D8" s="3">
        <v>81</v>
      </c>
      <c r="E8" s="16">
        <v>186.21</v>
      </c>
      <c r="F8" s="3">
        <f t="shared" si="0"/>
        <v>12.299999999999997</v>
      </c>
      <c r="G8" s="3">
        <f t="shared" si="1"/>
        <v>34.265333333333359</v>
      </c>
      <c r="H8" s="3">
        <f t="shared" si="2"/>
        <v>421.46360000000021</v>
      </c>
      <c r="I8" s="3">
        <f t="shared" si="3"/>
        <v>151.28999999999994</v>
      </c>
      <c r="J8" s="3">
        <f t="shared" si="4"/>
        <v>177631.56612496017</v>
      </c>
      <c r="K8" s="3">
        <f t="shared" si="6"/>
        <v>15083.01</v>
      </c>
      <c r="L8" s="3">
        <f t="shared" si="7"/>
        <v>6561</v>
      </c>
      <c r="M8" s="3">
        <f t="shared" si="5"/>
        <v>34674.164100000002</v>
      </c>
      <c r="N8" s="3">
        <f>$D$46+$D$43*Table6[[#This Row],[Umur (X)]]</f>
        <v>159.51101125987424</v>
      </c>
    </row>
    <row r="9" spans="3:14" x14ac:dyDescent="0.3">
      <c r="C9" s="3">
        <v>6</v>
      </c>
      <c r="D9" s="3">
        <v>74</v>
      </c>
      <c r="E9" s="16">
        <v>70.09</v>
      </c>
      <c r="F9" s="3">
        <f t="shared" si="0"/>
        <v>5.2999999999999972</v>
      </c>
      <c r="G9" s="3">
        <f t="shared" si="1"/>
        <v>-81.854666666666645</v>
      </c>
      <c r="H9" s="3">
        <f t="shared" si="2"/>
        <v>-433.82973333333297</v>
      </c>
      <c r="I9" s="3">
        <f t="shared" si="3"/>
        <v>28.089999999999971</v>
      </c>
      <c r="J9" s="3">
        <f t="shared" si="4"/>
        <v>188208.23752407081</v>
      </c>
      <c r="K9" s="3">
        <f t="shared" si="6"/>
        <v>5186.66</v>
      </c>
      <c r="L9" s="3">
        <f t="shared" si="7"/>
        <v>5476</v>
      </c>
      <c r="M9" s="3">
        <f t="shared" si="5"/>
        <v>4912.6081000000004</v>
      </c>
      <c r="N9" s="3">
        <f>$D$46+$D$43*Table6[[#This Row],[Umur (X)]]</f>
        <v>155.20496149138211</v>
      </c>
    </row>
    <row r="10" spans="3:14" x14ac:dyDescent="0.3">
      <c r="C10" s="3">
        <v>7</v>
      </c>
      <c r="D10" s="3">
        <v>69</v>
      </c>
      <c r="E10" s="16">
        <v>94.39</v>
      </c>
      <c r="F10" s="3">
        <f t="shared" si="0"/>
        <v>0.29999999999999716</v>
      </c>
      <c r="G10" s="3">
        <f t="shared" si="1"/>
        <v>-57.554666666666648</v>
      </c>
      <c r="H10" s="3">
        <f t="shared" si="2"/>
        <v>-17.26639999999983</v>
      </c>
      <c r="I10" s="3">
        <f t="shared" si="3"/>
        <v>8.999999999999829E-2</v>
      </c>
      <c r="J10" s="3">
        <f t="shared" si="4"/>
        <v>298.12856895999414</v>
      </c>
      <c r="K10" s="3">
        <f t="shared" si="6"/>
        <v>6512.91</v>
      </c>
      <c r="L10" s="3">
        <f t="shared" si="7"/>
        <v>4761</v>
      </c>
      <c r="M10" s="3">
        <f t="shared" si="5"/>
        <v>8909.4721000000009</v>
      </c>
      <c r="N10" s="3">
        <f>$D$46+$D$43*Table6[[#This Row],[Umur (X)]]</f>
        <v>152.12921165674487</v>
      </c>
    </row>
    <row r="11" spans="3:14" x14ac:dyDescent="0.3">
      <c r="C11" s="3">
        <v>8</v>
      </c>
      <c r="D11" s="3">
        <v>78</v>
      </c>
      <c r="E11" s="16">
        <v>58.57</v>
      </c>
      <c r="F11" s="3">
        <f t="shared" si="0"/>
        <v>9.2999999999999972</v>
      </c>
      <c r="G11" s="3">
        <f t="shared" si="1"/>
        <v>-93.374666666666656</v>
      </c>
      <c r="H11" s="3">
        <f t="shared" si="2"/>
        <v>-868.38439999999969</v>
      </c>
      <c r="I11" s="3">
        <f t="shared" si="3"/>
        <v>86.489999999999952</v>
      </c>
      <c r="J11" s="3">
        <f t="shared" si="4"/>
        <v>754091.46616335947</v>
      </c>
      <c r="K11" s="3">
        <f t="shared" si="6"/>
        <v>4568.46</v>
      </c>
      <c r="L11" s="3">
        <f t="shared" si="7"/>
        <v>6084</v>
      </c>
      <c r="M11" s="3">
        <f t="shared" si="5"/>
        <v>3430.4449</v>
      </c>
      <c r="N11" s="3">
        <f>$D$46+$D$43*Table6[[#This Row],[Umur (X)]]</f>
        <v>157.6655613590919</v>
      </c>
    </row>
    <row r="12" spans="3:14" x14ac:dyDescent="0.3">
      <c r="C12" s="3">
        <v>9</v>
      </c>
      <c r="D12" s="3">
        <v>81</v>
      </c>
      <c r="E12" s="16">
        <v>80.430000000000007</v>
      </c>
      <c r="F12" s="3">
        <f t="shared" si="0"/>
        <v>12.299999999999997</v>
      </c>
      <c r="G12" s="3">
        <f t="shared" si="1"/>
        <v>-71.514666666666642</v>
      </c>
      <c r="H12" s="3">
        <f t="shared" si="2"/>
        <v>-879.63039999999944</v>
      </c>
      <c r="I12" s="3">
        <f t="shared" si="3"/>
        <v>151.28999999999994</v>
      </c>
      <c r="J12" s="3">
        <f t="shared" si="4"/>
        <v>773749.64060415898</v>
      </c>
      <c r="K12" s="3">
        <f t="shared" si="6"/>
        <v>6514.8300000000008</v>
      </c>
      <c r="L12" s="3">
        <f t="shared" si="7"/>
        <v>6561</v>
      </c>
      <c r="M12" s="3">
        <f t="shared" si="5"/>
        <v>6468.9849000000013</v>
      </c>
      <c r="N12" s="3">
        <f>$D$46+$D$43*Table6[[#This Row],[Umur (X)]]</f>
        <v>159.51101125987424</v>
      </c>
    </row>
    <row r="13" spans="3:14" x14ac:dyDescent="0.3">
      <c r="C13" s="3">
        <v>10</v>
      </c>
      <c r="D13" s="3">
        <v>61</v>
      </c>
      <c r="E13" s="16">
        <v>120.46</v>
      </c>
      <c r="F13" s="3">
        <f t="shared" si="0"/>
        <v>-7.7000000000000028</v>
      </c>
      <c r="G13" s="3">
        <f t="shared" si="1"/>
        <v>-31.484666666666655</v>
      </c>
      <c r="H13" s="3">
        <f t="shared" si="2"/>
        <v>242.43193333333332</v>
      </c>
      <c r="I13" s="3">
        <f t="shared" si="3"/>
        <v>59.290000000000042</v>
      </c>
      <c r="J13" s="3">
        <f t="shared" si="4"/>
        <v>58773.242299737773</v>
      </c>
      <c r="K13" s="3">
        <f t="shared" si="6"/>
        <v>7348.0599999999995</v>
      </c>
      <c r="L13" s="3">
        <f t="shared" si="7"/>
        <v>3721</v>
      </c>
      <c r="M13" s="3">
        <f t="shared" si="5"/>
        <v>14510.611599999998</v>
      </c>
      <c r="N13" s="3">
        <f>$D$46+$D$43*Table6[[#This Row],[Umur (X)]]</f>
        <v>147.20801192132532</v>
      </c>
    </row>
    <row r="14" spans="3:14" x14ac:dyDescent="0.3">
      <c r="C14" s="3">
        <v>11</v>
      </c>
      <c r="D14" s="3">
        <v>54</v>
      </c>
      <c r="E14" s="16">
        <v>104.51</v>
      </c>
      <c r="F14" s="3">
        <f t="shared" si="0"/>
        <v>-14.700000000000003</v>
      </c>
      <c r="G14" s="3">
        <f t="shared" si="1"/>
        <v>-47.434666666666644</v>
      </c>
      <c r="H14" s="3">
        <f t="shared" si="2"/>
        <v>697.28959999999984</v>
      </c>
      <c r="I14" s="3">
        <f t="shared" si="3"/>
        <v>216.09000000000009</v>
      </c>
      <c r="J14" s="3">
        <f t="shared" si="4"/>
        <v>486212.78626815975</v>
      </c>
      <c r="K14" s="3">
        <f t="shared" si="6"/>
        <v>5643.54</v>
      </c>
      <c r="L14" s="3">
        <f t="shared" si="7"/>
        <v>2916</v>
      </c>
      <c r="M14" s="3">
        <f t="shared" si="5"/>
        <v>10922.340100000001</v>
      </c>
      <c r="N14" s="3">
        <f>$D$46+$D$43*Table6[[#This Row],[Umur (X)]]</f>
        <v>142.90196215283319</v>
      </c>
    </row>
    <row r="15" spans="3:14" x14ac:dyDescent="0.3">
      <c r="C15" s="3">
        <v>12</v>
      </c>
      <c r="D15" s="3">
        <v>79</v>
      </c>
      <c r="E15" s="16">
        <v>214.09</v>
      </c>
      <c r="F15" s="3">
        <f t="shared" si="0"/>
        <v>10.299999999999997</v>
      </c>
      <c r="G15" s="3">
        <f t="shared" si="1"/>
        <v>62.145333333333355</v>
      </c>
      <c r="H15" s="3">
        <f t="shared" si="2"/>
        <v>640.09693333333337</v>
      </c>
      <c r="I15" s="3">
        <f t="shared" si="3"/>
        <v>106.08999999999995</v>
      </c>
      <c r="J15" s="3">
        <f t="shared" si="4"/>
        <v>409724.08406273782</v>
      </c>
      <c r="K15" s="3">
        <f t="shared" si="6"/>
        <v>16913.11</v>
      </c>
      <c r="L15" s="3">
        <f t="shared" si="7"/>
        <v>6241</v>
      </c>
      <c r="M15" s="3">
        <f t="shared" si="5"/>
        <v>45834.528100000003</v>
      </c>
      <c r="N15" s="3">
        <f>$D$46+$D$43*Table6[[#This Row],[Umur (X)]]</f>
        <v>158.28071132601934</v>
      </c>
    </row>
    <row r="16" spans="3:14" x14ac:dyDescent="0.3">
      <c r="C16" s="3">
        <v>13</v>
      </c>
      <c r="D16" s="3">
        <v>50</v>
      </c>
      <c r="E16" s="16">
        <v>167.41</v>
      </c>
      <c r="F16" s="3">
        <f t="shared" si="0"/>
        <v>-18.700000000000003</v>
      </c>
      <c r="G16" s="3">
        <f t="shared" si="1"/>
        <v>15.465333333333348</v>
      </c>
      <c r="H16" s="3">
        <f t="shared" si="2"/>
        <v>-289.20173333333366</v>
      </c>
      <c r="I16" s="3">
        <f t="shared" si="3"/>
        <v>349.69000000000011</v>
      </c>
      <c r="J16" s="3">
        <f t="shared" si="4"/>
        <v>83637.642563004629</v>
      </c>
      <c r="K16" s="3">
        <f t="shared" si="6"/>
        <v>8370.5</v>
      </c>
      <c r="L16" s="3">
        <f t="shared" si="7"/>
        <v>2500</v>
      </c>
      <c r="M16" s="3">
        <f t="shared" si="5"/>
        <v>28026.108099999998</v>
      </c>
      <c r="N16" s="3">
        <f>$D$46+$D$43*Table6[[#This Row],[Umur (X)]]</f>
        <v>140.4413622851234</v>
      </c>
    </row>
    <row r="17" spans="3:14" x14ac:dyDescent="0.3">
      <c r="C17" s="3">
        <v>14</v>
      </c>
      <c r="D17" s="3">
        <v>64</v>
      </c>
      <c r="E17" s="16">
        <v>191.61</v>
      </c>
      <c r="F17" s="3">
        <f t="shared" si="0"/>
        <v>-4.7000000000000028</v>
      </c>
      <c r="G17" s="3">
        <f t="shared" si="1"/>
        <v>39.665333333333365</v>
      </c>
      <c r="H17" s="3">
        <f t="shared" si="2"/>
        <v>-186.42706666666692</v>
      </c>
      <c r="I17" s="3">
        <f t="shared" si="3"/>
        <v>22.090000000000028</v>
      </c>
      <c r="J17" s="3">
        <f t="shared" si="4"/>
        <v>34755.051185937868</v>
      </c>
      <c r="K17" s="3">
        <f t="shared" si="6"/>
        <v>12263.04</v>
      </c>
      <c r="L17" s="3">
        <f t="shared" si="7"/>
        <v>4096</v>
      </c>
      <c r="M17" s="3">
        <f t="shared" si="5"/>
        <v>36714.392100000005</v>
      </c>
      <c r="N17" s="3">
        <f>$D$46+$D$43*Table6[[#This Row],[Umur (X)]]</f>
        <v>149.05346182210764</v>
      </c>
    </row>
    <row r="18" spans="3:14" x14ac:dyDescent="0.3">
      <c r="C18" s="3">
        <v>15</v>
      </c>
      <c r="D18" s="3">
        <v>75</v>
      </c>
      <c r="E18" s="16">
        <v>221.29</v>
      </c>
      <c r="F18" s="3">
        <f t="shared" si="0"/>
        <v>6.2999999999999972</v>
      </c>
      <c r="G18" s="3">
        <f t="shared" si="1"/>
        <v>69.345333333333343</v>
      </c>
      <c r="H18" s="3">
        <f t="shared" si="2"/>
        <v>436.87559999999985</v>
      </c>
      <c r="I18" s="3">
        <f t="shared" si="3"/>
        <v>39.689999999999962</v>
      </c>
      <c r="J18" s="3">
        <f t="shared" si="4"/>
        <v>190860.28987535986</v>
      </c>
      <c r="K18" s="3">
        <f t="shared" si="6"/>
        <v>16596.75</v>
      </c>
      <c r="L18" s="3">
        <f t="shared" si="7"/>
        <v>5625</v>
      </c>
      <c r="M18" s="3">
        <f t="shared" si="5"/>
        <v>48969.264099999993</v>
      </c>
      <c r="N18" s="3">
        <f>$D$46+$D$43*Table6[[#This Row],[Umur (X)]]</f>
        <v>155.82011145830955</v>
      </c>
    </row>
    <row r="19" spans="3:14" x14ac:dyDescent="0.3">
      <c r="C19" s="3">
        <v>16</v>
      </c>
      <c r="D19" s="3">
        <v>60</v>
      </c>
      <c r="E19" s="16">
        <v>89.22</v>
      </c>
      <c r="F19" s="3">
        <f t="shared" si="0"/>
        <v>-8.7000000000000028</v>
      </c>
      <c r="G19" s="3">
        <f t="shared" si="1"/>
        <v>-62.72466666666665</v>
      </c>
      <c r="H19" s="3">
        <f t="shared" si="2"/>
        <v>545.70460000000003</v>
      </c>
      <c r="I19" s="3">
        <f t="shared" si="3"/>
        <v>75.690000000000055</v>
      </c>
      <c r="J19" s="3">
        <f t="shared" si="4"/>
        <v>297793.51046116004</v>
      </c>
      <c r="K19" s="3">
        <f t="shared" si="6"/>
        <v>5353.2</v>
      </c>
      <c r="L19" s="3">
        <f t="shared" si="7"/>
        <v>3600</v>
      </c>
      <c r="M19" s="3">
        <f t="shared" si="5"/>
        <v>7960.2083999999995</v>
      </c>
      <c r="N19" s="3">
        <f>$D$46+$D$43*Table6[[#This Row],[Umur (X)]]</f>
        <v>146.59286195439788</v>
      </c>
    </row>
    <row r="20" spans="3:14" x14ac:dyDescent="0.3">
      <c r="C20" s="3">
        <v>17</v>
      </c>
      <c r="D20" s="3">
        <v>71</v>
      </c>
      <c r="E20" s="16">
        <v>193.94</v>
      </c>
      <c r="F20" s="3">
        <f t="shared" si="0"/>
        <v>2.2999999999999972</v>
      </c>
      <c r="G20" s="3">
        <f t="shared" si="1"/>
        <v>41.995333333333349</v>
      </c>
      <c r="H20" s="3">
        <f t="shared" si="2"/>
        <v>96.589266666666589</v>
      </c>
      <c r="I20" s="3">
        <f t="shared" si="3"/>
        <v>5.2899999999999867</v>
      </c>
      <c r="J20" s="3">
        <f t="shared" si="4"/>
        <v>9329.4864352044297</v>
      </c>
      <c r="K20" s="3">
        <f t="shared" si="6"/>
        <v>13769.74</v>
      </c>
      <c r="L20" s="3">
        <f t="shared" si="7"/>
        <v>5041</v>
      </c>
      <c r="M20" s="3">
        <f t="shared" si="5"/>
        <v>37612.723599999998</v>
      </c>
      <c r="N20" s="3">
        <f>$D$46+$D$43*Table6[[#This Row],[Umur (X)]]</f>
        <v>153.35951159059977</v>
      </c>
    </row>
    <row r="21" spans="3:14" x14ac:dyDescent="0.3">
      <c r="C21" s="3">
        <v>18</v>
      </c>
      <c r="D21" s="3">
        <v>52</v>
      </c>
      <c r="E21" s="16">
        <v>233.29</v>
      </c>
      <c r="F21" s="3">
        <f t="shared" si="0"/>
        <v>-16.700000000000003</v>
      </c>
      <c r="G21" s="3">
        <f t="shared" si="1"/>
        <v>81.345333333333343</v>
      </c>
      <c r="H21" s="3">
        <f>F21:F50*G21:G49</f>
        <v>-1358.4670666666671</v>
      </c>
      <c r="I21" s="3">
        <f t="shared" si="3"/>
        <v>278.8900000000001</v>
      </c>
      <c r="J21" s="3">
        <f t="shared" si="4"/>
        <v>1845432.7712179387</v>
      </c>
      <c r="K21" s="3">
        <f t="shared" si="6"/>
        <v>12131.08</v>
      </c>
      <c r="L21" s="3">
        <f t="shared" si="7"/>
        <v>2704</v>
      </c>
      <c r="M21" s="3">
        <f t="shared" si="5"/>
        <v>54424.224099999999</v>
      </c>
      <c r="N21" s="3">
        <f>$D$46+$D$43*Table6[[#This Row],[Umur (X)]]</f>
        <v>141.6716622189783</v>
      </c>
    </row>
    <row r="22" spans="3:14" x14ac:dyDescent="0.3">
      <c r="C22" s="3">
        <v>19</v>
      </c>
      <c r="D22" s="3">
        <v>79</v>
      </c>
      <c r="E22" s="16">
        <v>228.7</v>
      </c>
      <c r="F22" s="3">
        <f t="shared" si="0"/>
        <v>10.299999999999997</v>
      </c>
      <c r="G22" s="3">
        <f t="shared" si="1"/>
        <v>76.75533333333334</v>
      </c>
      <c r="H22" s="3">
        <f>F22:F51*G22:G49</f>
        <v>790.5799333333332</v>
      </c>
      <c r="I22" s="3">
        <f t="shared" si="3"/>
        <v>106.08999999999995</v>
      </c>
      <c r="J22" s="3">
        <f t="shared" si="4"/>
        <v>625016.63098933757</v>
      </c>
      <c r="K22" s="3">
        <f t="shared" si="6"/>
        <v>18067.3</v>
      </c>
      <c r="L22" s="3">
        <f t="shared" si="7"/>
        <v>6241</v>
      </c>
      <c r="M22" s="3">
        <f t="shared" si="5"/>
        <v>52303.689999999995</v>
      </c>
      <c r="N22" s="3">
        <f>$D$46+$D$43*Table6[[#This Row],[Umur (X)]]</f>
        <v>158.28071132601934</v>
      </c>
    </row>
    <row r="23" spans="3:14" x14ac:dyDescent="0.3">
      <c r="C23" s="3">
        <v>20</v>
      </c>
      <c r="D23" s="3">
        <v>82</v>
      </c>
      <c r="E23" s="16">
        <v>208.3</v>
      </c>
      <c r="F23" s="3">
        <f t="shared" si="0"/>
        <v>13.299999999999997</v>
      </c>
      <c r="G23" s="3">
        <f t="shared" si="1"/>
        <v>56.355333333333363</v>
      </c>
      <c r="H23" s="3">
        <f>F23:F52*G23:G49</f>
        <v>749.52593333333357</v>
      </c>
      <c r="I23" s="3">
        <f t="shared" si="3"/>
        <v>176.88999999999993</v>
      </c>
      <c r="J23" s="3">
        <f t="shared" si="4"/>
        <v>561789.12473920477</v>
      </c>
      <c r="K23" s="3">
        <f t="shared" si="6"/>
        <v>17080.600000000002</v>
      </c>
      <c r="L23" s="3">
        <f t="shared" si="7"/>
        <v>6724</v>
      </c>
      <c r="M23" s="3">
        <f t="shared" si="5"/>
        <v>43388.890000000007</v>
      </c>
      <c r="N23" s="3">
        <f>$D$46+$D$43*Table6[[#This Row],[Umur (X)]]</f>
        <v>160.12616122680168</v>
      </c>
    </row>
    <row r="24" spans="3:14" x14ac:dyDescent="0.3">
      <c r="C24" s="3">
        <v>21</v>
      </c>
      <c r="D24" s="3">
        <v>71</v>
      </c>
      <c r="E24" s="16">
        <v>102.87</v>
      </c>
      <c r="F24" s="3">
        <f t="shared" si="0"/>
        <v>2.2999999999999972</v>
      </c>
      <c r="G24" s="3">
        <f t="shared" si="1"/>
        <v>-49.074666666666644</v>
      </c>
      <c r="H24" s="3">
        <f>F24:F53*G24:G49</f>
        <v>-112.87173333333314</v>
      </c>
      <c r="I24" s="3">
        <f t="shared" si="3"/>
        <v>5.2899999999999867</v>
      </c>
      <c r="J24" s="3">
        <f t="shared" si="4"/>
        <v>12740.028185671068</v>
      </c>
      <c r="K24" s="3">
        <f t="shared" si="6"/>
        <v>7303.77</v>
      </c>
      <c r="L24" s="3">
        <f t="shared" si="7"/>
        <v>5041</v>
      </c>
      <c r="M24" s="3">
        <f t="shared" si="5"/>
        <v>10582.236900000002</v>
      </c>
      <c r="N24" s="3">
        <f>$D$46+$D$43*Table6[[#This Row],[Umur (X)]]</f>
        <v>153.35951159059977</v>
      </c>
    </row>
    <row r="25" spans="3:14" x14ac:dyDescent="0.3">
      <c r="C25" s="3">
        <v>22</v>
      </c>
      <c r="D25" s="3">
        <v>80</v>
      </c>
      <c r="E25" s="16">
        <v>104.12</v>
      </c>
      <c r="F25" s="3">
        <f t="shared" si="0"/>
        <v>11.299999999999997</v>
      </c>
      <c r="G25" s="3">
        <f t="shared" si="1"/>
        <v>-47.824666666666644</v>
      </c>
      <c r="H25" s="3">
        <f>F25:F54*G25:G54</f>
        <v>-540.41873333333297</v>
      </c>
      <c r="I25" s="3">
        <f t="shared" si="3"/>
        <v>127.68999999999994</v>
      </c>
      <c r="J25" s="3">
        <f t="shared" si="4"/>
        <v>292052.40733760403</v>
      </c>
      <c r="K25" s="3">
        <f t="shared" si="6"/>
        <v>8329.6</v>
      </c>
      <c r="L25" s="3">
        <f t="shared" si="7"/>
        <v>6400</v>
      </c>
      <c r="M25" s="3">
        <f t="shared" si="5"/>
        <v>10840.974400000001</v>
      </c>
      <c r="N25" s="3">
        <f>$D$46+$D$43*Table6[[#This Row],[Umur (X)]]</f>
        <v>158.89586129294679</v>
      </c>
    </row>
    <row r="26" spans="3:14" x14ac:dyDescent="0.3">
      <c r="C26" s="3">
        <v>23</v>
      </c>
      <c r="D26" s="3">
        <v>65</v>
      </c>
      <c r="E26" s="16">
        <v>100.98</v>
      </c>
      <c r="F26" s="3">
        <f t="shared" si="0"/>
        <v>-3.7000000000000028</v>
      </c>
      <c r="G26" s="3">
        <f t="shared" si="1"/>
        <v>-50.964666666666645</v>
      </c>
      <c r="H26" s="3">
        <f t="shared" si="2"/>
        <v>188.56926666666672</v>
      </c>
      <c r="I26" s="3">
        <f t="shared" si="3"/>
        <v>13.690000000000021</v>
      </c>
      <c r="J26" s="3">
        <f t="shared" si="4"/>
        <v>35558.368331204467</v>
      </c>
      <c r="K26" s="3">
        <f t="shared" si="6"/>
        <v>6563.7</v>
      </c>
      <c r="L26" s="3">
        <f t="shared" si="7"/>
        <v>4225</v>
      </c>
      <c r="M26" s="3">
        <f t="shared" si="5"/>
        <v>10196.9604</v>
      </c>
      <c r="N26" s="3">
        <f>$D$46+$D$43*Table6[[#This Row],[Umur (X)]]</f>
        <v>149.66861178903508</v>
      </c>
    </row>
    <row r="27" spans="3:14" x14ac:dyDescent="0.3">
      <c r="C27" s="3">
        <v>24</v>
      </c>
      <c r="D27" s="3">
        <v>69</v>
      </c>
      <c r="E27" s="16">
        <v>195.23</v>
      </c>
      <c r="F27" s="3">
        <f t="shared" si="0"/>
        <v>0.29999999999999716</v>
      </c>
      <c r="G27" s="3">
        <f t="shared" si="1"/>
        <v>43.285333333333341</v>
      </c>
      <c r="H27" s="3">
        <f t="shared" si="2"/>
        <v>12.985599999999879</v>
      </c>
      <c r="I27" s="3">
        <f t="shared" si="3"/>
        <v>8.999999999999829E-2</v>
      </c>
      <c r="J27" s="3">
        <f t="shared" si="4"/>
        <v>168.62580735999686</v>
      </c>
      <c r="K27" s="3">
        <f t="shared" si="6"/>
        <v>13470.869999999999</v>
      </c>
      <c r="L27" s="3">
        <f t="shared" si="7"/>
        <v>4761</v>
      </c>
      <c r="M27" s="3">
        <f t="shared" si="5"/>
        <v>38114.752899999999</v>
      </c>
      <c r="N27" s="3">
        <f>$D$46+$D$43*Table6[[#This Row],[Umur (X)]]</f>
        <v>152.12921165674487</v>
      </c>
    </row>
    <row r="28" spans="3:14" x14ac:dyDescent="0.3">
      <c r="C28" s="3">
        <v>25</v>
      </c>
      <c r="D28" s="3">
        <v>57</v>
      </c>
      <c r="E28" s="16">
        <v>212.08</v>
      </c>
      <c r="F28" s="3">
        <f t="shared" si="0"/>
        <v>-11.700000000000003</v>
      </c>
      <c r="G28" s="3">
        <f t="shared" si="1"/>
        <v>60.135333333333364</v>
      </c>
      <c r="H28" s="3">
        <f t="shared" si="2"/>
        <v>-703.58340000000055</v>
      </c>
      <c r="I28" s="3">
        <f t="shared" si="3"/>
        <v>136.89000000000007</v>
      </c>
      <c r="J28" s="3">
        <f t="shared" si="4"/>
        <v>495029.60075556079</v>
      </c>
      <c r="K28" s="3">
        <f t="shared" si="6"/>
        <v>12088.560000000001</v>
      </c>
      <c r="L28" s="3">
        <f t="shared" si="7"/>
        <v>3249</v>
      </c>
      <c r="M28" s="3">
        <f t="shared" si="5"/>
        <v>44977.926400000004</v>
      </c>
      <c r="N28" s="3">
        <f>$D$46+$D$43*Table6[[#This Row],[Umur (X)]]</f>
        <v>144.74741205361553</v>
      </c>
    </row>
    <row r="29" spans="3:14" x14ac:dyDescent="0.3">
      <c r="C29" s="3">
        <v>26</v>
      </c>
      <c r="D29" s="3">
        <v>42</v>
      </c>
      <c r="E29" s="16">
        <v>83.41</v>
      </c>
      <c r="F29" s="3">
        <f t="shared" si="0"/>
        <v>-26.700000000000003</v>
      </c>
      <c r="G29" s="3">
        <f t="shared" si="1"/>
        <v>-68.534666666666652</v>
      </c>
      <c r="H29" s="3">
        <f t="shared" si="2"/>
        <v>1829.8755999999998</v>
      </c>
      <c r="I29" s="3">
        <f t="shared" si="3"/>
        <v>712.8900000000001</v>
      </c>
      <c r="J29" s="3">
        <f t="shared" si="4"/>
        <v>3348444.7114753593</v>
      </c>
      <c r="K29" s="3">
        <f t="shared" si="6"/>
        <v>3503.22</v>
      </c>
      <c r="L29" s="3">
        <f t="shared" si="7"/>
        <v>1764</v>
      </c>
      <c r="M29" s="3">
        <f t="shared" si="5"/>
        <v>6957.2280999999994</v>
      </c>
      <c r="N29" s="3">
        <f>$D$46+$D$43*Table6[[#This Row],[Umur (X)]]</f>
        <v>135.52016254970385</v>
      </c>
    </row>
    <row r="30" spans="3:14" x14ac:dyDescent="0.3">
      <c r="C30" s="3">
        <v>27</v>
      </c>
      <c r="D30" s="3">
        <v>82</v>
      </c>
      <c r="E30" s="16">
        <v>196.92</v>
      </c>
      <c r="F30" s="3">
        <f t="shared" si="0"/>
        <v>13.299999999999997</v>
      </c>
      <c r="G30" s="3">
        <f t="shared" si="1"/>
        <v>44.975333333333339</v>
      </c>
      <c r="H30" s="3">
        <f t="shared" si="2"/>
        <v>598.1719333333333</v>
      </c>
      <c r="I30" s="3">
        <f t="shared" si="3"/>
        <v>176.88999999999993</v>
      </c>
      <c r="J30" s="3">
        <f t="shared" si="4"/>
        <v>357809.66182773776</v>
      </c>
      <c r="K30" s="3">
        <f t="shared" si="6"/>
        <v>16147.439999999999</v>
      </c>
      <c r="L30" s="3">
        <f t="shared" si="7"/>
        <v>6724</v>
      </c>
      <c r="M30" s="3">
        <f t="shared" si="5"/>
        <v>38777.486399999994</v>
      </c>
      <c r="N30" s="3">
        <f>$D$46+$D$43*Table6[[#This Row],[Umur (X)]]</f>
        <v>160.12616122680168</v>
      </c>
    </row>
    <row r="31" spans="3:14" x14ac:dyDescent="0.3">
      <c r="C31" s="3">
        <v>28</v>
      </c>
      <c r="D31" s="3">
        <v>80</v>
      </c>
      <c r="E31" s="16">
        <v>252.72</v>
      </c>
      <c r="F31" s="3">
        <f t="shared" si="0"/>
        <v>11.299999999999997</v>
      </c>
      <c r="G31" s="3">
        <f t="shared" si="1"/>
        <v>100.77533333333335</v>
      </c>
      <c r="H31" s="3">
        <f t="shared" si="2"/>
        <v>1138.7612666666666</v>
      </c>
      <c r="I31" s="3">
        <f t="shared" si="3"/>
        <v>127.68999999999994</v>
      </c>
      <c r="J31" s="3">
        <f t="shared" si="4"/>
        <v>1296777.2224602711</v>
      </c>
      <c r="K31" s="3">
        <f t="shared" si="6"/>
        <v>20217.599999999999</v>
      </c>
      <c r="L31" s="3">
        <f t="shared" si="7"/>
        <v>6400</v>
      </c>
      <c r="M31" s="3">
        <f t="shared" si="5"/>
        <v>63867.398399999998</v>
      </c>
      <c r="N31" s="3">
        <f>$D$46+$D$43*Table6[[#This Row],[Umur (X)]]</f>
        <v>158.89586129294679</v>
      </c>
    </row>
    <row r="32" spans="3:14" x14ac:dyDescent="0.3">
      <c r="C32" s="3">
        <v>29</v>
      </c>
      <c r="D32" s="3">
        <v>48</v>
      </c>
      <c r="E32" s="16">
        <v>84.2</v>
      </c>
      <c r="F32" s="3">
        <f t="shared" si="0"/>
        <v>-20.700000000000003</v>
      </c>
      <c r="G32" s="3">
        <f t="shared" si="1"/>
        <v>-67.744666666666646</v>
      </c>
      <c r="H32" s="3">
        <f t="shared" si="2"/>
        <v>1402.3145999999997</v>
      </c>
      <c r="I32" s="3">
        <f t="shared" si="3"/>
        <v>428.49000000000012</v>
      </c>
      <c r="J32" s="3">
        <f t="shared" si="4"/>
        <v>1966486.2373731593</v>
      </c>
      <c r="K32" s="3">
        <f t="shared" si="6"/>
        <v>4041.6000000000004</v>
      </c>
      <c r="L32" s="3">
        <f t="shared" si="7"/>
        <v>2304</v>
      </c>
      <c r="M32" s="3">
        <f t="shared" si="5"/>
        <v>7089.64</v>
      </c>
      <c r="N32" s="3">
        <f>$D$46+$D$43*Table6[[#This Row],[Umur (X)]]</f>
        <v>139.21106235126851</v>
      </c>
    </row>
    <row r="33" spans="3:15" x14ac:dyDescent="0.3">
      <c r="C33" s="3">
        <v>30</v>
      </c>
      <c r="D33" s="3">
        <v>82</v>
      </c>
      <c r="E33" s="16">
        <v>84.03</v>
      </c>
      <c r="F33" s="3">
        <f t="shared" si="0"/>
        <v>13.299999999999997</v>
      </c>
      <c r="G33" s="3">
        <f>$E$4:$E$33-$E$35</f>
        <v>-67.914666666666648</v>
      </c>
      <c r="H33" s="3">
        <f t="shared" si="2"/>
        <v>-903.26506666666626</v>
      </c>
      <c r="I33" s="3">
        <f>F33^2</f>
        <v>176.88999999999993</v>
      </c>
      <c r="J33" s="3">
        <f t="shared" si="4"/>
        <v>815887.78066033707</v>
      </c>
      <c r="K33" s="3">
        <f t="shared" si="6"/>
        <v>6890.46</v>
      </c>
      <c r="L33" s="3">
        <f t="shared" si="7"/>
        <v>6724</v>
      </c>
      <c r="M33" s="3">
        <f t="shared" si="5"/>
        <v>7061.0409</v>
      </c>
      <c r="N33" s="3">
        <f>$D$46+$D$43*Table6[[#This Row],[Umur (X)]]</f>
        <v>160.12616122680168</v>
      </c>
    </row>
    <row r="34" spans="3:15" x14ac:dyDescent="0.3">
      <c r="C34" s="4" t="s">
        <v>50</v>
      </c>
      <c r="D34" s="3">
        <f t="shared" ref="D34:I34" si="8">SUM(D4:D33)</f>
        <v>2061</v>
      </c>
      <c r="E34" s="3">
        <f t="shared" si="8"/>
        <v>4558.3399999999992</v>
      </c>
      <c r="F34" s="3">
        <f t="shared" si="8"/>
        <v>-8.5265128291212022E-14</v>
      </c>
      <c r="G34" s="3">
        <f t="shared" si="8"/>
        <v>5.5422333389287814E-13</v>
      </c>
      <c r="H34" s="3">
        <f t="shared" si="8"/>
        <v>2697.002</v>
      </c>
      <c r="I34" s="3">
        <f t="shared" si="8"/>
        <v>4384.3</v>
      </c>
      <c r="J34" s="3">
        <f t="shared" ref="J34:M34" si="9">SUM(J4:J33)</f>
        <v>15601966.435117373</v>
      </c>
      <c r="K34" s="3">
        <f t="shared" si="9"/>
        <v>315854.95999999996</v>
      </c>
      <c r="L34" s="3">
        <f t="shared" si="9"/>
        <v>145975</v>
      </c>
      <c r="M34" s="3">
        <f t="shared" si="9"/>
        <v>800368.83279999986</v>
      </c>
      <c r="N34" s="3">
        <f>SUM(N4:N33)</f>
        <v>4558.3399999999974</v>
      </c>
    </row>
    <row r="35" spans="3:15" x14ac:dyDescent="0.3">
      <c r="C35" s="4" t="s">
        <v>117</v>
      </c>
      <c r="D35" s="3">
        <f>AVERAGE(D34/30)</f>
        <v>68.7</v>
      </c>
      <c r="E35" s="3">
        <f>AVERAGE(E34/30)</f>
        <v>151.94466666666665</v>
      </c>
      <c r="F35" s="3">
        <f>F34/30</f>
        <v>-2.8421709430404009E-15</v>
      </c>
      <c r="G35" s="3">
        <f>G34/30</f>
        <v>1.8474111129762605E-14</v>
      </c>
      <c r="H35" s="3">
        <f t="shared" ref="H35:M35" si="10">H34/30</f>
        <v>89.90006666666666</v>
      </c>
      <c r="I35" s="3">
        <f t="shared" si="10"/>
        <v>146.14333333333335</v>
      </c>
      <c r="J35" s="3">
        <f t="shared" si="10"/>
        <v>520065.5478372458</v>
      </c>
      <c r="K35" s="3">
        <f t="shared" si="10"/>
        <v>10528.498666666665</v>
      </c>
      <c r="L35" s="3">
        <f t="shared" si="10"/>
        <v>4865.833333333333</v>
      </c>
      <c r="M35" s="3">
        <f t="shared" si="10"/>
        <v>26678.961093333328</v>
      </c>
      <c r="N35" s="3">
        <f>N34/30</f>
        <v>151.94466666666659</v>
      </c>
    </row>
    <row r="39" spans="3:15" x14ac:dyDescent="0.3">
      <c r="C39" t="s">
        <v>121</v>
      </c>
      <c r="H39" t="s">
        <v>124</v>
      </c>
      <c r="K39" t="s">
        <v>132</v>
      </c>
      <c r="L39">
        <v>2</v>
      </c>
      <c r="N39" t="s">
        <v>133</v>
      </c>
      <c r="O39">
        <f>($D$46+$D$43*L39)</f>
        <v>110.91416387260603</v>
      </c>
    </row>
    <row r="40" spans="3:15" x14ac:dyDescent="0.3">
      <c r="K40" t="s">
        <v>132</v>
      </c>
      <c r="L40">
        <v>4</v>
      </c>
      <c r="N40" t="s">
        <v>133</v>
      </c>
      <c r="O40">
        <f>($D$46+$D$43*L40)</f>
        <v>112.14446380646092</v>
      </c>
    </row>
    <row r="41" spans="3:15" x14ac:dyDescent="0.3">
      <c r="K41" t="s">
        <v>132</v>
      </c>
      <c r="L41">
        <v>6</v>
      </c>
      <c r="N41" t="s">
        <v>133</v>
      </c>
      <c r="O41">
        <f t="shared" ref="O41:O42" si="11">($D$46+$D$43*L41)</f>
        <v>113.3747637403158</v>
      </c>
    </row>
    <row r="42" spans="3:15" x14ac:dyDescent="0.3">
      <c r="K42" t="s">
        <v>132</v>
      </c>
      <c r="L42">
        <v>8</v>
      </c>
      <c r="N42" t="s">
        <v>133</v>
      </c>
      <c r="O42">
        <f t="shared" si="11"/>
        <v>114.60506367417069</v>
      </c>
    </row>
    <row r="43" spans="3:15" x14ac:dyDescent="0.3">
      <c r="C43" t="s">
        <v>122</v>
      </c>
      <c r="D43">
        <f>H34/I34</f>
        <v>0.61514996692744561</v>
      </c>
    </row>
    <row r="44" spans="3:15" x14ac:dyDescent="0.3">
      <c r="H44" t="s">
        <v>131</v>
      </c>
      <c r="I44">
        <f>(D46*E34+D43*L34-C33*E35^2)/(N34-C33*E35^2)</f>
        <v>0.14946810273862071</v>
      </c>
      <c r="K44" s="4" t="s">
        <v>134</v>
      </c>
      <c r="L44" s="4" t="s">
        <v>115</v>
      </c>
    </row>
    <row r="45" spans="3:15" x14ac:dyDescent="0.3">
      <c r="K45" s="4">
        <v>2</v>
      </c>
      <c r="L45" s="4">
        <v>110.955</v>
      </c>
    </row>
    <row r="46" spans="3:15" x14ac:dyDescent="0.3">
      <c r="C46" t="s">
        <v>123</v>
      </c>
      <c r="D46">
        <f>E35-D43*D35</f>
        <v>109.68386393875113</v>
      </c>
      <c r="K46" s="4">
        <v>4</v>
      </c>
      <c r="L46" s="4">
        <v>112.1848</v>
      </c>
    </row>
    <row r="47" spans="3:15" x14ac:dyDescent="0.3">
      <c r="K47" s="4">
        <v>6</v>
      </c>
      <c r="L47" s="4">
        <v>113.4145</v>
      </c>
    </row>
    <row r="48" spans="3:15" x14ac:dyDescent="0.3">
      <c r="H48" t="s">
        <v>125</v>
      </c>
      <c r="I48">
        <f>SQRT(I44)</f>
        <v>0.38661104839181809</v>
      </c>
      <c r="K48" s="4">
        <v>8</v>
      </c>
      <c r="L48" s="4">
        <v>114.6443</v>
      </c>
    </row>
    <row r="50" spans="7:7" x14ac:dyDescent="0.3">
      <c r="G50" t="s">
        <v>126</v>
      </c>
    </row>
    <row r="51" spans="7:7" x14ac:dyDescent="0.3">
      <c r="G51" t="s">
        <v>127</v>
      </c>
    </row>
    <row r="52" spans="7:7" x14ac:dyDescent="0.3">
      <c r="G52" t="s">
        <v>128</v>
      </c>
    </row>
    <row r="53" spans="7:7" x14ac:dyDescent="0.3">
      <c r="G53" t="s">
        <v>129</v>
      </c>
    </row>
    <row r="54" spans="7:7" x14ac:dyDescent="0.3">
      <c r="G54" t="s">
        <v>130</v>
      </c>
    </row>
  </sheetData>
  <mergeCells count="1">
    <mergeCell ref="C1:N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73B0-27E5-440B-B3F3-6DFC020C4EFE}">
  <dimension ref="A1:Q159"/>
  <sheetViews>
    <sheetView zoomScale="81" zoomScaleNormal="36" workbookViewId="0">
      <selection activeCell="C2" sqref="C2"/>
    </sheetView>
  </sheetViews>
  <sheetFormatPr defaultRowHeight="14.4" x14ac:dyDescent="0.3"/>
  <cols>
    <col min="2" max="2" width="8.88671875" bestFit="1" customWidth="1"/>
    <col min="3" max="3" width="16" customWidth="1"/>
    <col min="4" max="4" width="17.109375" bestFit="1" customWidth="1"/>
    <col min="5" max="6" width="12.33203125" bestFit="1" customWidth="1"/>
    <col min="14" max="14" width="12.109375" bestFit="1" customWidth="1"/>
    <col min="15" max="15" width="11.88671875" bestFit="1" customWidth="1"/>
  </cols>
  <sheetData>
    <row r="1" spans="1:3" x14ac:dyDescent="0.3">
      <c r="A1" s="11" t="s">
        <v>70</v>
      </c>
      <c r="B1" s="12" t="s">
        <v>111</v>
      </c>
      <c r="C1" s="12" t="s">
        <v>116</v>
      </c>
    </row>
    <row r="2" spans="1:3" x14ac:dyDescent="0.3">
      <c r="A2" s="3">
        <v>1</v>
      </c>
      <c r="B2" s="3">
        <v>67</v>
      </c>
      <c r="C2" s="17">
        <v>228</v>
      </c>
    </row>
    <row r="3" spans="1:3" x14ac:dyDescent="0.3">
      <c r="A3" s="3">
        <v>2</v>
      </c>
      <c r="B3" s="3">
        <v>80</v>
      </c>
      <c r="C3" s="16">
        <v>105.92</v>
      </c>
    </row>
    <row r="4" spans="1:3" x14ac:dyDescent="0.3">
      <c r="A4" s="3">
        <v>3</v>
      </c>
      <c r="B4" s="3">
        <v>49</v>
      </c>
      <c r="C4" s="17">
        <v>171.23</v>
      </c>
    </row>
    <row r="5" spans="1:3" x14ac:dyDescent="0.3">
      <c r="A5" s="3">
        <v>4</v>
      </c>
      <c r="B5" s="3">
        <v>79</v>
      </c>
      <c r="C5" s="16">
        <v>174.12</v>
      </c>
    </row>
    <row r="6" spans="1:3" x14ac:dyDescent="0.3">
      <c r="A6" s="3">
        <v>5</v>
      </c>
      <c r="B6" s="3">
        <v>81</v>
      </c>
      <c r="C6" s="17">
        <v>186.21</v>
      </c>
    </row>
    <row r="7" spans="1:3" x14ac:dyDescent="0.3">
      <c r="A7" s="3">
        <v>6</v>
      </c>
      <c r="B7" s="3">
        <v>74</v>
      </c>
      <c r="C7" s="16">
        <v>70.09</v>
      </c>
    </row>
    <row r="8" spans="1:3" x14ac:dyDescent="0.3">
      <c r="A8" s="3">
        <v>7</v>
      </c>
      <c r="B8" s="3">
        <v>69</v>
      </c>
      <c r="C8" s="17">
        <v>94.39</v>
      </c>
    </row>
    <row r="9" spans="1:3" x14ac:dyDescent="0.3">
      <c r="A9" s="3">
        <v>8</v>
      </c>
      <c r="B9" s="3">
        <v>78</v>
      </c>
      <c r="C9" s="16">
        <v>58.57</v>
      </c>
    </row>
    <row r="10" spans="1:3" x14ac:dyDescent="0.3">
      <c r="A10" s="3">
        <v>9</v>
      </c>
      <c r="B10" s="3">
        <v>81</v>
      </c>
      <c r="C10" s="17">
        <v>80.430000000000007</v>
      </c>
    </row>
    <row r="11" spans="1:3" x14ac:dyDescent="0.3">
      <c r="A11" s="3">
        <v>10</v>
      </c>
      <c r="B11" s="3">
        <v>61</v>
      </c>
      <c r="C11" s="16">
        <v>120.46</v>
      </c>
    </row>
    <row r="12" spans="1:3" x14ac:dyDescent="0.3">
      <c r="A12" s="3">
        <v>11</v>
      </c>
      <c r="B12" s="3">
        <v>54</v>
      </c>
      <c r="C12" s="17">
        <v>104.51</v>
      </c>
    </row>
    <row r="13" spans="1:3" x14ac:dyDescent="0.3">
      <c r="A13" s="3">
        <v>12</v>
      </c>
      <c r="B13" s="3">
        <v>79</v>
      </c>
      <c r="C13" s="16">
        <v>214.09</v>
      </c>
    </row>
    <row r="14" spans="1:3" x14ac:dyDescent="0.3">
      <c r="A14" s="3">
        <v>13</v>
      </c>
      <c r="B14" s="3">
        <v>50</v>
      </c>
      <c r="C14" s="17">
        <v>167.41</v>
      </c>
    </row>
    <row r="15" spans="1:3" x14ac:dyDescent="0.3">
      <c r="A15" s="3">
        <v>14</v>
      </c>
      <c r="B15" s="3">
        <v>64</v>
      </c>
      <c r="C15" s="16">
        <v>191.61</v>
      </c>
    </row>
    <row r="16" spans="1:3" x14ac:dyDescent="0.3">
      <c r="A16" s="3">
        <v>15</v>
      </c>
      <c r="B16" s="3">
        <v>75</v>
      </c>
      <c r="C16" s="17">
        <v>221.29</v>
      </c>
    </row>
    <row r="17" spans="1:3" x14ac:dyDescent="0.3">
      <c r="A17" s="3">
        <v>16</v>
      </c>
      <c r="B17" s="3">
        <v>60</v>
      </c>
      <c r="C17" s="16">
        <v>89.22</v>
      </c>
    </row>
    <row r="18" spans="1:3" x14ac:dyDescent="0.3">
      <c r="A18" s="3">
        <v>17</v>
      </c>
      <c r="B18" s="3">
        <v>71</v>
      </c>
      <c r="C18" s="17">
        <v>193.94</v>
      </c>
    </row>
    <row r="19" spans="1:3" x14ac:dyDescent="0.3">
      <c r="A19" s="3">
        <v>18</v>
      </c>
      <c r="B19" s="3">
        <v>52</v>
      </c>
      <c r="C19" s="16">
        <v>233.29</v>
      </c>
    </row>
    <row r="20" spans="1:3" x14ac:dyDescent="0.3">
      <c r="A20" s="3">
        <v>19</v>
      </c>
      <c r="B20" s="3">
        <v>79</v>
      </c>
      <c r="C20" s="17">
        <v>228.7</v>
      </c>
    </row>
    <row r="21" spans="1:3" x14ac:dyDescent="0.3">
      <c r="A21" s="3">
        <v>20</v>
      </c>
      <c r="B21" s="3">
        <v>82</v>
      </c>
      <c r="C21" s="16">
        <v>208.3</v>
      </c>
    </row>
    <row r="22" spans="1:3" x14ac:dyDescent="0.3">
      <c r="A22" s="3">
        <v>21</v>
      </c>
      <c r="B22" s="3">
        <v>71</v>
      </c>
      <c r="C22" s="17">
        <v>102.87</v>
      </c>
    </row>
    <row r="23" spans="1:3" x14ac:dyDescent="0.3">
      <c r="A23" s="3">
        <v>22</v>
      </c>
      <c r="B23" s="3">
        <v>80</v>
      </c>
      <c r="C23" s="16">
        <v>104.12</v>
      </c>
    </row>
    <row r="24" spans="1:3" x14ac:dyDescent="0.3">
      <c r="A24" s="3">
        <v>23</v>
      </c>
      <c r="B24" s="3">
        <v>65</v>
      </c>
      <c r="C24" s="17">
        <v>100.98</v>
      </c>
    </row>
    <row r="25" spans="1:3" x14ac:dyDescent="0.3">
      <c r="A25" s="3">
        <v>24</v>
      </c>
      <c r="B25" s="3">
        <v>69</v>
      </c>
      <c r="C25" s="16">
        <v>195.23</v>
      </c>
    </row>
    <row r="26" spans="1:3" x14ac:dyDescent="0.3">
      <c r="A26" s="3">
        <v>25</v>
      </c>
      <c r="B26" s="3">
        <v>57</v>
      </c>
      <c r="C26" s="17">
        <v>212.08</v>
      </c>
    </row>
    <row r="27" spans="1:3" x14ac:dyDescent="0.3">
      <c r="A27" s="3">
        <v>26</v>
      </c>
      <c r="B27" s="3">
        <v>42</v>
      </c>
      <c r="C27" s="16">
        <v>83.41</v>
      </c>
    </row>
    <row r="28" spans="1:3" x14ac:dyDescent="0.3">
      <c r="A28" s="3">
        <v>27</v>
      </c>
      <c r="B28" s="3">
        <v>82</v>
      </c>
      <c r="C28" s="17">
        <v>196.92</v>
      </c>
    </row>
    <row r="29" spans="1:3" x14ac:dyDescent="0.3">
      <c r="A29" s="3">
        <v>28</v>
      </c>
      <c r="B29" s="3">
        <v>80</v>
      </c>
      <c r="C29" s="16">
        <v>252.72</v>
      </c>
    </row>
    <row r="30" spans="1:3" x14ac:dyDescent="0.3">
      <c r="A30" s="3">
        <v>29</v>
      </c>
      <c r="B30" s="3">
        <v>48</v>
      </c>
      <c r="C30" s="17">
        <v>84.2</v>
      </c>
    </row>
    <row r="31" spans="1:3" x14ac:dyDescent="0.3">
      <c r="A31" s="3">
        <v>30</v>
      </c>
      <c r="B31" s="3">
        <v>82</v>
      </c>
      <c r="C31" s="16">
        <v>84.03</v>
      </c>
    </row>
    <row r="32" spans="1:3" x14ac:dyDescent="0.3">
      <c r="A32" s="4" t="s">
        <v>50</v>
      </c>
      <c r="B32" s="3">
        <f>SUM(B2:B31)</f>
        <v>2061</v>
      </c>
      <c r="C32" s="3">
        <f>SUM(C2:C31)</f>
        <v>4558.3399999999992</v>
      </c>
    </row>
    <row r="33" spans="1:17" x14ac:dyDescent="0.3">
      <c r="A33" s="4" t="s">
        <v>117</v>
      </c>
      <c r="B33" s="3">
        <f>AVERAGE(B32/30)</f>
        <v>68.7</v>
      </c>
      <c r="C33" s="3">
        <f>AVERAGE(C32/30)</f>
        <v>151.94466666666665</v>
      </c>
    </row>
    <row r="35" spans="1:17" ht="15" thickBot="1" x14ac:dyDescent="0.35">
      <c r="A35" s="29" t="s">
        <v>138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 spans="1:17" ht="15" thickTop="1" x14ac:dyDescent="0.3"/>
    <row r="37" spans="1:17" x14ac:dyDescent="0.3">
      <c r="A37" s="13" t="s">
        <v>139</v>
      </c>
      <c r="B37" s="14" t="s">
        <v>140</v>
      </c>
      <c r="C37" s="14"/>
      <c r="D37" s="14"/>
      <c r="E37" s="14"/>
      <c r="F37" s="14"/>
    </row>
    <row r="38" spans="1:17" x14ac:dyDescent="0.3">
      <c r="B38" s="4" t="s">
        <v>141</v>
      </c>
      <c r="C38" s="4" t="s">
        <v>142</v>
      </c>
      <c r="D38" s="4" t="s">
        <v>134</v>
      </c>
      <c r="E38" s="4" t="s">
        <v>143</v>
      </c>
    </row>
    <row r="39" spans="1:17" x14ac:dyDescent="0.3">
      <c r="B39" s="4">
        <v>30</v>
      </c>
      <c r="C39" s="4">
        <v>1</v>
      </c>
      <c r="D39" s="4">
        <v>82</v>
      </c>
      <c r="E39" s="4">
        <v>84</v>
      </c>
    </row>
    <row r="40" spans="1:17" x14ac:dyDescent="0.3">
      <c r="B40" s="4">
        <v>18</v>
      </c>
      <c r="C40" s="4">
        <v>2</v>
      </c>
      <c r="D40" s="4">
        <v>52</v>
      </c>
      <c r="E40" s="4">
        <v>233</v>
      </c>
    </row>
    <row r="57" spans="1:13" x14ac:dyDescent="0.3">
      <c r="A57" s="13" t="s">
        <v>139</v>
      </c>
      <c r="B57" s="14" t="s">
        <v>144</v>
      </c>
      <c r="C57" s="14"/>
      <c r="D57" s="14"/>
      <c r="E57" s="14"/>
      <c r="F57" s="14"/>
    </row>
    <row r="59" spans="1:13" x14ac:dyDescent="0.3">
      <c r="B59" s="11" t="s">
        <v>70</v>
      </c>
      <c r="C59" s="12" t="s">
        <v>111</v>
      </c>
      <c r="D59" s="12" t="s">
        <v>116</v>
      </c>
      <c r="E59" s="25" t="s">
        <v>145</v>
      </c>
      <c r="F59" s="24" t="s">
        <v>146</v>
      </c>
      <c r="G59" s="20" t="s">
        <v>147</v>
      </c>
      <c r="H59" s="20" t="s">
        <v>148</v>
      </c>
      <c r="K59" s="4" t="s">
        <v>141</v>
      </c>
      <c r="L59" s="4" t="s">
        <v>145</v>
      </c>
      <c r="M59" s="4" t="s">
        <v>146</v>
      </c>
    </row>
    <row r="60" spans="1:13" x14ac:dyDescent="0.3">
      <c r="B60" s="3">
        <v>1</v>
      </c>
      <c r="C60" s="3">
        <v>67</v>
      </c>
      <c r="D60" s="21">
        <v>228</v>
      </c>
      <c r="E60" s="3">
        <f>SQRT(($C$60:$C$89-$D$39)^2+($D$60:$D$89-$E$39)^2)</f>
        <v>144.77914214416384</v>
      </c>
      <c r="F60" s="3">
        <f>SQRT(($C$60:$C$89-$D$40)^2+($D$60:$D$89-$E$40)^2)</f>
        <v>15.811388300841896</v>
      </c>
      <c r="G60" s="3">
        <f>MIN(E60:F60)</f>
        <v>15.811388300841896</v>
      </c>
      <c r="H60" s="23">
        <f>IF(AND(E60&lt;F60),1,2)</f>
        <v>2</v>
      </c>
      <c r="K60" s="4">
        <v>1</v>
      </c>
      <c r="L60" s="4"/>
      <c r="M60" s="4">
        <v>1</v>
      </c>
    </row>
    <row r="61" spans="1:13" x14ac:dyDescent="0.3">
      <c r="B61" s="3">
        <v>2</v>
      </c>
      <c r="C61" s="3">
        <v>80</v>
      </c>
      <c r="D61" s="22">
        <v>105.92</v>
      </c>
      <c r="E61" s="3">
        <f>SQRT(($C$60:$C$89-$D$39)^2+($D$60:$D$89-$E$39)^2)</f>
        <v>22.011051769508882</v>
      </c>
      <c r="F61" s="3">
        <f t="shared" ref="F61:F89" si="0">SQRT(($C$60:$C$89-$D$40)^2+($D$60:$D$89-$E$40)^2)</f>
        <v>130.12811533254447</v>
      </c>
      <c r="G61" s="3">
        <f t="shared" ref="G61:G89" si="1">MIN(E61:F61)</f>
        <v>22.011051769508882</v>
      </c>
      <c r="H61" s="3">
        <f t="shared" ref="H61:H89" si="2">IF(AND(E61&lt;F61),1,2)</f>
        <v>1</v>
      </c>
      <c r="K61" s="4">
        <v>2</v>
      </c>
      <c r="L61" s="4">
        <v>1</v>
      </c>
      <c r="M61" s="4"/>
    </row>
    <row r="62" spans="1:13" x14ac:dyDescent="0.3">
      <c r="B62" s="3">
        <v>3</v>
      </c>
      <c r="C62" s="3">
        <v>49</v>
      </c>
      <c r="D62" s="21">
        <v>171.23</v>
      </c>
      <c r="E62" s="3">
        <f>SQRT(($C$60:$C$89-$D$39)^2+($D$60:$D$89-$E$39)^2)</f>
        <v>93.263459618437906</v>
      </c>
      <c r="F62" s="3">
        <f t="shared" si="0"/>
        <v>61.842807989288467</v>
      </c>
      <c r="G62" s="3">
        <f t="shared" si="1"/>
        <v>61.842807989288467</v>
      </c>
      <c r="H62" s="23">
        <f t="shared" si="2"/>
        <v>2</v>
      </c>
      <c r="K62" s="4">
        <v>3</v>
      </c>
      <c r="L62" s="4"/>
      <c r="M62" s="4">
        <v>1</v>
      </c>
    </row>
    <row r="63" spans="1:13" x14ac:dyDescent="0.3">
      <c r="B63" s="3">
        <v>4</v>
      </c>
      <c r="C63" s="3">
        <v>79</v>
      </c>
      <c r="D63" s="22">
        <v>174.12</v>
      </c>
      <c r="E63" s="3">
        <f t="shared" ref="E63:E89" si="3">SQRT(($C$60:$C$89-$D$39)^2+($D$60:$D$89-$E$39)^2)</f>
        <v>90.169919596282227</v>
      </c>
      <c r="F63" s="3">
        <f t="shared" si="0"/>
        <v>64.775415089368579</v>
      </c>
      <c r="G63" s="3">
        <f t="shared" si="1"/>
        <v>64.775415089368579</v>
      </c>
      <c r="H63" s="23">
        <f t="shared" si="2"/>
        <v>2</v>
      </c>
      <c r="K63" s="4">
        <v>4</v>
      </c>
      <c r="L63" s="4"/>
      <c r="M63" s="4">
        <v>1</v>
      </c>
    </row>
    <row r="64" spans="1:13" x14ac:dyDescent="0.3">
      <c r="B64" s="3">
        <v>5</v>
      </c>
      <c r="C64" s="3">
        <v>81</v>
      </c>
      <c r="D64" s="21">
        <v>186.21</v>
      </c>
      <c r="E64" s="3">
        <f t="shared" si="3"/>
        <v>102.21489177218749</v>
      </c>
      <c r="F64" s="3">
        <f t="shared" si="0"/>
        <v>55.048197972322392</v>
      </c>
      <c r="G64" s="3">
        <f t="shared" si="1"/>
        <v>55.048197972322392</v>
      </c>
      <c r="H64" s="23">
        <f t="shared" si="2"/>
        <v>2</v>
      </c>
      <c r="K64" s="4">
        <v>5</v>
      </c>
      <c r="L64" s="4"/>
      <c r="M64" s="4">
        <v>1</v>
      </c>
    </row>
    <row r="65" spans="2:13" x14ac:dyDescent="0.3">
      <c r="B65" s="3">
        <v>6</v>
      </c>
      <c r="C65" s="3">
        <v>74</v>
      </c>
      <c r="D65" s="22">
        <v>70.09</v>
      </c>
      <c r="E65" s="3">
        <f t="shared" si="3"/>
        <v>16.046435741310276</v>
      </c>
      <c r="F65" s="3">
        <f t="shared" si="0"/>
        <v>164.38877121020158</v>
      </c>
      <c r="G65" s="3">
        <f t="shared" si="1"/>
        <v>16.046435741310276</v>
      </c>
      <c r="H65" s="3">
        <f t="shared" si="2"/>
        <v>1</v>
      </c>
      <c r="K65" s="4">
        <v>6</v>
      </c>
      <c r="L65" s="4">
        <v>1</v>
      </c>
      <c r="M65" s="4"/>
    </row>
    <row r="66" spans="2:13" x14ac:dyDescent="0.3">
      <c r="B66" s="3">
        <v>7</v>
      </c>
      <c r="C66" s="3">
        <v>69</v>
      </c>
      <c r="D66" s="21">
        <v>94.39</v>
      </c>
      <c r="E66" s="3">
        <f t="shared" si="3"/>
        <v>16.641877898843028</v>
      </c>
      <c r="F66" s="3">
        <f t="shared" si="0"/>
        <v>139.64860221283993</v>
      </c>
      <c r="G66" s="3">
        <f t="shared" si="1"/>
        <v>16.641877898843028</v>
      </c>
      <c r="H66" s="3">
        <f t="shared" si="2"/>
        <v>1</v>
      </c>
      <c r="K66" s="4">
        <v>7</v>
      </c>
      <c r="L66" s="4">
        <v>1</v>
      </c>
      <c r="M66" s="4"/>
    </row>
    <row r="67" spans="2:13" x14ac:dyDescent="0.3">
      <c r="B67" s="3">
        <v>8</v>
      </c>
      <c r="C67" s="3">
        <v>78</v>
      </c>
      <c r="D67" s="22">
        <v>58.57</v>
      </c>
      <c r="E67" s="3">
        <f t="shared" si="3"/>
        <v>25.742666917007647</v>
      </c>
      <c r="F67" s="3">
        <f t="shared" si="0"/>
        <v>176.35709483885248</v>
      </c>
      <c r="G67" s="3">
        <f t="shared" si="1"/>
        <v>25.742666917007647</v>
      </c>
      <c r="H67" s="3">
        <f t="shared" si="2"/>
        <v>1</v>
      </c>
      <c r="K67" s="4">
        <v>8</v>
      </c>
      <c r="L67" s="4">
        <v>1</v>
      </c>
      <c r="M67" s="4"/>
    </row>
    <row r="68" spans="2:13" x14ac:dyDescent="0.3">
      <c r="B68" s="3">
        <v>9</v>
      </c>
      <c r="C68" s="3">
        <v>81</v>
      </c>
      <c r="D68" s="21">
        <v>80.430000000000007</v>
      </c>
      <c r="E68" s="3">
        <f t="shared" si="3"/>
        <v>3.707411495909235</v>
      </c>
      <c r="F68" s="3">
        <f t="shared" si="0"/>
        <v>155.30165775032796</v>
      </c>
      <c r="G68" s="3">
        <f t="shared" si="1"/>
        <v>3.707411495909235</v>
      </c>
      <c r="H68" s="3">
        <f t="shared" si="2"/>
        <v>1</v>
      </c>
      <c r="K68" s="4">
        <v>9</v>
      </c>
      <c r="L68" s="4">
        <v>1</v>
      </c>
      <c r="M68" s="4"/>
    </row>
    <row r="69" spans="2:13" x14ac:dyDescent="0.3">
      <c r="B69" s="3">
        <v>10</v>
      </c>
      <c r="C69" s="3">
        <v>61</v>
      </c>
      <c r="D69" s="22">
        <v>120.46</v>
      </c>
      <c r="E69" s="3">
        <f t="shared" si="3"/>
        <v>42.075308673852881</v>
      </c>
      <c r="F69" s="3">
        <f t="shared" si="0"/>
        <v>112.89929849206328</v>
      </c>
      <c r="G69" s="3">
        <f t="shared" si="1"/>
        <v>42.075308673852881</v>
      </c>
      <c r="H69" s="3">
        <f t="shared" si="2"/>
        <v>1</v>
      </c>
      <c r="K69" s="4">
        <v>10</v>
      </c>
      <c r="L69" s="4">
        <v>1</v>
      </c>
      <c r="M69" s="4"/>
    </row>
    <row r="70" spans="2:13" x14ac:dyDescent="0.3">
      <c r="B70" s="3">
        <v>11</v>
      </c>
      <c r="C70" s="3">
        <v>54</v>
      </c>
      <c r="D70" s="21">
        <v>104.51</v>
      </c>
      <c r="E70" s="3">
        <f t="shared" si="3"/>
        <v>34.708213725284111</v>
      </c>
      <c r="F70" s="3">
        <f t="shared" si="0"/>
        <v>128.5055644709598</v>
      </c>
      <c r="G70" s="3">
        <f t="shared" si="1"/>
        <v>34.708213725284111</v>
      </c>
      <c r="H70" s="3">
        <f t="shared" si="2"/>
        <v>1</v>
      </c>
      <c r="K70" s="4">
        <v>11</v>
      </c>
      <c r="L70" s="4">
        <v>1</v>
      </c>
      <c r="M70" s="4"/>
    </row>
    <row r="71" spans="2:13" x14ac:dyDescent="0.3">
      <c r="B71" s="3">
        <v>12</v>
      </c>
      <c r="C71" s="3">
        <v>79</v>
      </c>
      <c r="D71" s="22">
        <v>214.09</v>
      </c>
      <c r="E71" s="3">
        <f t="shared" si="3"/>
        <v>130.1245868389214</v>
      </c>
      <c r="F71" s="3">
        <f t="shared" si="0"/>
        <v>32.963435803932818</v>
      </c>
      <c r="G71" s="3">
        <f t="shared" si="1"/>
        <v>32.963435803932818</v>
      </c>
      <c r="H71" s="23">
        <f t="shared" si="2"/>
        <v>2</v>
      </c>
      <c r="K71" s="4">
        <v>12</v>
      </c>
      <c r="L71" s="4"/>
      <c r="M71" s="4">
        <v>1</v>
      </c>
    </row>
    <row r="72" spans="2:13" x14ac:dyDescent="0.3">
      <c r="B72" s="3">
        <v>13</v>
      </c>
      <c r="C72" s="3">
        <v>50</v>
      </c>
      <c r="D72" s="21">
        <v>167.41</v>
      </c>
      <c r="E72" s="3">
        <f t="shared" si="3"/>
        <v>89.33771935750319</v>
      </c>
      <c r="F72" s="3">
        <f t="shared" si="0"/>
        <v>65.620485368518885</v>
      </c>
      <c r="G72" s="3">
        <f t="shared" si="1"/>
        <v>65.620485368518885</v>
      </c>
      <c r="H72" s="23">
        <f t="shared" si="2"/>
        <v>2</v>
      </c>
      <c r="K72" s="4">
        <v>13</v>
      </c>
      <c r="L72" s="4"/>
      <c r="M72" s="4">
        <v>1</v>
      </c>
    </row>
    <row r="73" spans="2:13" x14ac:dyDescent="0.3">
      <c r="B73" s="3">
        <v>14</v>
      </c>
      <c r="C73" s="3">
        <v>64</v>
      </c>
      <c r="D73" s="22">
        <v>191.61</v>
      </c>
      <c r="E73" s="3">
        <f t="shared" si="3"/>
        <v>109.10505075384917</v>
      </c>
      <c r="F73" s="3">
        <f t="shared" si="0"/>
        <v>43.094455559851305</v>
      </c>
      <c r="G73" s="3">
        <f t="shared" si="1"/>
        <v>43.094455559851305</v>
      </c>
      <c r="H73" s="23">
        <f t="shared" si="2"/>
        <v>2</v>
      </c>
      <c r="K73" s="4">
        <v>14</v>
      </c>
      <c r="L73" s="4"/>
      <c r="M73" s="4">
        <v>1</v>
      </c>
    </row>
    <row r="74" spans="2:13" x14ac:dyDescent="0.3">
      <c r="B74" s="3">
        <v>15</v>
      </c>
      <c r="C74" s="3">
        <v>75</v>
      </c>
      <c r="D74" s="21">
        <v>221.29</v>
      </c>
      <c r="E74" s="3">
        <f t="shared" si="3"/>
        <v>137.46833853655176</v>
      </c>
      <c r="F74" s="3">
        <f t="shared" si="0"/>
        <v>25.809380077793428</v>
      </c>
      <c r="G74" s="3">
        <f t="shared" si="1"/>
        <v>25.809380077793428</v>
      </c>
      <c r="H74" s="23">
        <f t="shared" si="2"/>
        <v>2</v>
      </c>
      <c r="K74" s="4">
        <v>15</v>
      </c>
      <c r="L74" s="4"/>
      <c r="M74" s="4">
        <v>1</v>
      </c>
    </row>
    <row r="75" spans="2:13" x14ac:dyDescent="0.3">
      <c r="B75" s="3">
        <v>16</v>
      </c>
      <c r="C75" s="3">
        <v>60</v>
      </c>
      <c r="D75" s="22">
        <v>89.22</v>
      </c>
      <c r="E75" s="3">
        <f t="shared" si="3"/>
        <v>22.610802727899777</v>
      </c>
      <c r="F75" s="3">
        <f t="shared" si="0"/>
        <v>144.00239025793982</v>
      </c>
      <c r="G75" s="3">
        <f t="shared" si="1"/>
        <v>22.610802727899777</v>
      </c>
      <c r="H75" s="3">
        <f t="shared" si="2"/>
        <v>1</v>
      </c>
      <c r="K75" s="4">
        <v>16</v>
      </c>
      <c r="L75" s="4">
        <v>1</v>
      </c>
      <c r="M75" s="4"/>
    </row>
    <row r="76" spans="2:13" x14ac:dyDescent="0.3">
      <c r="B76" s="3">
        <v>17</v>
      </c>
      <c r="C76" s="3">
        <v>71</v>
      </c>
      <c r="D76" s="21">
        <v>193.94</v>
      </c>
      <c r="E76" s="3">
        <f t="shared" si="3"/>
        <v>110.48892976221644</v>
      </c>
      <c r="F76" s="3">
        <f t="shared" si="0"/>
        <v>43.435971268063064</v>
      </c>
      <c r="G76" s="3">
        <f t="shared" si="1"/>
        <v>43.435971268063064</v>
      </c>
      <c r="H76" s="23">
        <f t="shared" si="2"/>
        <v>2</v>
      </c>
      <c r="K76" s="4">
        <v>17</v>
      </c>
      <c r="L76" s="4"/>
      <c r="M76" s="4">
        <v>1</v>
      </c>
    </row>
    <row r="77" spans="2:13" x14ac:dyDescent="0.3">
      <c r="B77" s="3">
        <v>18</v>
      </c>
      <c r="C77" s="3">
        <v>52</v>
      </c>
      <c r="D77" s="22">
        <v>233.29</v>
      </c>
      <c r="E77" s="3">
        <f t="shared" si="3"/>
        <v>152.27443679094662</v>
      </c>
      <c r="F77" s="3">
        <f t="shared" si="0"/>
        <v>0.28999999999999204</v>
      </c>
      <c r="G77" s="3">
        <f t="shared" si="1"/>
        <v>0.28999999999999204</v>
      </c>
      <c r="H77" s="23">
        <f t="shared" si="2"/>
        <v>2</v>
      </c>
      <c r="K77" s="4">
        <v>18</v>
      </c>
      <c r="L77" s="4"/>
      <c r="M77" s="4">
        <v>1</v>
      </c>
    </row>
    <row r="78" spans="2:13" x14ac:dyDescent="0.3">
      <c r="B78" s="3">
        <v>19</v>
      </c>
      <c r="C78" s="3">
        <v>79</v>
      </c>
      <c r="D78" s="21">
        <v>228.7</v>
      </c>
      <c r="E78" s="3">
        <f t="shared" si="3"/>
        <v>144.73109548400438</v>
      </c>
      <c r="F78" s="3">
        <f t="shared" si="0"/>
        <v>27.340263349134005</v>
      </c>
      <c r="G78" s="3">
        <f t="shared" si="1"/>
        <v>27.340263349134005</v>
      </c>
      <c r="H78" s="23">
        <f t="shared" si="2"/>
        <v>2</v>
      </c>
      <c r="K78" s="4">
        <v>19</v>
      </c>
      <c r="L78" s="4"/>
      <c r="M78" s="4">
        <v>1</v>
      </c>
    </row>
    <row r="79" spans="2:13" x14ac:dyDescent="0.3">
      <c r="B79" s="3">
        <v>20</v>
      </c>
      <c r="C79" s="3">
        <v>82</v>
      </c>
      <c r="D79" s="22">
        <v>208.3</v>
      </c>
      <c r="E79" s="3">
        <f t="shared" si="3"/>
        <v>124.30000000000001</v>
      </c>
      <c r="F79" s="3">
        <f t="shared" si="0"/>
        <v>38.859876479474295</v>
      </c>
      <c r="G79" s="3">
        <f t="shared" si="1"/>
        <v>38.859876479474295</v>
      </c>
      <c r="H79" s="23">
        <f t="shared" si="2"/>
        <v>2</v>
      </c>
      <c r="K79" s="4">
        <v>20</v>
      </c>
      <c r="L79" s="4"/>
      <c r="M79" s="4">
        <v>1</v>
      </c>
    </row>
    <row r="80" spans="2:13" x14ac:dyDescent="0.3">
      <c r="B80" s="3">
        <v>21</v>
      </c>
      <c r="C80" s="3">
        <v>71</v>
      </c>
      <c r="D80" s="21">
        <v>102.87</v>
      </c>
      <c r="E80" s="3">
        <f t="shared" si="3"/>
        <v>21.842090101453209</v>
      </c>
      <c r="F80" s="3">
        <f t="shared" si="0"/>
        <v>131.50975971387066</v>
      </c>
      <c r="G80" s="3">
        <f t="shared" si="1"/>
        <v>21.842090101453209</v>
      </c>
      <c r="H80" s="3">
        <f t="shared" si="2"/>
        <v>1</v>
      </c>
      <c r="K80" s="4">
        <v>21</v>
      </c>
      <c r="L80" s="4">
        <v>1</v>
      </c>
      <c r="M80" s="4"/>
    </row>
    <row r="81" spans="2:13" x14ac:dyDescent="0.3">
      <c r="B81" s="3">
        <v>22</v>
      </c>
      <c r="C81" s="3">
        <v>80</v>
      </c>
      <c r="D81" s="22">
        <v>104.12</v>
      </c>
      <c r="E81" s="3">
        <f t="shared" si="3"/>
        <v>20.219159230789003</v>
      </c>
      <c r="F81" s="3">
        <f t="shared" si="0"/>
        <v>131.88652091855329</v>
      </c>
      <c r="G81" s="3">
        <f t="shared" si="1"/>
        <v>20.219159230789003</v>
      </c>
      <c r="H81" s="3">
        <f t="shared" si="2"/>
        <v>1</v>
      </c>
      <c r="K81" s="4">
        <v>22</v>
      </c>
      <c r="L81" s="4">
        <v>1</v>
      </c>
      <c r="M81" s="4"/>
    </row>
    <row r="82" spans="2:13" x14ac:dyDescent="0.3">
      <c r="B82" s="3">
        <v>23</v>
      </c>
      <c r="C82" s="3">
        <v>65</v>
      </c>
      <c r="D82" s="21">
        <v>100.98</v>
      </c>
      <c r="E82" s="3">
        <f t="shared" si="3"/>
        <v>24.027492586618354</v>
      </c>
      <c r="F82" s="3">
        <f t="shared" si="0"/>
        <v>132.65851046955109</v>
      </c>
      <c r="G82" s="3">
        <f t="shared" si="1"/>
        <v>24.027492586618354</v>
      </c>
      <c r="H82" s="3">
        <f t="shared" si="2"/>
        <v>1</v>
      </c>
      <c r="K82" s="4">
        <v>23</v>
      </c>
      <c r="L82" s="4">
        <v>1</v>
      </c>
      <c r="M82" s="4"/>
    </row>
    <row r="83" spans="2:13" x14ac:dyDescent="0.3">
      <c r="B83" s="3">
        <v>24</v>
      </c>
      <c r="C83" s="3">
        <v>69</v>
      </c>
      <c r="D83" s="22">
        <v>195.23</v>
      </c>
      <c r="E83" s="3">
        <f t="shared" si="3"/>
        <v>111.98711041901205</v>
      </c>
      <c r="F83" s="3">
        <f t="shared" si="0"/>
        <v>41.419474888028226</v>
      </c>
      <c r="G83" s="3">
        <f t="shared" si="1"/>
        <v>41.419474888028226</v>
      </c>
      <c r="H83" s="23">
        <f t="shared" si="2"/>
        <v>2</v>
      </c>
      <c r="K83" s="4">
        <v>24</v>
      </c>
      <c r="L83" s="4"/>
      <c r="M83" s="4">
        <v>1</v>
      </c>
    </row>
    <row r="84" spans="2:13" x14ac:dyDescent="0.3">
      <c r="B84" s="3">
        <v>25</v>
      </c>
      <c r="C84" s="3">
        <v>57</v>
      </c>
      <c r="D84" s="21">
        <v>212.08</v>
      </c>
      <c r="E84" s="3">
        <f t="shared" si="3"/>
        <v>130.49707429670599</v>
      </c>
      <c r="F84" s="3">
        <f t="shared" si="0"/>
        <v>21.509216629156896</v>
      </c>
      <c r="G84" s="3">
        <f t="shared" si="1"/>
        <v>21.509216629156896</v>
      </c>
      <c r="H84" s="23">
        <f t="shared" si="2"/>
        <v>2</v>
      </c>
      <c r="K84" s="4">
        <v>25</v>
      </c>
      <c r="L84" s="4"/>
      <c r="M84" s="4">
        <v>1</v>
      </c>
    </row>
    <row r="85" spans="2:13" x14ac:dyDescent="0.3">
      <c r="B85" s="3">
        <v>26</v>
      </c>
      <c r="C85" s="3">
        <v>42</v>
      </c>
      <c r="D85" s="22">
        <v>83.41</v>
      </c>
      <c r="E85" s="3">
        <f t="shared" si="3"/>
        <v>40.00435101335853</v>
      </c>
      <c r="F85" s="3">
        <f t="shared" si="0"/>
        <v>149.92387434961785</v>
      </c>
      <c r="G85" s="3">
        <f t="shared" si="1"/>
        <v>40.00435101335853</v>
      </c>
      <c r="H85" s="3">
        <f t="shared" si="2"/>
        <v>1</v>
      </c>
      <c r="K85" s="4">
        <v>26</v>
      </c>
      <c r="L85" s="4">
        <v>1</v>
      </c>
      <c r="M85" s="4"/>
    </row>
    <row r="86" spans="2:13" x14ac:dyDescent="0.3">
      <c r="B86" s="3">
        <v>27</v>
      </c>
      <c r="C86" s="3">
        <v>82</v>
      </c>
      <c r="D86" s="21">
        <v>196.92</v>
      </c>
      <c r="E86" s="3">
        <f t="shared" si="3"/>
        <v>112.91999999999999</v>
      </c>
      <c r="F86" s="3">
        <f t="shared" si="0"/>
        <v>46.92298370734752</v>
      </c>
      <c r="G86" s="3">
        <f t="shared" si="1"/>
        <v>46.92298370734752</v>
      </c>
      <c r="H86" s="23">
        <f t="shared" si="2"/>
        <v>2</v>
      </c>
      <c r="K86" s="4">
        <v>27</v>
      </c>
      <c r="L86" s="4"/>
      <c r="M86" s="4">
        <v>1</v>
      </c>
    </row>
    <row r="87" spans="2:13" x14ac:dyDescent="0.3">
      <c r="B87" s="3">
        <v>28</v>
      </c>
      <c r="C87" s="3">
        <v>80</v>
      </c>
      <c r="D87" s="22">
        <v>252.72</v>
      </c>
      <c r="E87" s="3">
        <f t="shared" si="3"/>
        <v>168.73185354283285</v>
      </c>
      <c r="F87" s="3">
        <f t="shared" si="0"/>
        <v>34.247312303303453</v>
      </c>
      <c r="G87" s="3">
        <f t="shared" si="1"/>
        <v>34.247312303303453</v>
      </c>
      <c r="H87" s="23">
        <f t="shared" si="2"/>
        <v>2</v>
      </c>
      <c r="K87" s="4">
        <v>28</v>
      </c>
      <c r="L87" s="4"/>
      <c r="M87" s="4">
        <v>1</v>
      </c>
    </row>
    <row r="88" spans="2:13" x14ac:dyDescent="0.3">
      <c r="B88" s="3">
        <v>29</v>
      </c>
      <c r="C88" s="3">
        <v>48</v>
      </c>
      <c r="D88" s="21">
        <v>84.2</v>
      </c>
      <c r="E88" s="3">
        <f t="shared" si="3"/>
        <v>34.000588230205665</v>
      </c>
      <c r="F88" s="3">
        <f t="shared" si="0"/>
        <v>148.85375373164092</v>
      </c>
      <c r="G88" s="3">
        <f t="shared" si="1"/>
        <v>34.000588230205665</v>
      </c>
      <c r="H88" s="3">
        <f t="shared" si="2"/>
        <v>1</v>
      </c>
      <c r="K88" s="4">
        <v>29</v>
      </c>
      <c r="L88" s="4">
        <v>1</v>
      </c>
      <c r="M88" s="4"/>
    </row>
    <row r="89" spans="2:13" x14ac:dyDescent="0.3">
      <c r="B89" s="3">
        <v>30</v>
      </c>
      <c r="C89" s="3">
        <v>82</v>
      </c>
      <c r="D89" s="22">
        <v>84.03</v>
      </c>
      <c r="E89" s="3">
        <f t="shared" si="3"/>
        <v>3.0000000000001137E-2</v>
      </c>
      <c r="F89" s="3">
        <f t="shared" si="0"/>
        <v>151.96072156975302</v>
      </c>
      <c r="G89" s="3">
        <f t="shared" si="1"/>
        <v>3.0000000000001137E-2</v>
      </c>
      <c r="H89" s="3">
        <f t="shared" si="2"/>
        <v>1</v>
      </c>
      <c r="K89" s="4">
        <v>30</v>
      </c>
      <c r="L89" s="4">
        <v>1</v>
      </c>
      <c r="M89" s="4"/>
    </row>
    <row r="90" spans="2:13" x14ac:dyDescent="0.3">
      <c r="B90" s="5"/>
      <c r="C90" s="5"/>
      <c r="D90" s="5"/>
      <c r="E90" s="5"/>
      <c r="F90" s="5"/>
      <c r="G90" s="5"/>
      <c r="H90" s="5"/>
      <c r="K90" s="4" t="s">
        <v>149</v>
      </c>
      <c r="L90" s="4">
        <f>SUM(L60:L89)</f>
        <v>14</v>
      </c>
      <c r="M90" s="4">
        <f>SUM(M60:M89)</f>
        <v>16</v>
      </c>
    </row>
    <row r="104" spans="1:6" x14ac:dyDescent="0.3">
      <c r="A104" s="13" t="s">
        <v>139</v>
      </c>
      <c r="B104" s="14" t="s">
        <v>150</v>
      </c>
      <c r="C104" s="14"/>
      <c r="D104" s="14"/>
      <c r="E104" s="14"/>
      <c r="F104" s="14"/>
    </row>
    <row r="106" spans="1:6" x14ac:dyDescent="0.3">
      <c r="B106" t="s">
        <v>151</v>
      </c>
    </row>
    <row r="108" spans="1:6" x14ac:dyDescent="0.3">
      <c r="B108" t="s">
        <v>152</v>
      </c>
    </row>
    <row r="113" spans="2:14" x14ac:dyDescent="0.3">
      <c r="B113" t="s">
        <v>153</v>
      </c>
    </row>
    <row r="115" spans="2:14" x14ac:dyDescent="0.3">
      <c r="B115" t="s">
        <v>154</v>
      </c>
      <c r="C115" t="s">
        <v>155</v>
      </c>
      <c r="D115" t="s">
        <v>156</v>
      </c>
    </row>
    <row r="118" spans="2:14" x14ac:dyDescent="0.3">
      <c r="B118" t="s">
        <v>157</v>
      </c>
    </row>
    <row r="120" spans="2:14" x14ac:dyDescent="0.3">
      <c r="B120" s="30" t="s">
        <v>158</v>
      </c>
      <c r="C120" s="30"/>
      <c r="D120" s="4" t="s">
        <v>134</v>
      </c>
      <c r="E120" s="4" t="s">
        <v>143</v>
      </c>
    </row>
    <row r="121" spans="2:14" x14ac:dyDescent="0.3">
      <c r="B121" s="30" t="s">
        <v>159</v>
      </c>
      <c r="C121" s="30"/>
      <c r="D121" s="4">
        <f>(C61+C65+C66+C67+C68+C69+C70+C75+C80+C81+C82+C85+C88+C89)/L90</f>
        <v>67.5</v>
      </c>
      <c r="E121" s="4">
        <f>SUM(D61+D65+D66+D67+D68+D69+D70+D75+D80+D81+D82+D88+D89)/L90</f>
        <v>85.699285714285708</v>
      </c>
    </row>
    <row r="122" spans="2:14" x14ac:dyDescent="0.3">
      <c r="B122" s="30" t="s">
        <v>160</v>
      </c>
      <c r="C122" s="30"/>
      <c r="D122" s="4">
        <f>SUM(C60+C62+C63+C64+C71+C72+C73+C74+C76+C77+C78+C79+C83+C84+C86+C87)/M90</f>
        <v>69.75</v>
      </c>
      <c r="E122" s="4">
        <f>SUM(D60+D62+D63+D64+D71+D72+D73+D74+D76+D77+D78+D79+D83+D84+D86+D87)/M90</f>
        <v>204.69624999999999</v>
      </c>
    </row>
    <row r="124" spans="2:14" x14ac:dyDescent="0.3">
      <c r="B124" s="11" t="s">
        <v>70</v>
      </c>
      <c r="C124" s="12" t="s">
        <v>111</v>
      </c>
      <c r="D124" s="12" t="s">
        <v>116</v>
      </c>
      <c r="E124" s="18" t="s">
        <v>145</v>
      </c>
      <c r="F124" s="19" t="s">
        <v>146</v>
      </c>
      <c r="G124" s="4" t="s">
        <v>147</v>
      </c>
      <c r="H124" s="4" t="s">
        <v>148</v>
      </c>
      <c r="K124" s="4" t="s">
        <v>141</v>
      </c>
      <c r="L124" s="4" t="s">
        <v>145</v>
      </c>
      <c r="M124" s="4" t="s">
        <v>146</v>
      </c>
      <c r="N124" s="4" t="s">
        <v>161</v>
      </c>
    </row>
    <row r="125" spans="2:14" x14ac:dyDescent="0.3">
      <c r="B125" s="3">
        <v>1</v>
      </c>
      <c r="C125" s="3">
        <v>67</v>
      </c>
      <c r="D125" s="21">
        <v>228</v>
      </c>
      <c r="E125" s="4">
        <f t="array" ref="E125:E154">SQRT((C125:C154-D121)^2+(D125:D154-E121)^2)</f>
        <v>142.30159270445463</v>
      </c>
      <c r="F125" s="4">
        <f t="array" ref="F125:F154">SQRT((C125:C154-D122)^2+(D125:D154-E122)^2)</f>
        <v>23.465448303036965</v>
      </c>
      <c r="G125" s="4">
        <f>MIN(E125:F125)</f>
        <v>23.465448303036965</v>
      </c>
      <c r="H125" s="23">
        <f>IF(AND(E125&lt;F125),1,2)</f>
        <v>2</v>
      </c>
      <c r="K125" s="4">
        <v>1</v>
      </c>
      <c r="L125" s="4"/>
      <c r="M125" s="4">
        <v>1</v>
      </c>
      <c r="N125" s="4" t="s">
        <v>162</v>
      </c>
    </row>
    <row r="126" spans="2:14" x14ac:dyDescent="0.3">
      <c r="B126" s="3">
        <v>2</v>
      </c>
      <c r="C126" s="3">
        <v>80</v>
      </c>
      <c r="D126" s="22">
        <v>105.92</v>
      </c>
      <c r="E126" s="4">
        <v>23.772405983082365</v>
      </c>
      <c r="F126" s="4">
        <v>99.306646625804959</v>
      </c>
      <c r="G126" s="4">
        <f t="shared" ref="G126:G154" si="4">MIN(E126:F126)</f>
        <v>23.772405983082365</v>
      </c>
      <c r="H126" s="3">
        <f t="shared" ref="H126:H154" si="5">IF(AND(E126&lt;F126),1,2)</f>
        <v>1</v>
      </c>
      <c r="K126" s="4">
        <v>2</v>
      </c>
      <c r="L126" s="4">
        <v>1</v>
      </c>
      <c r="M126" s="4"/>
      <c r="N126" s="4" t="s">
        <v>162</v>
      </c>
    </row>
    <row r="127" spans="2:14" x14ac:dyDescent="0.3">
      <c r="B127" s="3">
        <v>3</v>
      </c>
      <c r="C127" s="3">
        <v>49</v>
      </c>
      <c r="D127" s="21">
        <v>171.23</v>
      </c>
      <c r="E127" s="4">
        <v>87.508588642626904</v>
      </c>
      <c r="F127" s="4">
        <v>39.377054093246997</v>
      </c>
      <c r="G127" s="4">
        <f t="shared" si="4"/>
        <v>39.377054093246997</v>
      </c>
      <c r="H127" s="23">
        <f t="shared" si="5"/>
        <v>2</v>
      </c>
      <c r="K127" s="4">
        <v>3</v>
      </c>
      <c r="L127" s="4"/>
      <c r="M127" s="4">
        <v>1</v>
      </c>
      <c r="N127" s="4" t="s">
        <v>162</v>
      </c>
    </row>
    <row r="128" spans="2:14" x14ac:dyDescent="0.3">
      <c r="B128" s="3">
        <v>4</v>
      </c>
      <c r="C128" s="3">
        <v>79</v>
      </c>
      <c r="D128" s="22">
        <v>174.12</v>
      </c>
      <c r="E128" s="4">
        <v>89.165423314174419</v>
      </c>
      <c r="F128" s="4">
        <v>31.944789310034576</v>
      </c>
      <c r="G128" s="4">
        <f t="shared" si="4"/>
        <v>31.944789310034576</v>
      </c>
      <c r="H128" s="23">
        <f t="shared" si="5"/>
        <v>2</v>
      </c>
      <c r="K128" s="4">
        <v>4</v>
      </c>
      <c r="L128" s="4"/>
      <c r="M128" s="4">
        <v>1</v>
      </c>
      <c r="N128" s="4" t="s">
        <v>162</v>
      </c>
    </row>
    <row r="129" spans="2:14" x14ac:dyDescent="0.3">
      <c r="B129" s="3">
        <v>5</v>
      </c>
      <c r="C129" s="3">
        <v>81</v>
      </c>
      <c r="D129" s="21">
        <v>186.21</v>
      </c>
      <c r="E129" s="4">
        <v>101.41328160662435</v>
      </c>
      <c r="F129" s="4">
        <v>21.640331306671332</v>
      </c>
      <c r="G129" s="4">
        <f t="shared" si="4"/>
        <v>21.640331306671332</v>
      </c>
      <c r="H129" s="23">
        <f t="shared" si="5"/>
        <v>2</v>
      </c>
      <c r="K129" s="4">
        <v>5</v>
      </c>
      <c r="L129" s="4"/>
      <c r="M129" s="4">
        <v>1</v>
      </c>
      <c r="N129" s="4" t="s">
        <v>162</v>
      </c>
    </row>
    <row r="130" spans="2:14" x14ac:dyDescent="0.3">
      <c r="B130" s="3">
        <v>6</v>
      </c>
      <c r="C130" s="3">
        <v>74</v>
      </c>
      <c r="D130" s="22">
        <v>70.09</v>
      </c>
      <c r="E130" s="4">
        <v>16.908571805749997</v>
      </c>
      <c r="F130" s="4">
        <v>134.67332712553923</v>
      </c>
      <c r="G130" s="4">
        <f t="shared" si="4"/>
        <v>16.908571805749997</v>
      </c>
      <c r="H130" s="3">
        <f t="shared" si="5"/>
        <v>1</v>
      </c>
      <c r="K130" s="4">
        <v>6</v>
      </c>
      <c r="L130" s="4">
        <v>1</v>
      </c>
      <c r="M130" s="4"/>
      <c r="N130" s="4" t="s">
        <v>162</v>
      </c>
    </row>
    <row r="131" spans="2:14" x14ac:dyDescent="0.3">
      <c r="B131" s="3">
        <v>7</v>
      </c>
      <c r="C131" s="3">
        <v>69</v>
      </c>
      <c r="D131" s="21">
        <v>94.39</v>
      </c>
      <c r="E131" s="4">
        <v>8.8192128217839549</v>
      </c>
      <c r="F131" s="4">
        <v>110.30879969006324</v>
      </c>
      <c r="G131" s="4">
        <f t="shared" si="4"/>
        <v>8.8192128217839549</v>
      </c>
      <c r="H131" s="3">
        <f t="shared" si="5"/>
        <v>1</v>
      </c>
      <c r="K131" s="4">
        <v>7</v>
      </c>
      <c r="L131" s="4">
        <v>1</v>
      </c>
      <c r="M131" s="4"/>
      <c r="N131" s="4" t="s">
        <v>162</v>
      </c>
    </row>
    <row r="132" spans="2:14" x14ac:dyDescent="0.3">
      <c r="B132" s="3">
        <v>8</v>
      </c>
      <c r="C132" s="3">
        <v>78</v>
      </c>
      <c r="D132" s="22">
        <v>58.57</v>
      </c>
      <c r="E132" s="4">
        <v>29.090344504102156</v>
      </c>
      <c r="F132" s="4">
        <v>146.35895407887588</v>
      </c>
      <c r="G132" s="4">
        <f t="shared" si="4"/>
        <v>29.090344504102156</v>
      </c>
      <c r="H132" s="3">
        <f t="shared" si="5"/>
        <v>1</v>
      </c>
      <c r="K132" s="4">
        <v>8</v>
      </c>
      <c r="L132" s="4">
        <v>1</v>
      </c>
      <c r="M132" s="4"/>
      <c r="N132" s="4" t="s">
        <v>162</v>
      </c>
    </row>
    <row r="133" spans="2:14" x14ac:dyDescent="0.3">
      <c r="B133" s="3">
        <v>9</v>
      </c>
      <c r="C133" s="3">
        <v>81</v>
      </c>
      <c r="D133" s="21">
        <v>80.430000000000007</v>
      </c>
      <c r="E133" s="4">
        <v>14.491907118760297</v>
      </c>
      <c r="F133" s="4">
        <v>124.77445006515755</v>
      </c>
      <c r="G133" s="4">
        <f t="shared" si="4"/>
        <v>14.491907118760297</v>
      </c>
      <c r="H133" s="3">
        <f t="shared" si="5"/>
        <v>1</v>
      </c>
      <c r="K133" s="4">
        <v>9</v>
      </c>
      <c r="L133" s="4">
        <v>1</v>
      </c>
      <c r="M133" s="4"/>
      <c r="N133" s="4" t="s">
        <v>162</v>
      </c>
    </row>
    <row r="134" spans="2:14" x14ac:dyDescent="0.3">
      <c r="B134" s="3">
        <v>10</v>
      </c>
      <c r="C134" s="3">
        <v>61</v>
      </c>
      <c r="D134" s="22">
        <v>120.46</v>
      </c>
      <c r="E134" s="4">
        <v>35.363218994501352</v>
      </c>
      <c r="F134" s="4">
        <v>84.689481720355914</v>
      </c>
      <c r="G134" s="4">
        <f t="shared" si="4"/>
        <v>35.363218994501352</v>
      </c>
      <c r="H134" s="3">
        <f t="shared" si="5"/>
        <v>1</v>
      </c>
      <c r="K134" s="4">
        <v>10</v>
      </c>
      <c r="L134" s="4">
        <v>1</v>
      </c>
      <c r="M134" s="4"/>
      <c r="N134" s="4" t="s">
        <v>162</v>
      </c>
    </row>
    <row r="135" spans="2:14" x14ac:dyDescent="0.3">
      <c r="B135" s="3">
        <v>11</v>
      </c>
      <c r="C135" s="3">
        <v>54</v>
      </c>
      <c r="D135" s="21">
        <v>104.51</v>
      </c>
      <c r="E135" s="4">
        <v>23.153681606577731</v>
      </c>
      <c r="F135" s="4">
        <v>101.41670074037361</v>
      </c>
      <c r="G135" s="4">
        <f t="shared" si="4"/>
        <v>23.153681606577731</v>
      </c>
      <c r="H135" s="3">
        <f t="shared" si="5"/>
        <v>1</v>
      </c>
      <c r="K135" s="4">
        <v>11</v>
      </c>
      <c r="L135" s="4">
        <v>1</v>
      </c>
      <c r="M135" s="4"/>
      <c r="N135" s="4" t="s">
        <v>162</v>
      </c>
    </row>
    <row r="136" spans="2:14" x14ac:dyDescent="0.3">
      <c r="B136" s="3">
        <v>12</v>
      </c>
      <c r="C136" s="3">
        <v>79</v>
      </c>
      <c r="D136" s="22">
        <v>214.09</v>
      </c>
      <c r="E136" s="4">
        <v>128.90471486643116</v>
      </c>
      <c r="F136" s="4">
        <v>13.1835139117953</v>
      </c>
      <c r="G136" s="4">
        <f t="shared" si="4"/>
        <v>13.1835139117953</v>
      </c>
      <c r="H136" s="23">
        <f t="shared" si="5"/>
        <v>2</v>
      </c>
      <c r="K136" s="4">
        <v>12</v>
      </c>
      <c r="L136" s="4"/>
      <c r="M136" s="4">
        <v>1</v>
      </c>
      <c r="N136" s="4" t="s">
        <v>162</v>
      </c>
    </row>
    <row r="137" spans="2:14" x14ac:dyDescent="0.3">
      <c r="B137" s="3">
        <v>13</v>
      </c>
      <c r="C137" s="3">
        <v>50</v>
      </c>
      <c r="D137" s="21">
        <v>167.41</v>
      </c>
      <c r="E137" s="4">
        <v>83.563693247017468</v>
      </c>
      <c r="F137" s="4">
        <v>42.193920641041402</v>
      </c>
      <c r="G137" s="4">
        <f t="shared" si="4"/>
        <v>42.193920641041402</v>
      </c>
      <c r="H137" s="23">
        <f t="shared" si="5"/>
        <v>2</v>
      </c>
      <c r="K137" s="4">
        <v>13</v>
      </c>
      <c r="L137" s="4"/>
      <c r="M137" s="4">
        <v>1</v>
      </c>
      <c r="N137" s="4" t="s">
        <v>162</v>
      </c>
    </row>
    <row r="138" spans="2:14" x14ac:dyDescent="0.3">
      <c r="B138" s="3">
        <v>14</v>
      </c>
      <c r="C138" s="3">
        <v>64</v>
      </c>
      <c r="D138" s="22">
        <v>191.61</v>
      </c>
      <c r="E138" s="4">
        <v>105.96853023662359</v>
      </c>
      <c r="F138" s="4">
        <v>14.293790227315476</v>
      </c>
      <c r="G138" s="4">
        <f t="shared" si="4"/>
        <v>14.293790227315476</v>
      </c>
      <c r="H138" s="23">
        <f t="shared" si="5"/>
        <v>2</v>
      </c>
      <c r="K138" s="4">
        <v>14</v>
      </c>
      <c r="L138" s="4"/>
      <c r="M138" s="4">
        <v>1</v>
      </c>
      <c r="N138" s="4" t="s">
        <v>162</v>
      </c>
    </row>
    <row r="139" spans="2:14" x14ac:dyDescent="0.3">
      <c r="B139" s="3">
        <v>15</v>
      </c>
      <c r="C139" s="3">
        <v>75</v>
      </c>
      <c r="D139" s="21">
        <v>221.29</v>
      </c>
      <c r="E139" s="4">
        <v>135.79798157745279</v>
      </c>
      <c r="F139" s="4">
        <v>17.404454575266069</v>
      </c>
      <c r="G139" s="4">
        <f t="shared" si="4"/>
        <v>17.404454575266069</v>
      </c>
      <c r="H139" s="23">
        <f t="shared" si="5"/>
        <v>2</v>
      </c>
      <c r="K139" s="4">
        <v>15</v>
      </c>
      <c r="L139" s="4"/>
      <c r="M139" s="4">
        <v>1</v>
      </c>
      <c r="N139" s="4" t="s">
        <v>162</v>
      </c>
    </row>
    <row r="140" spans="2:14" x14ac:dyDescent="0.3">
      <c r="B140" s="3">
        <v>16</v>
      </c>
      <c r="C140" s="3">
        <v>60</v>
      </c>
      <c r="D140" s="22">
        <v>89.22</v>
      </c>
      <c r="E140" s="4">
        <v>8.2852537125686556</v>
      </c>
      <c r="F140" s="4">
        <v>115.88712963078557</v>
      </c>
      <c r="G140" s="4">
        <f t="shared" si="4"/>
        <v>8.2852537125686556</v>
      </c>
      <c r="H140" s="3">
        <f t="shared" si="5"/>
        <v>1</v>
      </c>
      <c r="K140" s="4">
        <v>16</v>
      </c>
      <c r="L140" s="4">
        <v>1</v>
      </c>
      <c r="M140" s="4"/>
      <c r="N140" s="4" t="s">
        <v>162</v>
      </c>
    </row>
    <row r="141" spans="2:14" x14ac:dyDescent="0.3">
      <c r="B141" s="3">
        <v>17</v>
      </c>
      <c r="C141" s="3">
        <v>71</v>
      </c>
      <c r="D141" s="21">
        <v>193.94</v>
      </c>
      <c r="E141" s="4">
        <v>108.29728634218695</v>
      </c>
      <c r="F141" s="4">
        <v>10.828638606145274</v>
      </c>
      <c r="G141" s="4">
        <f t="shared" si="4"/>
        <v>10.828638606145274</v>
      </c>
      <c r="H141" s="23">
        <f t="shared" si="5"/>
        <v>2</v>
      </c>
      <c r="K141" s="4">
        <v>17</v>
      </c>
      <c r="L141" s="4"/>
      <c r="M141" s="4">
        <v>1</v>
      </c>
      <c r="N141" s="4" t="s">
        <v>162</v>
      </c>
    </row>
    <row r="142" spans="2:14" x14ac:dyDescent="0.3">
      <c r="B142" s="3">
        <v>18</v>
      </c>
      <c r="C142" s="3">
        <v>52</v>
      </c>
      <c r="D142" s="22">
        <v>233.29</v>
      </c>
      <c r="E142" s="4">
        <v>148.40238860398222</v>
      </c>
      <c r="F142" s="4">
        <v>33.655089348603724</v>
      </c>
      <c r="G142" s="4">
        <f t="shared" si="4"/>
        <v>33.655089348603724</v>
      </c>
      <c r="H142" s="23">
        <f t="shared" si="5"/>
        <v>2</v>
      </c>
      <c r="K142" s="4">
        <v>18</v>
      </c>
      <c r="L142" s="4"/>
      <c r="M142" s="4">
        <v>1</v>
      </c>
      <c r="N142" s="4" t="s">
        <v>162</v>
      </c>
    </row>
    <row r="143" spans="2:14" x14ac:dyDescent="0.3">
      <c r="B143" s="3">
        <v>19</v>
      </c>
      <c r="C143" s="3">
        <v>79</v>
      </c>
      <c r="D143" s="21">
        <v>228.7</v>
      </c>
      <c r="E143" s="4">
        <v>143.46237934115163</v>
      </c>
      <c r="F143" s="4">
        <v>25.724356436313421</v>
      </c>
      <c r="G143" s="4">
        <f t="shared" si="4"/>
        <v>25.724356436313421</v>
      </c>
      <c r="H143" s="23">
        <f t="shared" si="5"/>
        <v>2</v>
      </c>
      <c r="K143" s="4">
        <v>19</v>
      </c>
      <c r="L143" s="4"/>
      <c r="M143" s="4">
        <v>1</v>
      </c>
      <c r="N143" s="4" t="s">
        <v>162</v>
      </c>
    </row>
    <row r="144" spans="2:14" x14ac:dyDescent="0.3">
      <c r="B144" s="3">
        <v>20</v>
      </c>
      <c r="C144" s="3">
        <v>82</v>
      </c>
      <c r="D144" s="22">
        <v>208.3</v>
      </c>
      <c r="E144" s="4">
        <v>123.45519488205974</v>
      </c>
      <c r="F144" s="4">
        <v>12.76908430790948</v>
      </c>
      <c r="G144" s="4">
        <f t="shared" si="4"/>
        <v>12.76908430790948</v>
      </c>
      <c r="H144" s="23">
        <f t="shared" si="5"/>
        <v>2</v>
      </c>
      <c r="K144" s="4">
        <v>20</v>
      </c>
      <c r="L144" s="4"/>
      <c r="M144" s="4">
        <v>1</v>
      </c>
      <c r="N144" s="4" t="s">
        <v>162</v>
      </c>
    </row>
    <row r="145" spans="2:14" x14ac:dyDescent="0.3">
      <c r="B145" s="3">
        <v>21</v>
      </c>
      <c r="C145" s="3">
        <v>71</v>
      </c>
      <c r="D145" s="21">
        <v>102.87</v>
      </c>
      <c r="E145" s="4">
        <v>17.523796080804896</v>
      </c>
      <c r="F145" s="4">
        <v>101.83392209407677</v>
      </c>
      <c r="G145" s="4">
        <f t="shared" si="4"/>
        <v>17.523796080804896</v>
      </c>
      <c r="H145" s="3">
        <f t="shared" si="5"/>
        <v>1</v>
      </c>
      <c r="K145" s="4">
        <v>21</v>
      </c>
      <c r="L145" s="4">
        <v>1</v>
      </c>
      <c r="M145" s="4"/>
      <c r="N145" s="4" t="s">
        <v>162</v>
      </c>
    </row>
    <row r="146" spans="2:14" x14ac:dyDescent="0.3">
      <c r="B146" s="3">
        <v>22</v>
      </c>
      <c r="C146" s="3">
        <v>80</v>
      </c>
      <c r="D146" s="22">
        <v>104.12</v>
      </c>
      <c r="E146" s="4">
        <v>22.261462548447234</v>
      </c>
      <c r="F146" s="4">
        <v>101.09720354224689</v>
      </c>
      <c r="G146" s="4">
        <f t="shared" si="4"/>
        <v>22.261462548447234</v>
      </c>
      <c r="H146" s="3">
        <f t="shared" si="5"/>
        <v>1</v>
      </c>
      <c r="K146" s="4">
        <v>22</v>
      </c>
      <c r="L146" s="4">
        <v>1</v>
      </c>
      <c r="M146" s="4"/>
      <c r="N146" s="4" t="s">
        <v>162</v>
      </c>
    </row>
    <row r="147" spans="2:14" x14ac:dyDescent="0.3">
      <c r="B147" s="3">
        <v>23</v>
      </c>
      <c r="C147" s="3">
        <v>65</v>
      </c>
      <c r="D147" s="21">
        <v>100.98</v>
      </c>
      <c r="E147" s="4">
        <v>15.483869964631999</v>
      </c>
      <c r="F147" s="4">
        <v>103.8249633472726</v>
      </c>
      <c r="G147" s="4">
        <f t="shared" si="4"/>
        <v>15.483869964631999</v>
      </c>
      <c r="H147" s="3">
        <f t="shared" si="5"/>
        <v>1</v>
      </c>
      <c r="K147" s="4">
        <v>23</v>
      </c>
      <c r="L147" s="4">
        <v>1</v>
      </c>
      <c r="M147" s="4"/>
      <c r="N147" s="4" t="s">
        <v>162</v>
      </c>
    </row>
    <row r="148" spans="2:14" x14ac:dyDescent="0.3">
      <c r="B148" s="3">
        <v>24</v>
      </c>
      <c r="C148" s="3">
        <v>69</v>
      </c>
      <c r="D148" s="22">
        <v>195.23</v>
      </c>
      <c r="E148" s="4">
        <v>109.54098489578581</v>
      </c>
      <c r="F148" s="4">
        <v>9.4959143352549287</v>
      </c>
      <c r="G148" s="4">
        <f t="shared" si="4"/>
        <v>9.4959143352549287</v>
      </c>
      <c r="H148" s="23">
        <f t="shared" si="5"/>
        <v>2</v>
      </c>
      <c r="K148" s="4">
        <v>24</v>
      </c>
      <c r="L148" s="4"/>
      <c r="M148" s="4">
        <v>1</v>
      </c>
      <c r="N148" s="4" t="s">
        <v>162</v>
      </c>
    </row>
    <row r="149" spans="2:14" x14ac:dyDescent="0.3">
      <c r="B149" s="3">
        <v>25</v>
      </c>
      <c r="C149" s="3">
        <v>57</v>
      </c>
      <c r="D149" s="21">
        <v>212.08</v>
      </c>
      <c r="E149" s="4">
        <v>126.8161462250267</v>
      </c>
      <c r="F149" s="4">
        <v>14.733711822297201</v>
      </c>
      <c r="G149" s="4">
        <f t="shared" si="4"/>
        <v>14.733711822297201</v>
      </c>
      <c r="H149" s="23">
        <f t="shared" si="5"/>
        <v>2</v>
      </c>
      <c r="K149" s="4">
        <v>25</v>
      </c>
      <c r="L149" s="4"/>
      <c r="M149" s="4">
        <v>1</v>
      </c>
      <c r="N149" s="4" t="s">
        <v>162</v>
      </c>
    </row>
    <row r="150" spans="2:14" x14ac:dyDescent="0.3">
      <c r="B150" s="3">
        <v>26</v>
      </c>
      <c r="C150" s="3">
        <v>42</v>
      </c>
      <c r="D150" s="22">
        <v>83.41</v>
      </c>
      <c r="E150" s="4">
        <v>25.602555127987376</v>
      </c>
      <c r="F150" s="4">
        <v>124.42032365760225</v>
      </c>
      <c r="G150" s="4">
        <f t="shared" si="4"/>
        <v>25.602555127987376</v>
      </c>
      <c r="H150" s="3">
        <f t="shared" si="5"/>
        <v>1</v>
      </c>
      <c r="K150" s="4">
        <v>26</v>
      </c>
      <c r="L150" s="4">
        <v>1</v>
      </c>
      <c r="M150" s="4"/>
      <c r="N150" s="4" t="s">
        <v>162</v>
      </c>
    </row>
    <row r="151" spans="2:14" x14ac:dyDescent="0.3">
      <c r="B151" s="3">
        <v>27</v>
      </c>
      <c r="C151" s="3">
        <v>82</v>
      </c>
      <c r="D151" s="21">
        <v>196.92</v>
      </c>
      <c r="E151" s="4">
        <v>112.16192440496235</v>
      </c>
      <c r="F151" s="4">
        <v>14.509740316852678</v>
      </c>
      <c r="G151" s="4">
        <f t="shared" si="4"/>
        <v>14.509740316852678</v>
      </c>
      <c r="H151" s="23">
        <f t="shared" si="5"/>
        <v>2</v>
      </c>
      <c r="K151" s="4">
        <v>27</v>
      </c>
      <c r="L151" s="4"/>
      <c r="M151" s="4">
        <v>1</v>
      </c>
      <c r="N151" s="4" t="s">
        <v>162</v>
      </c>
    </row>
    <row r="152" spans="2:14" x14ac:dyDescent="0.3">
      <c r="B152" s="3">
        <v>28</v>
      </c>
      <c r="C152" s="3">
        <v>80</v>
      </c>
      <c r="D152" s="22">
        <v>252.72</v>
      </c>
      <c r="E152" s="4">
        <v>167.48781746894372</v>
      </c>
      <c r="F152" s="4">
        <v>49.10542805090391</v>
      </c>
      <c r="G152" s="4">
        <f t="shared" si="4"/>
        <v>49.10542805090391</v>
      </c>
      <c r="H152" s="23">
        <f t="shared" si="5"/>
        <v>2</v>
      </c>
      <c r="K152" s="4">
        <v>28</v>
      </c>
      <c r="L152" s="4"/>
      <c r="M152" s="4">
        <v>1</v>
      </c>
      <c r="N152" s="4" t="s">
        <v>162</v>
      </c>
    </row>
    <row r="153" spans="2:14" x14ac:dyDescent="0.3">
      <c r="B153" s="3">
        <v>29</v>
      </c>
      <c r="C153" s="3">
        <v>48</v>
      </c>
      <c r="D153" s="21">
        <v>84.2</v>
      </c>
      <c r="E153" s="4">
        <v>19.557552445361388</v>
      </c>
      <c r="F153" s="4">
        <v>122.44349212621509</v>
      </c>
      <c r="G153" s="4">
        <f t="shared" si="4"/>
        <v>19.557552445361388</v>
      </c>
      <c r="H153" s="3">
        <f t="shared" si="5"/>
        <v>1</v>
      </c>
      <c r="K153" s="4">
        <v>29</v>
      </c>
      <c r="L153" s="4">
        <v>1</v>
      </c>
      <c r="M153" s="4"/>
      <c r="N153" s="4" t="s">
        <v>162</v>
      </c>
    </row>
    <row r="154" spans="2:14" x14ac:dyDescent="0.3">
      <c r="B154" s="3">
        <v>30</v>
      </c>
      <c r="C154" s="3">
        <v>82</v>
      </c>
      <c r="D154" s="22">
        <v>84.03</v>
      </c>
      <c r="E154" s="4">
        <v>14.595770442012245</v>
      </c>
      <c r="F154" s="4">
        <v>121.286464162587</v>
      </c>
      <c r="G154" s="4">
        <f t="shared" si="4"/>
        <v>14.595770442012245</v>
      </c>
      <c r="H154" s="3">
        <f t="shared" si="5"/>
        <v>1</v>
      </c>
      <c r="K154" s="4">
        <v>30</v>
      </c>
      <c r="L154" s="4">
        <v>1</v>
      </c>
      <c r="M154" s="4"/>
      <c r="N154" s="4" t="s">
        <v>162</v>
      </c>
    </row>
    <row r="155" spans="2:14" x14ac:dyDescent="0.3">
      <c r="K155" s="4" t="s">
        <v>149</v>
      </c>
      <c r="L155" s="4">
        <f>SUM(L125:L154)</f>
        <v>14</v>
      </c>
      <c r="M155" s="4">
        <f>SUM(M125:M154)</f>
        <v>16</v>
      </c>
      <c r="N155" s="4">
        <f>SUM(L155:M155)</f>
        <v>30</v>
      </c>
    </row>
    <row r="156" spans="2:14" x14ac:dyDescent="0.3">
      <c r="B156" t="s">
        <v>165</v>
      </c>
    </row>
    <row r="158" spans="2:14" x14ac:dyDescent="0.3">
      <c r="K158" t="s">
        <v>163</v>
      </c>
    </row>
    <row r="159" spans="2:14" x14ac:dyDescent="0.3">
      <c r="K159" t="s">
        <v>164</v>
      </c>
    </row>
  </sheetData>
  <mergeCells count="4">
    <mergeCell ref="A35:Q35"/>
    <mergeCell ref="B120:C120"/>
    <mergeCell ref="B121:C121"/>
    <mergeCell ref="B122:C1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Awal</vt:lpstr>
      <vt:lpstr>Distribusi Data</vt:lpstr>
      <vt:lpstr>Regresi&amp;kolerasi</vt:lpstr>
      <vt:lpstr>K-Mean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achmad lutfi</cp:lastModifiedBy>
  <dcterms:created xsi:type="dcterms:W3CDTF">2024-06-26T03:50:08Z</dcterms:created>
  <dcterms:modified xsi:type="dcterms:W3CDTF">2024-07-01T13:42:28Z</dcterms:modified>
</cp:coreProperties>
</file>